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天畅园-吴琼中行复估\"/>
    </mc:Choice>
  </mc:AlternateContent>
  <xr:revisionPtr revIDLastSave="0" documentId="13_ncr:1_{2A76265A-1AD9-4049-9607-324239B3552C}"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假设开发法" sheetId="12" state="hidden" r:id="rId21"/>
    <sheet name="收益法" sheetId="15" state="hidden" r:id="rId22"/>
    <sheet name="收益法 (元)" sheetId="67" r:id="rId23"/>
    <sheet name="信息" sheetId="80" r:id="rId24"/>
    <sheet name="案例" sheetId="81" r:id="rId25"/>
    <sheet name="售价案例"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J27" i="9"/>
  <c r="J26" i="9"/>
  <c r="H26" i="9"/>
  <c r="D33" i="43"/>
  <c r="B14" i="74"/>
  <c r="I36" i="33"/>
  <c r="G36" i="33"/>
  <c r="E36" i="33"/>
  <c r="C36" i="33"/>
  <c r="E104" i="33"/>
  <c r="F104" i="33" s="1"/>
  <c r="D104" i="33"/>
  <c r="C33" i="33"/>
  <c r="J49" i="67"/>
  <c r="Y6" i="1" l="1"/>
  <c r="N6" i="1"/>
  <c r="N19" i="1"/>
  <c r="B58" i="1"/>
  <c r="B21" i="1"/>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T40" i="79"/>
  <c r="U46" i="79"/>
  <c r="AI46" i="79" s="1"/>
  <c r="AD47" i="79"/>
  <c r="S48" i="79"/>
  <c r="AG48" i="79" s="1"/>
  <c r="U50" i="79"/>
  <c r="AI50" i="79" s="1"/>
  <c r="AD51" i="79"/>
  <c r="AR18" i="79"/>
  <c r="AR19" i="79" s="1"/>
  <c r="AR20" i="79" s="1"/>
  <c r="AR21" i="79" s="1"/>
  <c r="AR22" i="79" s="1"/>
  <c r="AR23" i="79" s="1"/>
  <c r="AR24" i="79" s="1"/>
  <c r="T33" i="79"/>
  <c r="T35" i="79"/>
  <c r="T34" i="79"/>
  <c r="AD38" i="79"/>
  <c r="AD37"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3" i="79"/>
  <c r="AK43" i="79" s="1"/>
  <c r="AH4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3" i="79"/>
  <c r="AK13" i="79" s="1"/>
  <c r="AH13" i="79"/>
  <c r="W48" i="79"/>
  <c r="AK48" i="79" s="1"/>
  <c r="AH48" i="79"/>
  <c r="W49" i="79"/>
  <c r="AK49" i="79" s="1"/>
  <c r="AH49" i="79"/>
  <c r="W38" i="79"/>
  <c r="AK38" i="79" s="1"/>
  <c r="AH38"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N67" i="71"/>
  <c r="B66" i="71"/>
  <c r="N65" i="71" s="1"/>
  <c r="T68" i="71"/>
  <c r="O68" i="71"/>
  <c r="D68" i="71"/>
  <c r="C67" i="71"/>
  <c r="D67" i="71" s="1"/>
  <c r="Q68" i="71"/>
  <c r="E71" i="71"/>
  <c r="E70" i="71" s="1"/>
  <c r="D72" i="71"/>
  <c r="C75" i="71"/>
  <c r="D76" i="71"/>
  <c r="E79" i="71"/>
  <c r="E78" i="71" s="1"/>
  <c r="D80" i="71"/>
  <c r="C87" i="71"/>
  <c r="C86" i="71" s="1"/>
  <c r="D86" i="71" s="1"/>
  <c r="F28" i="71"/>
  <c r="F27" i="71" s="1"/>
  <c r="F26" i="71" s="1"/>
  <c r="AA3" i="71"/>
  <c r="O67" i="71"/>
  <c r="D63" i="71"/>
  <c r="D75" i="71"/>
  <c r="C74" i="71"/>
  <c r="D74" i="71" s="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H5"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K5" i="3" s="1"/>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H5" i="3" s="1"/>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I5" i="3" s="1"/>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AZ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AZ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H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s="1"/>
  <c r="J22" i="35"/>
  <c r="AC22" i="35" s="1"/>
  <c r="B101" i="35"/>
  <c r="B99" i="35"/>
  <c r="B97" i="35"/>
  <c r="B77" i="35"/>
  <c r="J25" i="35" s="1"/>
  <c r="W25" i="35" s="1"/>
  <c r="B75" i="35"/>
  <c r="H24" i="35" s="1"/>
  <c r="B73" i="35"/>
  <c r="J23" i="35" s="1"/>
  <c r="AC23" i="35" s="1"/>
  <c r="H23" i="35"/>
  <c r="U23" i="35" s="1"/>
  <c r="B57" i="35"/>
  <c r="B61" i="35"/>
  <c r="B59" i="35"/>
  <c r="F12" i="35" s="1"/>
  <c r="B131" i="34"/>
  <c r="F47" i="34" s="1"/>
  <c r="B129" i="34"/>
  <c r="B127" i="34"/>
  <c r="B99" i="34"/>
  <c r="B97" i="34"/>
  <c r="B95" i="34"/>
  <c r="J30" i="34" s="1"/>
  <c r="B93" i="34"/>
  <c r="B75" i="34"/>
  <c r="B73" i="34"/>
  <c r="F13" i="34" s="1"/>
  <c r="AA13" i="34" s="1"/>
  <c r="B71" i="34"/>
  <c r="B130" i="33"/>
  <c r="B128" i="33"/>
  <c r="B126" i="33"/>
  <c r="B98" i="33"/>
  <c r="B96" i="33"/>
  <c r="B94" i="33"/>
  <c r="B74" i="33"/>
  <c r="B72" i="33"/>
  <c r="J13" i="33" s="1"/>
  <c r="W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AB9" i="34" s="1"/>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H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F77" i="21" s="1"/>
  <c r="B130" i="21"/>
  <c r="B128" i="21"/>
  <c r="J45" i="21"/>
  <c r="W45" i="21" s="1"/>
  <c r="B126" i="21"/>
  <c r="F44" i="21" s="1"/>
  <c r="AA44" i="21" s="1"/>
  <c r="B98" i="21"/>
  <c r="H31" i="21"/>
  <c r="B96" i="21"/>
  <c r="B94" i="21"/>
  <c r="B92" i="21"/>
  <c r="F28" i="21" s="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H36" i="39"/>
  <c r="F35" i="39"/>
  <c r="S35"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AA36" i="34" s="1"/>
  <c r="J35" i="34"/>
  <c r="AC35" i="34" s="1"/>
  <c r="U34" i="34"/>
  <c r="H39" i="33"/>
  <c r="AB39" i="33" s="1"/>
  <c r="U35" i="33"/>
  <c r="S40" i="33"/>
  <c r="W39" i="33"/>
  <c r="H39" i="37"/>
  <c r="S27" i="35"/>
  <c r="F11" i="40"/>
  <c r="S11" i="40" s="1"/>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J31" i="39"/>
  <c r="W31" i="39" s="1"/>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F35" i="40"/>
  <c r="AA35" i="40"/>
  <c r="H23" i="40"/>
  <c r="AB23" i="40" s="1"/>
  <c r="H17" i="40"/>
  <c r="U17" i="40" s="1"/>
  <c r="J15" i="40"/>
  <c r="W15" i="40" s="1"/>
  <c r="J11" i="40"/>
  <c r="AC11" i="40" s="1"/>
  <c r="AB8" i="39"/>
  <c r="AB12" i="35"/>
  <c r="AB12" i="36"/>
  <c r="F37" i="39"/>
  <c r="AA37" i="39" s="1"/>
  <c r="J34" i="36"/>
  <c r="W34" i="36" s="1"/>
  <c r="U30" i="36"/>
  <c r="J30" i="35"/>
  <c r="W30" i="35" s="1"/>
  <c r="H30" i="35"/>
  <c r="AB30" i="35" s="1"/>
  <c r="F22" i="35"/>
  <c r="H10" i="35"/>
  <c r="U10" i="35" s="1"/>
  <c r="F33" i="36"/>
  <c r="AA33" i="36" s="1"/>
  <c r="W30" i="36"/>
  <c r="H16" i="36"/>
  <c r="AB16" i="36"/>
  <c r="E85" i="36"/>
  <c r="F85" i="36" s="1"/>
  <c r="G85" i="36" s="1"/>
  <c r="H85" i="36" s="1"/>
  <c r="I85" i="36" s="1"/>
  <c r="J85" i="36" s="1"/>
  <c r="K85" i="36" s="1"/>
  <c r="L85" i="36" s="1"/>
  <c r="M85" i="36" s="1"/>
  <c r="J29" i="36"/>
  <c r="F12" i="36"/>
  <c r="S12" i="36" s="1"/>
  <c r="F34" i="36"/>
  <c r="F14" i="35"/>
  <c r="AA14" i="35" s="1"/>
  <c r="F23" i="35"/>
  <c r="AA23" i="35" s="1"/>
  <c r="J32" i="35"/>
  <c r="AC32" i="35" s="1"/>
  <c r="J16" i="35"/>
  <c r="H16" i="35"/>
  <c r="U16" i="35"/>
  <c r="F16" i="35"/>
  <c r="S16" i="35" s="1"/>
  <c r="H14" i="35"/>
  <c r="AB14" i="35"/>
  <c r="J29" i="35"/>
  <c r="W29" i="35" s="1"/>
  <c r="H33" i="35"/>
  <c r="J20" i="35"/>
  <c r="W20" i="35"/>
  <c r="F35" i="37"/>
  <c r="G101" i="37"/>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AC23" i="34" s="1"/>
  <c r="F19" i="34"/>
  <c r="H17" i="34"/>
  <c r="U17" i="34"/>
  <c r="F15" i="34"/>
  <c r="AA15" i="34" s="1"/>
  <c r="J15" i="34"/>
  <c r="H15" i="34"/>
  <c r="AB15" i="34" s="1"/>
  <c r="W8" i="34"/>
  <c r="J28" i="34"/>
  <c r="F41" i="33"/>
  <c r="AA41" i="33"/>
  <c r="S38" i="33"/>
  <c r="E113" i="33"/>
  <c r="F32" i="33"/>
  <c r="AA32" i="33"/>
  <c r="J19" i="33"/>
  <c r="AC19" i="33" s="1"/>
  <c r="J15" i="33"/>
  <c r="AC15" i="33" s="1"/>
  <c r="F11" i="33"/>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AC40" i="34" s="1"/>
  <c r="H38" i="34"/>
  <c r="AB38" i="34" s="1"/>
  <c r="J36" i="34"/>
  <c r="AC36" i="34" s="1"/>
  <c r="W36" i="34"/>
  <c r="H37" i="34"/>
  <c r="U37" i="34" s="1"/>
  <c r="H25" i="34"/>
  <c r="AB25" i="34" s="1"/>
  <c r="J25" i="34"/>
  <c r="AC25" i="34"/>
  <c r="AB23" i="34"/>
  <c r="F23" i="34"/>
  <c r="AA23" i="34"/>
  <c r="J19" i="34"/>
  <c r="AC19" i="34" s="1"/>
  <c r="F17" i="34"/>
  <c r="J17" i="34"/>
  <c r="W17" i="34" s="1"/>
  <c r="AB17" i="34"/>
  <c r="S41" i="33"/>
  <c r="F113" i="33"/>
  <c r="G113" i="33"/>
  <c r="H113" i="33"/>
  <c r="I113" i="33" s="1"/>
  <c r="J113" i="33" s="1"/>
  <c r="K113" i="33" s="1"/>
  <c r="L113" i="33" s="1"/>
  <c r="M113" i="33" s="1"/>
  <c r="H37" i="33"/>
  <c r="AB37" i="33"/>
  <c r="H15" i="33"/>
  <c r="AB15" i="33" s="1"/>
  <c r="H11" i="33"/>
  <c r="F28" i="40"/>
  <c r="AA28" i="40"/>
  <c r="AA29" i="35"/>
  <c r="AA42" i="34"/>
  <c r="AC38" i="34"/>
  <c r="AA38" i="34"/>
  <c r="J37" i="34"/>
  <c r="AC37" i="34" s="1"/>
  <c r="J11" i="33"/>
  <c r="W11" i="33" s="1"/>
  <c r="J42" i="21"/>
  <c r="AC42" i="21"/>
  <c r="H42" i="21"/>
  <c r="U42" i="21"/>
  <c r="J44" i="34"/>
  <c r="F44" i="34"/>
  <c r="S44" i="34" s="1"/>
  <c r="AA44" i="34"/>
  <c r="J10" i="35"/>
  <c r="AC10" i="35" s="1"/>
  <c r="F14" i="21"/>
  <c r="S14" i="21" s="1"/>
  <c r="H14" i="21"/>
  <c r="U14" i="21" s="1"/>
  <c r="F30" i="21"/>
  <c r="S30" i="21" s="1"/>
  <c r="H46" i="21"/>
  <c r="U46" i="21" s="1"/>
  <c r="J46" i="21"/>
  <c r="F46" i="21"/>
  <c r="AA46" i="21"/>
  <c r="E119" i="21"/>
  <c r="F119" i="21" s="1"/>
  <c r="G119" i="21" s="1"/>
  <c r="H119" i="21" s="1"/>
  <c r="I119" i="21" s="1"/>
  <c r="J119" i="21" s="1"/>
  <c r="K119" i="21" s="1"/>
  <c r="L119" i="21" s="1"/>
  <c r="M119" i="21" s="1"/>
  <c r="H28" i="33"/>
  <c r="AB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s="1"/>
  <c r="J31" i="21"/>
  <c r="AC31" i="21" s="1"/>
  <c r="F31" i="21"/>
  <c r="S31" i="21"/>
  <c r="F45" i="21"/>
  <c r="AA45" i="21" s="1"/>
  <c r="F27" i="33"/>
  <c r="AA27" i="33" s="1"/>
  <c r="H13" i="33"/>
  <c r="U13" i="33" s="1"/>
  <c r="J29" i="33"/>
  <c r="H29" i="33"/>
  <c r="U29" i="33" s="1"/>
  <c r="F29" i="33"/>
  <c r="S29" i="33" s="1"/>
  <c r="H31" i="33"/>
  <c r="H45" i="33"/>
  <c r="U45" i="33"/>
  <c r="J45" i="33"/>
  <c r="W45" i="33" s="1"/>
  <c r="F45" i="33"/>
  <c r="AA45" i="33"/>
  <c r="J14" i="34"/>
  <c r="F14" i="34"/>
  <c r="H14" i="34"/>
  <c r="H30" i="34"/>
  <c r="U30" i="34" s="1"/>
  <c r="H32" i="34"/>
  <c r="U32" i="34" s="1"/>
  <c r="F32" i="34"/>
  <c r="S32" i="34" s="1"/>
  <c r="J32" i="34"/>
  <c r="W32" i="34"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F14" i="33"/>
  <c r="AA14" i="33" s="1"/>
  <c r="S14" i="33"/>
  <c r="H30" i="33"/>
  <c r="AB30" i="33"/>
  <c r="F30" i="33"/>
  <c r="J30" i="33"/>
  <c r="J44" i="33"/>
  <c r="W44" i="33" s="1"/>
  <c r="J46" i="33"/>
  <c r="AC46" i="33"/>
  <c r="F46" i="33"/>
  <c r="AA46" i="33" s="1"/>
  <c r="H46" i="33"/>
  <c r="AB46" i="33"/>
  <c r="H13" i="34"/>
  <c r="U13" i="34" s="1"/>
  <c r="J13" i="34"/>
  <c r="W13" i="34" s="1"/>
  <c r="J29" i="34"/>
  <c r="F29" i="34"/>
  <c r="S29" i="34" s="1"/>
  <c r="H29" i="34"/>
  <c r="AB29" i="34" s="1"/>
  <c r="J31" i="34"/>
  <c r="W31" i="34" s="1"/>
  <c r="H45" i="34"/>
  <c r="U45" i="34" s="1"/>
  <c r="J45" i="34"/>
  <c r="W45" i="34"/>
  <c r="F45" i="34"/>
  <c r="S45" i="34" s="1"/>
  <c r="H47" i="34"/>
  <c r="J47" i="34"/>
  <c r="AC47" i="34" s="1"/>
  <c r="F13" i="35"/>
  <c r="J13" i="35"/>
  <c r="AC13" i="35"/>
  <c r="H13" i="35"/>
  <c r="U13" i="35" s="1"/>
  <c r="H25" i="35"/>
  <c r="AB25" i="35" s="1"/>
  <c r="J35" i="35"/>
  <c r="AC35" i="35" s="1"/>
  <c r="F35" i="35"/>
  <c r="AA35" i="35"/>
  <c r="H35" i="35"/>
  <c r="J25" i="36"/>
  <c r="W25" i="36"/>
  <c r="F25" i="36"/>
  <c r="S25" i="36" s="1"/>
  <c r="H25" i="36"/>
  <c r="AB25" i="36"/>
  <c r="H13" i="37"/>
  <c r="F13" i="37"/>
  <c r="S13" i="37" s="1"/>
  <c r="J13" i="37"/>
  <c r="W13" i="37" s="1"/>
  <c r="F28" i="37"/>
  <c r="AA28" i="37" s="1"/>
  <c r="J28" i="37"/>
  <c r="AC28" i="37" s="1"/>
  <c r="H28" i="37"/>
  <c r="H38" i="37"/>
  <c r="AB38" i="37" s="1"/>
  <c r="F43" i="39"/>
  <c r="AA43" i="39" s="1"/>
  <c r="H43" i="39"/>
  <c r="J14" i="39"/>
  <c r="AC14" i="39" s="1"/>
  <c r="F14" i="39"/>
  <c r="AA14" i="39" s="1"/>
  <c r="H14" i="39"/>
  <c r="F12" i="40"/>
  <c r="S12" i="40"/>
  <c r="H12" i="40"/>
  <c r="AB12" i="40" s="1"/>
  <c r="H30" i="40"/>
  <c r="AB30" i="40"/>
  <c r="F33" i="40"/>
  <c r="H33" i="40"/>
  <c r="U33" i="40"/>
  <c r="J35" i="40"/>
  <c r="J37" i="40"/>
  <c r="AC37" i="40"/>
  <c r="H13" i="40"/>
  <c r="J13" i="40"/>
  <c r="W13" i="40"/>
  <c r="F13" i="40"/>
  <c r="AA13" i="40" s="1"/>
  <c r="F27" i="37"/>
  <c r="AA27" i="37" s="1"/>
  <c r="J13" i="39"/>
  <c r="W13" i="39" s="1"/>
  <c r="H13" i="39"/>
  <c r="AB13" i="39" s="1"/>
  <c r="H14" i="40"/>
  <c r="AB14" i="40"/>
  <c r="J14" i="40"/>
  <c r="W14" i="40" s="1"/>
  <c r="F14" i="40"/>
  <c r="J27" i="37"/>
  <c r="AC27" i="37"/>
  <c r="U46" i="33"/>
  <c r="J36" i="37"/>
  <c r="AC36" i="37" s="1"/>
  <c r="J10" i="36"/>
  <c r="AC10" i="36" s="1"/>
  <c r="S11" i="36"/>
  <c r="S45" i="33"/>
  <c r="AB45" i="33"/>
  <c r="BA585" i="3"/>
  <c r="F17" i="21"/>
  <c r="AA17" i="21" s="1"/>
  <c r="H17" i="21"/>
  <c r="AB17" i="21" s="1"/>
  <c r="F15" i="21"/>
  <c r="S15" i="21" s="1"/>
  <c r="J41" i="39"/>
  <c r="W41" i="39" s="1"/>
  <c r="G544" i="3"/>
  <c r="G536" i="3"/>
  <c r="G535" i="3"/>
  <c r="G528" i="3"/>
  <c r="G527" i="3"/>
  <c r="G514" i="3"/>
  <c r="G508" i="3"/>
  <c r="G500" i="3"/>
  <c r="G584" i="3"/>
  <c r="G580" i="3"/>
  <c r="G576" i="3"/>
  <c r="G564" i="3"/>
  <c r="G560" i="3"/>
  <c r="G554" i="3"/>
  <c r="G550" i="3"/>
  <c r="BL584" i="3"/>
  <c r="BL572" i="3"/>
  <c r="BL564" i="3"/>
  <c r="BL560" i="3"/>
  <c r="BL554" i="3"/>
  <c r="BL530" i="3"/>
  <c r="BL516" i="3"/>
  <c r="BL494" i="3"/>
  <c r="BL574" i="3"/>
  <c r="BL562" i="3"/>
  <c r="BL556" i="3"/>
  <c r="BL552" i="3"/>
  <c r="G529" i="3"/>
  <c r="BL528" i="3"/>
  <c r="BL510" i="3"/>
  <c r="BL496" i="3"/>
  <c r="G493" i="3"/>
  <c r="BA578" i="3"/>
  <c r="BA572" i="3"/>
  <c r="AZ572" i="3" s="1"/>
  <c r="BA564" i="3"/>
  <c r="AZ564" i="3" s="1"/>
  <c r="BA562" i="3"/>
  <c r="BA560" i="3"/>
  <c r="BA558" i="3"/>
  <c r="AZ558" i="3"/>
  <c r="BA556" i="3"/>
  <c r="AZ556" i="3" s="1"/>
  <c r="BA544" i="3"/>
  <c r="BA532" i="3"/>
  <c r="BA524" i="3"/>
  <c r="BA518" i="3"/>
  <c r="BA510" i="3"/>
  <c r="AZ510" i="3" s="1"/>
  <c r="BA506" i="3"/>
  <c r="BA498" i="3"/>
  <c r="BA494" i="3"/>
  <c r="BA579" i="3"/>
  <c r="BA573" i="3"/>
  <c r="BA565" i="3"/>
  <c r="BA563" i="3"/>
  <c r="AZ563" i="3" s="1"/>
  <c r="BA561" i="3"/>
  <c r="BA559" i="3"/>
  <c r="BA553" i="3"/>
  <c r="AZ553" i="3" s="1"/>
  <c r="BA545" i="3"/>
  <c r="BA535" i="3"/>
  <c r="BA529" i="3"/>
  <c r="BA517" i="3"/>
  <c r="BA511" i="3"/>
  <c r="BA499" i="3"/>
  <c r="BA493" i="3"/>
  <c r="AZ560" i="3"/>
  <c r="G577" i="3"/>
  <c r="G575" i="3"/>
  <c r="G567" i="3"/>
  <c r="G565" i="3"/>
  <c r="G563" i="3"/>
  <c r="G561" i="3"/>
  <c r="BL558" i="3"/>
  <c r="BA557" i="3"/>
  <c r="AC557" i="3"/>
  <c r="G557" i="3" s="1"/>
  <c r="BQ557" i="3"/>
  <c r="BL557" i="3" s="1"/>
  <c r="BQ583" i="3"/>
  <c r="BQ581" i="3"/>
  <c r="BQ579" i="3"/>
  <c r="BQ577" i="3"/>
  <c r="BQ575" i="3"/>
  <c r="BQ573" i="3"/>
  <c r="BQ571" i="3"/>
  <c r="BL571" i="3"/>
  <c r="BQ569" i="3"/>
  <c r="BQ567" i="3"/>
  <c r="BQ565" i="3"/>
  <c r="BL565" i="3" s="1"/>
  <c r="AZ565" i="3" s="1"/>
  <c r="BQ563" i="3"/>
  <c r="BL563" i="3"/>
  <c r="BQ561" i="3"/>
  <c r="BL561" i="3" s="1"/>
  <c r="AZ561" i="3" s="1"/>
  <c r="BQ559" i="3"/>
  <c r="BL559" i="3" s="1"/>
  <c r="AZ559" i="3"/>
  <c r="G559" i="3"/>
  <c r="G555" i="3"/>
  <c r="G553" i="3"/>
  <c r="G545" i="3"/>
  <c r="G543" i="3"/>
  <c r="G537" i="3"/>
  <c r="BQ555" i="3"/>
  <c r="BQ553" i="3"/>
  <c r="BL553" i="3" s="1"/>
  <c r="BQ551" i="3"/>
  <c r="BQ549" i="3"/>
  <c r="BQ547" i="3"/>
  <c r="BL547" i="3" s="1"/>
  <c r="BQ545" i="3"/>
  <c r="BQ543" i="3"/>
  <c r="BQ541" i="3"/>
  <c r="BQ539" i="3"/>
  <c r="BQ537" i="3"/>
  <c r="BQ535" i="3"/>
  <c r="BQ533" i="3"/>
  <c r="BQ531" i="3"/>
  <c r="BQ529" i="3"/>
  <c r="BL529" i="3"/>
  <c r="BQ527" i="3"/>
  <c r="BQ525" i="3"/>
  <c r="BL525" i="3"/>
  <c r="BQ523" i="3"/>
  <c r="BL523" i="3" s="1"/>
  <c r="AC521" i="3"/>
  <c r="G521" i="3"/>
  <c r="BQ521" i="3"/>
  <c r="G515" i="3"/>
  <c r="G513" i="3"/>
  <c r="G511" i="3"/>
  <c r="BQ519" i="3"/>
  <c r="BQ517" i="3"/>
  <c r="BL517" i="3"/>
  <c r="BQ515" i="3"/>
  <c r="BL515" i="3" s="1"/>
  <c r="BQ513" i="3"/>
  <c r="BQ511" i="3"/>
  <c r="BA509" i="3"/>
  <c r="AZ509" i="3" s="1"/>
  <c r="AC509" i="3"/>
  <c r="BQ509" i="3"/>
  <c r="BL508" i="3"/>
  <c r="G507" i="3"/>
  <c r="G501" i="3"/>
  <c r="G499" i="3"/>
  <c r="BQ507" i="3"/>
  <c r="BQ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J41" i="34"/>
  <c r="AC41" i="34" s="1"/>
  <c r="F10" i="35"/>
  <c r="S10" i="35" s="1"/>
  <c r="H23" i="37"/>
  <c r="AB23" i="37"/>
  <c r="J32" i="37"/>
  <c r="F36" i="37"/>
  <c r="AA36" i="37"/>
  <c r="F37" i="37"/>
  <c r="F31" i="40"/>
  <c r="AA31" i="40"/>
  <c r="H31" i="40"/>
  <c r="U31" i="40" s="1"/>
  <c r="J36" i="40"/>
  <c r="W36" i="40"/>
  <c r="H19" i="37"/>
  <c r="H42" i="33"/>
  <c r="AB42" i="33" s="1"/>
  <c r="J43" i="33"/>
  <c r="AC43" i="33"/>
  <c r="S28" i="31"/>
  <c r="S27" i="31"/>
  <c r="S26" i="31"/>
  <c r="U14" i="40"/>
  <c r="W23" i="35"/>
  <c r="U26" i="37"/>
  <c r="AC45" i="33"/>
  <c r="U19" i="21"/>
  <c r="F43" i="33"/>
  <c r="AA43" i="33"/>
  <c r="W15" i="34"/>
  <c r="AC15" i="34"/>
  <c r="W40" i="37"/>
  <c r="H37" i="21"/>
  <c r="U37" i="21" s="1"/>
  <c r="S42" i="21"/>
  <c r="H19" i="34"/>
  <c r="AB19" i="34" s="1"/>
  <c r="H9" i="37"/>
  <c r="U9"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J19" i="40"/>
  <c r="AC19" i="40" s="1"/>
  <c r="J50" i="40"/>
  <c r="H103" i="9"/>
  <c r="D8" i="53" s="1"/>
  <c r="B16" i="53"/>
  <c r="B33" i="72" s="1"/>
  <c r="C7" i="37"/>
  <c r="C52" i="37" s="1"/>
  <c r="D52" i="37" s="1"/>
  <c r="A118" i="9"/>
  <c r="A4" i="52"/>
  <c r="B41" i="72" s="1"/>
  <c r="J11" i="39"/>
  <c r="W11" i="39"/>
  <c r="F11" i="39"/>
  <c r="G4" i="4"/>
  <c r="I4" i="4"/>
  <c r="A2" i="9"/>
  <c r="F61" i="43"/>
  <c r="H64" i="43" s="1"/>
  <c r="BL549"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BL200" i="3"/>
  <c r="G201" i="3"/>
  <c r="BA203" i="3"/>
  <c r="BL204" i="3"/>
  <c r="AZ47" i="3"/>
  <c r="AZ67" i="3"/>
  <c r="AZ144" i="3"/>
  <c r="AZ168" i="3"/>
  <c r="AZ176" i="3"/>
  <c r="AZ184" i="3"/>
  <c r="AZ120" i="3"/>
  <c r="G534"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BA379" i="3"/>
  <c r="AZ379" i="3" s="1"/>
  <c r="BL380" i="3"/>
  <c r="G381" i="3"/>
  <c r="BA383" i="3"/>
  <c r="AZ383" i="3" s="1"/>
  <c r="BL384" i="3"/>
  <c r="G385" i="3"/>
  <c r="BA387" i="3"/>
  <c r="AZ387" i="3" s="1"/>
  <c r="BL388" i="3"/>
  <c r="G389" i="3"/>
  <c r="BA391" i="3"/>
  <c r="BL392" i="3"/>
  <c r="AZ392" i="3" s="1"/>
  <c r="G393" i="3"/>
  <c r="BJ5" i="3"/>
  <c r="AZ325" i="3"/>
  <c r="AZ341" i="3"/>
  <c r="G520" i="3"/>
  <c r="G502" i="3"/>
  <c r="BS5" i="3"/>
  <c r="BC5" i="3"/>
  <c r="G17" i="3"/>
  <c r="BA17" i="3"/>
  <c r="AZ356" i="3"/>
  <c r="AZ368" i="3"/>
  <c r="BA15" i="3"/>
  <c r="BR5" i="3"/>
  <c r="G509" i="3"/>
  <c r="F83" i="43"/>
  <c r="H85" i="43" s="1"/>
  <c r="F50" i="43"/>
  <c r="H54" i="43" s="1"/>
  <c r="F72" i="43"/>
  <c r="H75" i="43" s="1"/>
  <c r="S14" i="35"/>
  <c r="U43" i="21"/>
  <c r="U35" i="21"/>
  <c r="AC35" i="21"/>
  <c r="AC11" i="39"/>
  <c r="W37" i="37"/>
  <c r="W44" i="34"/>
  <c r="AC44" i="34"/>
  <c r="S15" i="37"/>
  <c r="U12" i="40"/>
  <c r="AA12" i="40"/>
  <c r="J37" i="33"/>
  <c r="W37" i="33" s="1"/>
  <c r="AC17" i="34"/>
  <c r="J34" i="33"/>
  <c r="F33" i="34"/>
  <c r="S33" i="34" s="1"/>
  <c r="H20" i="36"/>
  <c r="U20" i="36" s="1"/>
  <c r="J20" i="36"/>
  <c r="W20" i="36" s="1"/>
  <c r="J27" i="36"/>
  <c r="W27" i="36" s="1"/>
  <c r="AB25" i="37"/>
  <c r="AC33" i="40"/>
  <c r="H35" i="40"/>
  <c r="AB35" i="40" s="1"/>
  <c r="AC29" i="35"/>
  <c r="H35" i="37"/>
  <c r="U35" i="37" s="1"/>
  <c r="H20" i="35"/>
  <c r="F20" i="35"/>
  <c r="AB23" i="35"/>
  <c r="AB29" i="36"/>
  <c r="U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51" i="3"/>
  <c r="AZ256" i="3"/>
  <c r="AZ259" i="3"/>
  <c r="AZ72" i="3"/>
  <c r="AZ8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BL14" i="3"/>
  <c r="U30" i="33"/>
  <c r="W28" i="37"/>
  <c r="S19" i="39"/>
  <c r="F12" i="33"/>
  <c r="AA12" i="33" s="1"/>
  <c r="H12" i="39"/>
  <c r="AB12" i="39"/>
  <c r="F39" i="40"/>
  <c r="AA39" i="40" s="1"/>
  <c r="BA14" i="3"/>
  <c r="AZ14" i="3" s="1"/>
  <c r="AZ297" i="3"/>
  <c r="AZ189" i="3"/>
  <c r="B12" i="1"/>
  <c r="E12" i="1" s="1"/>
  <c r="B10" i="1"/>
  <c r="E10" i="1" s="1"/>
  <c r="K12" i="1"/>
  <c r="M12" i="1" s="1"/>
  <c r="S13" i="1"/>
  <c r="AR13" i="1" s="1"/>
  <c r="R13" i="1"/>
  <c r="AA34" i="33"/>
  <c r="B41" i="1"/>
  <c r="AB37" i="40"/>
  <c r="S35" i="40"/>
  <c r="U35" i="40"/>
  <c r="AC36" i="40"/>
  <c r="W38" i="40"/>
  <c r="S17" i="40"/>
  <c r="S23" i="40"/>
  <c r="AC17" i="40"/>
  <c r="AC15" i="40"/>
  <c r="AB27" i="40"/>
  <c r="S30" i="40"/>
  <c r="S28" i="40"/>
  <c r="AA27" i="40"/>
  <c r="U21" i="40"/>
  <c r="U37" i="39"/>
  <c r="S43" i="39"/>
  <c r="S37" i="39"/>
  <c r="F32" i="39"/>
  <c r="AA32" i="39" s="1"/>
  <c r="F106" i="39"/>
  <c r="G106" i="39" s="1"/>
  <c r="H106" i="39" s="1"/>
  <c r="I106" i="39" s="1"/>
  <c r="J106" i="39" s="1"/>
  <c r="K106" i="39" s="1"/>
  <c r="L106" i="39" s="1"/>
  <c r="M106" i="39" s="1"/>
  <c r="AB27" i="39"/>
  <c r="U31" i="39"/>
  <c r="J21" i="39"/>
  <c r="W21" i="39" s="1"/>
  <c r="F21" i="39"/>
  <c r="H21" i="39"/>
  <c r="W19" i="39"/>
  <c r="U19" i="39"/>
  <c r="S17" i="39"/>
  <c r="AA12" i="39"/>
  <c r="S9" i="39"/>
  <c r="U12" i="39"/>
  <c r="S23" i="36"/>
  <c r="U13" i="36"/>
  <c r="AA26" i="36"/>
  <c r="AC26" i="36"/>
  <c r="AA22" i="36"/>
  <c r="W14" i="36"/>
  <c r="U22" i="36"/>
  <c r="S16" i="36"/>
  <c r="AA25" i="36"/>
  <c r="U24" i="36"/>
  <c r="U23" i="36"/>
  <c r="AB20" i="36"/>
  <c r="U16" i="36"/>
  <c r="S14" i="36"/>
  <c r="S23" i="35"/>
  <c r="AB13" i="35"/>
  <c r="U28" i="35"/>
  <c r="U32" i="35"/>
  <c r="AA33" i="35"/>
  <c r="AC30" i="35"/>
  <c r="S32" i="35"/>
  <c r="S28" i="35"/>
  <c r="AB16" i="35"/>
  <c r="U22" i="35"/>
  <c r="AC20" i="35"/>
  <c r="U14" i="35"/>
  <c r="W13" i="35"/>
  <c r="F9" i="35"/>
  <c r="S9" i="35" s="1"/>
  <c r="AB40" i="37"/>
  <c r="S25" i="37"/>
  <c r="W27" i="37"/>
  <c r="AC29" i="37"/>
  <c r="U29" i="37"/>
  <c r="AB31" i="37"/>
  <c r="S36" i="37"/>
  <c r="U32" i="37"/>
  <c r="AC35" i="37"/>
  <c r="S30" i="37"/>
  <c r="AC15" i="37"/>
  <c r="J17" i="37"/>
  <c r="W17" i="37" s="1"/>
  <c r="F17" i="37"/>
  <c r="AA17" i="37" s="1"/>
  <c r="AB17" i="37"/>
  <c r="F75" i="37"/>
  <c r="F19" i="37"/>
  <c r="S19" i="37" s="1"/>
  <c r="F79" i="37"/>
  <c r="F23" i="37"/>
  <c r="S23" i="37" s="1"/>
  <c r="U23" i="37"/>
  <c r="AC13" i="37"/>
  <c r="AA13" i="37"/>
  <c r="H10" i="37"/>
  <c r="AB10" i="37" s="1"/>
  <c r="F11" i="37"/>
  <c r="S11" i="37" s="1"/>
  <c r="W25" i="34"/>
  <c r="AB8" i="34"/>
  <c r="AA33" i="34"/>
  <c r="U43" i="34"/>
  <c r="AC39" i="34"/>
  <c r="AB35" i="34"/>
  <c r="U39" i="34"/>
  <c r="S43" i="34"/>
  <c r="AA45" i="34"/>
  <c r="AA25" i="34"/>
  <c r="U28" i="34"/>
  <c r="AA29" i="34"/>
  <c r="S23" i="34"/>
  <c r="U15" i="34"/>
  <c r="S13" i="34"/>
  <c r="H10" i="34"/>
  <c r="AB10" i="34" s="1"/>
  <c r="F11" i="34"/>
  <c r="S11" i="34" s="1"/>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F81" i="33"/>
  <c r="F19" i="33"/>
  <c r="S19" i="33" s="1"/>
  <c r="J17" i="33"/>
  <c r="AC17" i="33" s="1"/>
  <c r="J10" i="33"/>
  <c r="W10" i="33" s="1"/>
  <c r="H10" i="33"/>
  <c r="U10" i="33" s="1"/>
  <c r="W43" i="21"/>
  <c r="W36" i="21"/>
  <c r="W41" i="21"/>
  <c r="AB39" i="21"/>
  <c r="AA43" i="21"/>
  <c r="S39" i="21"/>
  <c r="AA38" i="21"/>
  <c r="AA36" i="21"/>
  <c r="AC40" i="21"/>
  <c r="J15" i="21"/>
  <c r="W15" i="21"/>
  <c r="G77" i="21"/>
  <c r="F23" i="21"/>
  <c r="S23" i="21" s="1"/>
  <c r="E85" i="21"/>
  <c r="AA14" i="21"/>
  <c r="D120" i="9"/>
  <c r="F34" i="15"/>
  <c r="F62" i="15" s="1"/>
  <c r="G13" i="3"/>
  <c r="BA13" i="3"/>
  <c r="BL17" i="3"/>
  <c r="AZ17" i="3" s="1"/>
  <c r="BL13" i="3"/>
  <c r="J56" i="9"/>
  <c r="J57" i="9" s="1"/>
  <c r="J59" i="9" s="1"/>
  <c r="J61" i="9" s="1"/>
  <c r="A24" i="51"/>
  <c r="B18" i="72" s="1"/>
  <c r="U29" i="34"/>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S37" i="40"/>
  <c r="AB28" i="40"/>
  <c r="W28" i="40"/>
  <c r="W34" i="40"/>
  <c r="W19" i="40"/>
  <c r="W27" i="40"/>
  <c r="S36" i="40"/>
  <c r="W37" i="40"/>
  <c r="S13" i="40"/>
  <c r="AA15" i="40"/>
  <c r="U11" i="40"/>
  <c r="S31" i="40"/>
  <c r="U15" i="40"/>
  <c r="AB17" i="40"/>
  <c r="U8" i="40"/>
  <c r="AA39" i="39"/>
  <c r="AC41" i="39"/>
  <c r="U42" i="39"/>
  <c r="W25" i="39"/>
  <c r="AC25" i="39"/>
  <c r="U13" i="39"/>
  <c r="AA13" i="39"/>
  <c r="S13" i="39"/>
  <c r="S14" i="39"/>
  <c r="U43" i="39"/>
  <c r="AB43" i="39"/>
  <c r="AB11" i="39"/>
  <c r="AA27" i="39"/>
  <c r="S27" i="39"/>
  <c r="W17" i="39"/>
  <c r="S23" i="39"/>
  <c r="AA45" i="39"/>
  <c r="AB39" i="39"/>
  <c r="W34" i="39"/>
  <c r="U38" i="39"/>
  <c r="S8" i="39"/>
  <c r="S20" i="36"/>
  <c r="AC25" i="36"/>
  <c r="U32" i="36"/>
  <c r="AC20" i="36"/>
  <c r="U25" i="36"/>
  <c r="AA13" i="36"/>
  <c r="W9" i="36"/>
  <c r="W23" i="36"/>
  <c r="AC25" i="35"/>
  <c r="U25" i="35"/>
  <c r="S35" i="35"/>
  <c r="W35" i="35"/>
  <c r="AA16" i="35"/>
  <c r="W36" i="37"/>
  <c r="S28" i="37"/>
  <c r="U36" i="37"/>
  <c r="AB37" i="37"/>
  <c r="AC34" i="37"/>
  <c r="AB35" i="37"/>
  <c r="AA29" i="37"/>
  <c r="U8" i="37"/>
  <c r="AA40" i="34"/>
  <c r="AB40" i="34"/>
  <c r="U19" i="34"/>
  <c r="W19" i="34"/>
  <c r="AB33" i="34"/>
  <c r="AC45" i="34"/>
  <c r="U25" i="34"/>
  <c r="AB36" i="34"/>
  <c r="W33" i="34"/>
  <c r="AC32" i="34"/>
  <c r="AC29" i="34"/>
  <c r="W29" i="34"/>
  <c r="AB30" i="34"/>
  <c r="S37" i="34"/>
  <c r="U38" i="34"/>
  <c r="AA19" i="34"/>
  <c r="S19" i="34"/>
  <c r="S36" i="34"/>
  <c r="AA8" i="34"/>
  <c r="S8" i="34"/>
  <c r="U9" i="34"/>
  <c r="AB32" i="34"/>
  <c r="U14" i="34"/>
  <c r="AB14" i="34"/>
  <c r="AC43" i="34"/>
  <c r="W43" i="34"/>
  <c r="W23" i="34"/>
  <c r="W35" i="34"/>
  <c r="AC37" i="33"/>
  <c r="W46" i="33"/>
  <c r="U39" i="33"/>
  <c r="U38" i="33"/>
  <c r="AB34" i="33"/>
  <c r="S30" i="33"/>
  <c r="AA30" i="33"/>
  <c r="AC30" i="33"/>
  <c r="W30" i="33"/>
  <c r="AC13" i="33"/>
  <c r="U37" i="33"/>
  <c r="AB42" i="21"/>
  <c r="S45" i="21"/>
  <c r="I101" i="21"/>
  <c r="J101" i="21" s="1"/>
  <c r="K101" i="21" s="1"/>
  <c r="L101" i="21" s="1"/>
  <c r="M101" i="21" s="1"/>
  <c r="F33" i="21"/>
  <c r="AA33" i="21" s="1"/>
  <c r="J33" i="21"/>
  <c r="AC33" i="21" s="1"/>
  <c r="H33" i="21"/>
  <c r="AB33" i="21" s="1"/>
  <c r="F37" i="21"/>
  <c r="AA26" i="21"/>
  <c r="AB46" i="21"/>
  <c r="U40" i="21"/>
  <c r="AB31" i="21"/>
  <c r="U31" i="21"/>
  <c r="AC15" i="21"/>
  <c r="S35" i="21"/>
  <c r="J37" i="21"/>
  <c r="W37" i="21" s="1"/>
  <c r="H15" i="21"/>
  <c r="U15" i="21" s="1"/>
  <c r="J17" i="21"/>
  <c r="AC17" i="21"/>
  <c r="AC19" i="21"/>
  <c r="W39" i="21"/>
  <c r="AC14" i="21"/>
  <c r="S46" i="21"/>
  <c r="H45" i="21"/>
  <c r="U45" i="21" s="1"/>
  <c r="F13" i="21"/>
  <c r="AA13" i="21" s="1"/>
  <c r="AC38" i="21"/>
  <c r="H32" i="21"/>
  <c r="H9" i="21"/>
  <c r="J9" i="21"/>
  <c r="AC9" i="21" s="1"/>
  <c r="J32" i="21"/>
  <c r="W32" i="21" s="1"/>
  <c r="F32" i="21"/>
  <c r="AA31" i="21"/>
  <c r="U17" i="21"/>
  <c r="S19" i="21"/>
  <c r="S9" i="21"/>
  <c r="AA9" i="21"/>
  <c r="K141" i="21"/>
  <c r="K144" i="21"/>
  <c r="K143" i="21"/>
  <c r="U27" i="21"/>
  <c r="AB25" i="21"/>
  <c r="W42" i="21"/>
  <c r="AC45" i="21"/>
  <c r="F10" i="21"/>
  <c r="AA10" i="21" s="1"/>
  <c r="K145" i="21"/>
  <c r="W17" i="21"/>
  <c r="W25" i="21"/>
  <c r="S17" i="21"/>
  <c r="AA15" i="21"/>
  <c r="AC26" i="21"/>
  <c r="AB36" i="21"/>
  <c r="W30" i="40"/>
  <c r="C19" i="39"/>
  <c r="C15" i="40"/>
  <c r="C17" i="40"/>
  <c r="C23" i="40"/>
  <c r="C21" i="40"/>
  <c r="U30" i="40"/>
  <c r="B56" i="43"/>
  <c r="B67" i="43"/>
  <c r="B51" i="43"/>
  <c r="B58" i="43"/>
  <c r="B62" i="43"/>
  <c r="B69" i="43"/>
  <c r="D23" i="15"/>
  <c r="D22" i="15"/>
  <c r="E4" i="4"/>
  <c r="B5" i="62" s="1"/>
  <c r="B73" i="72" s="1"/>
  <c r="C4" i="4"/>
  <c r="F30" i="68"/>
  <c r="F48" i="68" s="1"/>
  <c r="F52" i="9"/>
  <c r="M18" i="67"/>
  <c r="F32" i="15"/>
  <c r="F60" i="15" s="1"/>
  <c r="S39" i="40"/>
  <c r="S12" i="33"/>
  <c r="F54" i="9"/>
  <c r="J32" i="39"/>
  <c r="AC32" i="39" s="1"/>
  <c r="H32" i="39"/>
  <c r="AB32" i="39" s="1"/>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G91" i="33"/>
  <c r="H91" i="33"/>
  <c r="I91" i="33"/>
  <c r="J91" i="33" s="1"/>
  <c r="K91" i="33" s="1"/>
  <c r="L91" i="33" s="1"/>
  <c r="M91" i="33" s="1"/>
  <c r="J27" i="33"/>
  <c r="AC27" i="33" s="1"/>
  <c r="U25" i="33"/>
  <c r="AB25" i="33"/>
  <c r="S25" i="33"/>
  <c r="AA25" i="33"/>
  <c r="G87" i="33"/>
  <c r="H87" i="33" s="1"/>
  <c r="I87" i="33" s="1"/>
  <c r="J87" i="33" s="1"/>
  <c r="K87" i="33" s="1"/>
  <c r="L87" i="33" s="1"/>
  <c r="M87" i="33" s="1"/>
  <c r="J25" i="33"/>
  <c r="F23" i="33"/>
  <c r="H19" i="33"/>
  <c r="U19" i="33" s="1"/>
  <c r="G81" i="33"/>
  <c r="H17" i="33"/>
  <c r="U17" i="33" s="1"/>
  <c r="F17" i="33"/>
  <c r="J23" i="21"/>
  <c r="F85" i="21"/>
  <c r="G85" i="21" s="1"/>
  <c r="H23" i="21"/>
  <c r="AP7" i="1"/>
  <c r="AB45" i="21"/>
  <c r="AB9" i="21"/>
  <c r="U9" i="21"/>
  <c r="AA32" i="21"/>
  <c r="S32" i="21"/>
  <c r="AB32" i="21"/>
  <c r="U32" i="21"/>
  <c r="A18" i="62"/>
  <c r="B64" i="72" s="1"/>
  <c r="U32" i="39"/>
  <c r="W32" i="39"/>
  <c r="W23" i="37"/>
  <c r="J63" i="37"/>
  <c r="K63" i="37" s="1"/>
  <c r="L63" i="37" s="1"/>
  <c r="M63" i="37" s="1"/>
  <c r="J11" i="37"/>
  <c r="AC11" i="37" s="1"/>
  <c r="J11" i="34"/>
  <c r="W11" i="34" s="1"/>
  <c r="AB36" i="33"/>
  <c r="W27" i="33"/>
  <c r="W25" i="33"/>
  <c r="AC25"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E8" i="76"/>
  <c r="E2" i="69"/>
  <c r="E13" i="76"/>
  <c r="E9" i="76"/>
  <c r="B7" i="76"/>
  <c r="F6" i="73"/>
  <c r="F7" i="73"/>
  <c r="F4" i="73"/>
  <c r="F5" i="73"/>
  <c r="E10" i="76"/>
  <c r="B11" i="76"/>
  <c r="AO13" i="1"/>
  <c r="B10" i="76"/>
  <c r="B12" i="76"/>
  <c r="E2" i="68"/>
  <c r="B8" i="76"/>
  <c r="E11" i="76"/>
  <c r="F20" i="31"/>
  <c r="D6" i="73"/>
  <c r="E7" i="76"/>
  <c r="B13" i="76"/>
  <c r="B9" i="76"/>
  <c r="F3" i="73"/>
  <c r="J51" i="67" l="1"/>
  <c r="C18" i="9"/>
  <c r="D18" i="9" s="1"/>
  <c r="D55" i="43"/>
  <c r="D53" i="43"/>
  <c r="S28" i="33"/>
  <c r="AC28" i="33"/>
  <c r="U28" i="33"/>
  <c r="J23" i="33"/>
  <c r="AC23" i="33" s="1"/>
  <c r="H23" i="33"/>
  <c r="AB23" i="33" s="1"/>
  <c r="AC21" i="33"/>
  <c r="W17" i="33"/>
  <c r="AA19" i="33"/>
  <c r="U23" i="33"/>
  <c r="W19" i="33"/>
  <c r="W15" i="33"/>
  <c r="U15" i="33"/>
  <c r="S15" i="33"/>
  <c r="AC11" i="33"/>
  <c r="W8" i="33"/>
  <c r="S36" i="33"/>
  <c r="F6" i="1"/>
  <c r="W33" i="33"/>
  <c r="U33" i="33"/>
  <c r="S33" i="33"/>
  <c r="M20" i="67"/>
  <c r="F34" i="67"/>
  <c r="F62" i="67" s="1"/>
  <c r="C21" i="68"/>
  <c r="C40" i="11"/>
  <c r="G1" i="15"/>
  <c r="B6" i="1"/>
  <c r="E6" i="1" s="1"/>
  <c r="G1" i="67"/>
  <c r="K1" i="12"/>
  <c r="K6" i="1"/>
  <c r="AP6" i="1" s="1"/>
  <c r="G23" i="43"/>
  <c r="C23" i="43" s="1"/>
  <c r="C7" i="33"/>
  <c r="M47" i="9"/>
  <c r="C7" i="35"/>
  <c r="C48" i="35" s="1"/>
  <c r="D48" i="35" s="1"/>
  <c r="C7" i="36"/>
  <c r="C46" i="36" s="1"/>
  <c r="D46" i="36" s="1"/>
  <c r="E46" i="36" s="1"/>
  <c r="F46" i="36" s="1"/>
  <c r="G46" i="36" s="1"/>
  <c r="H46" i="36" s="1"/>
  <c r="I46" i="36" s="1"/>
  <c r="J46" i="36" s="1"/>
  <c r="K46" i="36" s="1"/>
  <c r="L46" i="36" s="1"/>
  <c r="M46" i="36" s="1"/>
  <c r="N46" i="36" s="1"/>
  <c r="O46" i="36" s="1"/>
  <c r="C7" i="40"/>
  <c r="C63" i="40" s="1"/>
  <c r="C7" i="39"/>
  <c r="C67" i="39" s="1"/>
  <c r="C69" i="39" s="1"/>
  <c r="C42" i="1"/>
  <c r="C24" i="12" s="1"/>
  <c r="D121" i="9"/>
  <c r="D7" i="52" s="1"/>
  <c r="D6" i="52"/>
  <c r="W34" i="33"/>
  <c r="AC34" i="33"/>
  <c r="AB32" i="40"/>
  <c r="U32" i="40"/>
  <c r="AZ570" i="3"/>
  <c r="AZ546" i="3"/>
  <c r="AZ536" i="3"/>
  <c r="S17" i="33"/>
  <c r="AA17" i="33"/>
  <c r="F48" i="9"/>
  <c r="O52" i="9" s="1"/>
  <c r="F28" i="67"/>
  <c r="F32" i="67"/>
  <c r="F60" i="67" s="1"/>
  <c r="F28" i="15"/>
  <c r="F31" i="12"/>
  <c r="F30" i="69"/>
  <c r="F48" i="69" s="1"/>
  <c r="D68" i="9"/>
  <c r="AA20" i="35"/>
  <c r="S20" i="35"/>
  <c r="S11" i="39"/>
  <c r="AA11" i="39"/>
  <c r="S13" i="21"/>
  <c r="AB15" i="21"/>
  <c r="W9" i="21"/>
  <c r="AA23" i="21"/>
  <c r="M18" i="15"/>
  <c r="F30" i="11"/>
  <c r="C48" i="11" s="1"/>
  <c r="AA37" i="21"/>
  <c r="S37" i="21"/>
  <c r="S28" i="21"/>
  <c r="AA28" i="21"/>
  <c r="AB19" i="33"/>
  <c r="AB24" i="35"/>
  <c r="U24" i="35"/>
  <c r="AZ579" i="3"/>
  <c r="H13" i="21"/>
  <c r="J13" i="21"/>
  <c r="J29" i="21"/>
  <c r="H29" i="21"/>
  <c r="F26" i="33"/>
  <c r="H26" i="33"/>
  <c r="F31" i="33"/>
  <c r="J31" i="33"/>
  <c r="J12" i="34"/>
  <c r="H12" i="34"/>
  <c r="J46" i="34"/>
  <c r="H46" i="34"/>
  <c r="F11" i="35"/>
  <c r="H11" i="35"/>
  <c r="AB11" i="35" s="1"/>
  <c r="F36" i="35"/>
  <c r="J36" i="35"/>
  <c r="AC36" i="35" s="1"/>
  <c r="AB15" i="37"/>
  <c r="U15" i="37"/>
  <c r="BA584" i="3"/>
  <c r="AZ584" i="3" s="1"/>
  <c r="BL579" i="3"/>
  <c r="BL578" i="3"/>
  <c r="BA577" i="3"/>
  <c r="BL576" i="3"/>
  <c r="BA576" i="3"/>
  <c r="AZ576" i="3" s="1"/>
  <c r="BA575" i="3"/>
  <c r="AZ575" i="3" s="1"/>
  <c r="BA574" i="3"/>
  <c r="AZ574" i="3" s="1"/>
  <c r="BA554" i="3"/>
  <c r="AZ554" i="3" s="1"/>
  <c r="BL551" i="3"/>
  <c r="BA551" i="3"/>
  <c r="AZ551" i="3" s="1"/>
  <c r="BA550" i="3"/>
  <c r="BA549" i="3"/>
  <c r="BL548" i="3"/>
  <c r="BA548" i="3"/>
  <c r="AZ548" i="3" s="1"/>
  <c r="BA547" i="3"/>
  <c r="BL544" i="3"/>
  <c r="AZ544" i="3" s="1"/>
  <c r="BL542" i="3"/>
  <c r="BA542" i="3"/>
  <c r="AZ542" i="3" s="1"/>
  <c r="BL541" i="3"/>
  <c r="AZ541" i="3" s="1"/>
  <c r="BA541" i="3"/>
  <c r="BL540" i="3"/>
  <c r="AZ540" i="3" s="1"/>
  <c r="BA539" i="3"/>
  <c r="BL538" i="3"/>
  <c r="BA538" i="3"/>
  <c r="BA534" i="3"/>
  <c r="AZ534" i="3" s="1"/>
  <c r="BA533" i="3"/>
  <c r="AZ533" i="3" s="1"/>
  <c r="BL532" i="3"/>
  <c r="AZ532" i="3" s="1"/>
  <c r="BA531" i="3"/>
  <c r="BA530" i="3"/>
  <c r="AZ530" i="3" s="1"/>
  <c r="BA528" i="3"/>
  <c r="AZ528" i="3" s="1"/>
  <c r="BL526" i="3"/>
  <c r="AZ526" i="3" s="1"/>
  <c r="BA525" i="3"/>
  <c r="AZ525" i="3" s="1"/>
  <c r="BL524" i="3"/>
  <c r="AZ524" i="3" s="1"/>
  <c r="BA523" i="3"/>
  <c r="BL522" i="3"/>
  <c r="BA522" i="3"/>
  <c r="BL521" i="3"/>
  <c r="BA521" i="3"/>
  <c r="BL520" i="3"/>
  <c r="BA520" i="3"/>
  <c r="BL518" i="3"/>
  <c r="BA515" i="3"/>
  <c r="BA514" i="3"/>
  <c r="AZ514" i="3" s="1"/>
  <c r="BL513" i="3"/>
  <c r="BA513" i="3"/>
  <c r="AZ513" i="3" s="1"/>
  <c r="BA512" i="3"/>
  <c r="AZ512" i="3" s="1"/>
  <c r="BA508" i="3"/>
  <c r="AZ508" i="3" s="1"/>
  <c r="BL506" i="3"/>
  <c r="BA505" i="3"/>
  <c r="AZ505" i="3" s="1"/>
  <c r="BL504" i="3"/>
  <c r="AZ504" i="3" s="1"/>
  <c r="BA503" i="3"/>
  <c r="BL502" i="3"/>
  <c r="BA502" i="3"/>
  <c r="BL500" i="3"/>
  <c r="AZ500" i="3" s="1"/>
  <c r="BT5" i="3"/>
  <c r="BL499" i="3"/>
  <c r="AZ499" i="3" s="1"/>
  <c r="BO5" i="3"/>
  <c r="BF5" i="3"/>
  <c r="BA497" i="3"/>
  <c r="AZ497" i="3" s="1"/>
  <c r="BN5" i="3"/>
  <c r="BA496" i="3"/>
  <c r="AZ496" i="3" s="1"/>
  <c r="BE5" i="3"/>
  <c r="AC5" i="3"/>
  <c r="G496" i="3"/>
  <c r="BL495" i="3"/>
  <c r="BA495" i="3"/>
  <c r="BM5" i="3"/>
  <c r="F29" i="6" s="1"/>
  <c r="BD5" i="3"/>
  <c r="BP5" i="3"/>
  <c r="BL493" i="3"/>
  <c r="AZ493" i="3" s="1"/>
  <c r="BG5" i="3"/>
  <c r="U20" i="35"/>
  <c r="AB20" i="35"/>
  <c r="AC35" i="40"/>
  <c r="W35" i="40"/>
  <c r="U47" i="34"/>
  <c r="AB47" i="34"/>
  <c r="B54" i="43"/>
  <c r="AC34" i="21"/>
  <c r="W31" i="21"/>
  <c r="AA30" i="21"/>
  <c r="F29" i="21"/>
  <c r="AA29" i="21" s="1"/>
  <c r="AB14" i="21"/>
  <c r="W40" i="34"/>
  <c r="AA32" i="34"/>
  <c r="AA31" i="37"/>
  <c r="U38" i="37"/>
  <c r="S27" i="37"/>
  <c r="AB28" i="36"/>
  <c r="AC31" i="39"/>
  <c r="AC14" i="40"/>
  <c r="S32" i="37"/>
  <c r="U29" i="35"/>
  <c r="S33" i="36"/>
  <c r="S15" i="39"/>
  <c r="AC14" i="35"/>
  <c r="BB5" i="3"/>
  <c r="E15" i="6" s="1"/>
  <c r="E64" i="39" s="1"/>
  <c r="AZ344" i="3"/>
  <c r="AZ360" i="3"/>
  <c r="AB41" i="39"/>
  <c r="U41" i="39"/>
  <c r="W47" i="34"/>
  <c r="U41" i="34"/>
  <c r="AB41" i="34"/>
  <c r="BL503" i="3"/>
  <c r="BL511" i="3"/>
  <c r="AZ511" i="3" s="1"/>
  <c r="BL543" i="3"/>
  <c r="AZ543" i="3" s="1"/>
  <c r="BL498" i="3"/>
  <c r="AZ498" i="3" s="1"/>
  <c r="U13" i="40"/>
  <c r="AB13" i="40"/>
  <c r="AB14" i="39"/>
  <c r="U14" i="39"/>
  <c r="F25" i="35"/>
  <c r="F46" i="34"/>
  <c r="S14" i="34"/>
  <c r="AA14" i="34"/>
  <c r="U14" i="36"/>
  <c r="AB14" i="36"/>
  <c r="H44" i="21"/>
  <c r="AA11" i="33"/>
  <c r="S11" i="33"/>
  <c r="S35" i="37"/>
  <c r="AA35" i="37"/>
  <c r="AC29" i="36"/>
  <c r="W29" i="36"/>
  <c r="AA22" i="35"/>
  <c r="S22" i="35"/>
  <c r="AB36" i="40"/>
  <c r="U36" i="40"/>
  <c r="AA21" i="40"/>
  <c r="S21" i="40"/>
  <c r="AB17" i="39"/>
  <c r="U17" i="39"/>
  <c r="AB39" i="40"/>
  <c r="F36" i="39"/>
  <c r="J30" i="21"/>
  <c r="H30" i="21"/>
  <c r="J14" i="33"/>
  <c r="H14" i="33"/>
  <c r="F44" i="33"/>
  <c r="H44" i="33"/>
  <c r="H31" i="34"/>
  <c r="F31" i="34"/>
  <c r="S47" i="34"/>
  <c r="AA47" i="34"/>
  <c r="AC30" i="37"/>
  <c r="W30" i="37"/>
  <c r="J12" i="37"/>
  <c r="H12" i="37"/>
  <c r="AB12" i="37" s="1"/>
  <c r="AB35" i="39"/>
  <c r="U35" i="39"/>
  <c r="H44" i="39"/>
  <c r="J44" i="39"/>
  <c r="AA31" i="35"/>
  <c r="S31" i="35"/>
  <c r="BA583" i="3"/>
  <c r="G583" i="3"/>
  <c r="BL582" i="3"/>
  <c r="BA582" i="3"/>
  <c r="AZ582" i="3" s="1"/>
  <c r="G581" i="3"/>
  <c r="BL580" i="3"/>
  <c r="AZ580" i="3" s="1"/>
  <c r="AZ326" i="3"/>
  <c r="AZ305" i="3"/>
  <c r="AZ549" i="3"/>
  <c r="AB39" i="37"/>
  <c r="U39" i="37"/>
  <c r="AB36" i="39"/>
  <c r="U36" i="39"/>
  <c r="B65" i="43"/>
  <c r="S44" i="21"/>
  <c r="AB45" i="34"/>
  <c r="S40" i="37"/>
  <c r="W22" i="36"/>
  <c r="AB31" i="40"/>
  <c r="S27" i="33"/>
  <c r="U27" i="34"/>
  <c r="W41" i="34"/>
  <c r="U26" i="36"/>
  <c r="AC13" i="39"/>
  <c r="U25" i="39"/>
  <c r="AC13" i="34"/>
  <c r="AZ338" i="3"/>
  <c r="AZ371" i="3"/>
  <c r="F9" i="37"/>
  <c r="S9" i="37" s="1"/>
  <c r="AC32" i="37"/>
  <c r="W32" i="37"/>
  <c r="S25" i="21"/>
  <c r="AA25" i="21"/>
  <c r="BL527" i="3"/>
  <c r="AZ527" i="3" s="1"/>
  <c r="BL539" i="3"/>
  <c r="AZ539" i="3" s="1"/>
  <c r="BL569" i="3"/>
  <c r="AA14" i="40"/>
  <c r="S14" i="40"/>
  <c r="AB13" i="37"/>
  <c r="U13" i="37"/>
  <c r="AC31" i="34"/>
  <c r="AC44" i="33"/>
  <c r="AC12" i="40"/>
  <c r="F30" i="34"/>
  <c r="W14" i="34"/>
  <c r="AC14" i="34"/>
  <c r="F13" i="33"/>
  <c r="J44" i="21"/>
  <c r="AA17" i="34"/>
  <c r="S17" i="34"/>
  <c r="AA12" i="36"/>
  <c r="W11" i="40"/>
  <c r="AA35" i="39"/>
  <c r="J27" i="21"/>
  <c r="F27" i="21"/>
  <c r="AB9" i="33"/>
  <c r="U9" i="33"/>
  <c r="F12" i="34"/>
  <c r="S12" i="34" s="1"/>
  <c r="F9" i="34"/>
  <c r="AA9" i="34" s="1"/>
  <c r="J9" i="34"/>
  <c r="J12" i="36"/>
  <c r="J38" i="37"/>
  <c r="F38" i="37"/>
  <c r="AC8" i="39"/>
  <c r="W8" i="39"/>
  <c r="F44" i="39"/>
  <c r="AA8" i="40"/>
  <c r="S8" i="40"/>
  <c r="W42" i="34"/>
  <c r="AC42" i="34"/>
  <c r="S19" i="40"/>
  <c r="AA19" i="40"/>
  <c r="AB19" i="37"/>
  <c r="U19" i="37"/>
  <c r="AA37" i="37"/>
  <c r="S37" i="37"/>
  <c r="AZ515" i="3"/>
  <c r="AZ523" i="3"/>
  <c r="AZ547" i="3"/>
  <c r="AZ529" i="3"/>
  <c r="AZ494" i="3"/>
  <c r="AZ506" i="3"/>
  <c r="AZ518" i="3"/>
  <c r="AA33" i="40"/>
  <c r="S33" i="40"/>
  <c r="AC11" i="35"/>
  <c r="AB11" i="33"/>
  <c r="U11" i="33"/>
  <c r="W28" i="34"/>
  <c r="AC28" i="34"/>
  <c r="AA28" i="34"/>
  <c r="S28" i="34"/>
  <c r="AC16" i="35"/>
  <c r="W16" i="35"/>
  <c r="S34" i="36"/>
  <c r="AA34" i="36"/>
  <c r="U38" i="21"/>
  <c r="AB38" i="21"/>
  <c r="BA586" i="3"/>
  <c r="BL585" i="3"/>
  <c r="AZ585" i="3" s="1"/>
  <c r="J28" i="21"/>
  <c r="H28" i="21"/>
  <c r="B72" i="43"/>
  <c r="C15" i="39"/>
  <c r="B75" i="43"/>
  <c r="AC9" i="33"/>
  <c r="W9" i="33"/>
  <c r="J26" i="33"/>
  <c r="J9" i="35"/>
  <c r="H9" i="35"/>
  <c r="U9" i="35" s="1"/>
  <c r="J24" i="35"/>
  <c r="F24" i="35"/>
  <c r="H36" i="35"/>
  <c r="U27" i="35"/>
  <c r="AB27" i="35"/>
  <c r="J24" i="36"/>
  <c r="F24" i="36"/>
  <c r="H14" i="37"/>
  <c r="AB14" i="37" s="1"/>
  <c r="F14" i="37"/>
  <c r="J14" i="37"/>
  <c r="J39" i="37"/>
  <c r="F39" i="37"/>
  <c r="S39" i="37" s="1"/>
  <c r="J32" i="40"/>
  <c r="F32" i="40"/>
  <c r="BA569" i="3"/>
  <c r="BA568" i="3"/>
  <c r="AZ568" i="3" s="1"/>
  <c r="BA567" i="3"/>
  <c r="BL566" i="3"/>
  <c r="BA566" i="3"/>
  <c r="AZ15" i="3"/>
  <c r="AZ391" i="3"/>
  <c r="AZ364" i="3"/>
  <c r="AZ329" i="3"/>
  <c r="AZ304" i="3"/>
  <c r="AZ306" i="3"/>
  <c r="BL535" i="3"/>
  <c r="AZ535" i="3" s="1"/>
  <c r="BL577" i="3"/>
  <c r="AZ577" i="3" s="1"/>
  <c r="AZ557" i="3"/>
  <c r="G585" i="3"/>
  <c r="BL587" i="3"/>
  <c r="AZ587" i="3" s="1"/>
  <c r="BL586" i="3"/>
  <c r="AB19" i="40"/>
  <c r="AZ384" i="3"/>
  <c r="AZ357" i="3"/>
  <c r="AZ322" i="3"/>
  <c r="AZ313" i="3"/>
  <c r="AZ394" i="3"/>
  <c r="BL519" i="3"/>
  <c r="AZ519" i="3" s="1"/>
  <c r="BL531" i="3"/>
  <c r="AZ531" i="3" s="1"/>
  <c r="BL573" i="3"/>
  <c r="AZ573" i="3" s="1"/>
  <c r="BL583" i="3"/>
  <c r="AZ583" i="3" s="1"/>
  <c r="G587" i="3"/>
  <c r="J12" i="35"/>
  <c r="G566" i="3"/>
  <c r="G558" i="3"/>
  <c r="AZ458" i="3"/>
  <c r="AZ462" i="3"/>
  <c r="AZ217" i="3"/>
  <c r="AZ228" i="3"/>
  <c r="AZ400" i="3"/>
  <c r="AZ402" i="3"/>
  <c r="AZ406" i="3"/>
  <c r="AZ443" i="3"/>
  <c r="AZ487" i="3"/>
  <c r="BA388" i="3"/>
  <c r="AZ388" i="3" s="1"/>
  <c r="BA396" i="3"/>
  <c r="BA209" i="3"/>
  <c r="BL217" i="3"/>
  <c r="BA219" i="3"/>
  <c r="AZ219" i="3" s="1"/>
  <c r="BA221" i="3"/>
  <c r="BA223" i="3"/>
  <c r="BL228" i="3"/>
  <c r="BA230" i="3"/>
  <c r="AZ230" i="3" s="1"/>
  <c r="BL232" i="3"/>
  <c r="BL234" i="3"/>
  <c r="BA236" i="3"/>
  <c r="AZ27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48" i="3"/>
  <c r="AZ248" i="3" s="1"/>
  <c r="BA249" i="3"/>
  <c r="AZ249" i="3" s="1"/>
  <c r="BL249" i="3"/>
  <c r="BA252" i="3"/>
  <c r="AZ252" i="3" s="1"/>
  <c r="BA254" i="3"/>
  <c r="AZ254" i="3" s="1"/>
  <c r="BL264" i="3"/>
  <c r="BA284" i="3"/>
  <c r="BL291" i="3"/>
  <c r="AZ291" i="3" s="1"/>
  <c r="G574" i="3"/>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L250" i="3"/>
  <c r="AZ250" i="3" s="1"/>
  <c r="BL267" i="3"/>
  <c r="BA268" i="3"/>
  <c r="BA282" i="3"/>
  <c r="AZ282" i="3" s="1"/>
  <c r="BL282" i="3"/>
  <c r="BL290" i="3"/>
  <c r="BA302" i="3"/>
  <c r="BA117" i="3"/>
  <c r="AZ177" i="3"/>
  <c r="AZ38" i="3"/>
  <c r="G398" i="3"/>
  <c r="BL400" i="3"/>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AZ210" i="3" s="1"/>
  <c r="BL210" i="3"/>
  <c r="BL212" i="3"/>
  <c r="BL214" i="3"/>
  <c r="AZ214" i="3" s="1"/>
  <c r="BA239" i="3"/>
  <c r="AZ239" i="3" s="1"/>
  <c r="BL239" i="3"/>
  <c r="BA241" i="3"/>
  <c r="AZ241" i="3" s="1"/>
  <c r="BL241" i="3"/>
  <c r="BA244" i="3"/>
  <c r="AZ244" i="3" s="1"/>
  <c r="BL244" i="3"/>
  <c r="BA246" i="3"/>
  <c r="G256" i="3"/>
  <c r="BA258" i="3"/>
  <c r="G266" i="3"/>
  <c r="G270" i="3"/>
  <c r="BL270" i="3"/>
  <c r="BA272" i="3"/>
  <c r="AZ272" i="3" s="1"/>
  <c r="BL275" i="3"/>
  <c r="AZ275" i="3" s="1"/>
  <c r="G277" i="3"/>
  <c r="BA286" i="3"/>
  <c r="BA293" i="3"/>
  <c r="G297" i="3"/>
  <c r="BL300" i="3"/>
  <c r="C55" i="71"/>
  <c r="D54" i="71"/>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25" i="3"/>
  <c r="AZ25" i="3" s="1"/>
  <c r="BL27" i="3"/>
  <c r="BA28" i="3"/>
  <c r="AZ28" i="3" s="1"/>
  <c r="G38" i="3"/>
  <c r="BA38" i="3"/>
  <c r="G47" i="3"/>
  <c r="BL48" i="3"/>
  <c r="C44" i="71"/>
  <c r="D43" i="71"/>
  <c r="BL261" i="3"/>
  <c r="BA263" i="3"/>
  <c r="AZ263" i="3" s="1"/>
  <c r="BA267" i="3"/>
  <c r="BA269" i="3"/>
  <c r="AZ269" i="3" s="1"/>
  <c r="BA271" i="3"/>
  <c r="AZ271" i="3" s="1"/>
  <c r="BL271" i="3"/>
  <c r="BA274" i="3"/>
  <c r="AZ274" i="3" s="1"/>
  <c r="BL274" i="3"/>
  <c r="BA276" i="3"/>
  <c r="BA279" i="3"/>
  <c r="BA281" i="3"/>
  <c r="BL286" i="3"/>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AZ183" i="3" s="1"/>
  <c r="BA194" i="3"/>
  <c r="AZ194" i="3" s="1"/>
  <c r="BA196" i="3"/>
  <c r="AZ196" i="3" s="1"/>
  <c r="BA202" i="3"/>
  <c r="BL207" i="3"/>
  <c r="BL18" i="3"/>
  <c r="BL19" i="3"/>
  <c r="BA20" i="3"/>
  <c r="AZ20" i="3" s="1"/>
  <c r="G27" i="3"/>
  <c r="BA27" i="3"/>
  <c r="BA32" i="3"/>
  <c r="BA42" i="3"/>
  <c r="D31" i="71"/>
  <c r="C32" i="71"/>
  <c r="D50" i="71"/>
  <c r="C51" i="7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L197" i="3"/>
  <c r="G198" i="3"/>
  <c r="BL199" i="3"/>
  <c r="AZ199" i="3" s="1"/>
  <c r="BA200" i="3"/>
  <c r="AZ200" i="3" s="1"/>
  <c r="G205" i="3"/>
  <c r="BL206" i="3"/>
  <c r="BA19" i="3"/>
  <c r="AZ19" i="3" s="1"/>
  <c r="BA30" i="3"/>
  <c r="BA31" i="3"/>
  <c r="BA40" i="3"/>
  <c r="BA41" i="3"/>
  <c r="AZ52" i="3"/>
  <c r="D34" i="71"/>
  <c r="C35" i="71"/>
  <c r="F66" i="71"/>
  <c r="Q67" i="71"/>
  <c r="V24" i="71"/>
  <c r="E23" i="71"/>
  <c r="E22" i="71" s="1"/>
  <c r="E21" i="71" s="1"/>
  <c r="E20" i="71" s="1"/>
  <c r="BL54" i="3"/>
  <c r="BL55" i="3"/>
  <c r="AZ55" i="3" s="1"/>
  <c r="G58" i="3"/>
  <c r="BA59" i="3"/>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A108" i="3"/>
  <c r="AZ108" i="3" s="1"/>
  <c r="S21" i="33"/>
  <c r="S21" i="37"/>
  <c r="B77" i="43"/>
  <c r="AA28" i="71"/>
  <c r="AB27" i="71"/>
  <c r="E75" i="71"/>
  <c r="E74" i="71" s="1"/>
  <c r="AB25" i="71"/>
  <c r="X26" i="71"/>
  <c r="Y25" i="71"/>
  <c r="Z25" i="71" s="1"/>
  <c r="X38" i="71"/>
  <c r="Y29" i="71"/>
  <c r="Z29" i="71" s="1"/>
  <c r="AB32" i="71"/>
  <c r="X33" i="71"/>
  <c r="BL30" i="3"/>
  <c r="BL31" i="3"/>
  <c r="G37" i="3"/>
  <c r="BL40" i="3"/>
  <c r="BL41" i="3"/>
  <c r="BL45" i="3"/>
  <c r="BA48" i="3"/>
  <c r="BA49" i="3"/>
  <c r="BA51" i="3"/>
  <c r="G55" i="3"/>
  <c r="BL56" i="3"/>
  <c r="BA58" i="3"/>
  <c r="BL59" i="3"/>
  <c r="BL60" i="3"/>
  <c r="BA61" i="3"/>
  <c r="BA68" i="3"/>
  <c r="BA73" i="3"/>
  <c r="BA80" i="3"/>
  <c r="BL84" i="3"/>
  <c r="BA89" i="3"/>
  <c r="G103" i="3"/>
  <c r="BA103" i="3"/>
  <c r="AZ103" i="3" s="1"/>
  <c r="BA104" i="3"/>
  <c r="BA106" i="3"/>
  <c r="BL111" i="3"/>
  <c r="P66" i="71"/>
  <c r="C66" i="71"/>
  <c r="AA27" i="71"/>
  <c r="AB26" i="71"/>
  <c r="S28" i="71"/>
  <c r="C83" i="71"/>
  <c r="C79" i="71"/>
  <c r="C71" i="71"/>
  <c r="C39" i="71"/>
  <c r="Y28" i="71"/>
  <c r="Z28" i="71" s="1"/>
  <c r="C28" i="71"/>
  <c r="Y30" i="71"/>
  <c r="Z30" i="71" s="1"/>
  <c r="X28" i="71"/>
  <c r="X32" i="71"/>
  <c r="F38" i="71"/>
  <c r="F39" i="71" s="1"/>
  <c r="F40" i="71" s="1"/>
  <c r="V40" i="71" s="1"/>
  <c r="AB38" i="71"/>
  <c r="AA39" i="71"/>
  <c r="F75" i="71"/>
  <c r="F74" i="71" s="1"/>
  <c r="B79" i="71"/>
  <c r="B78" i="71"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94" i="3"/>
  <c r="AZ94" i="3" s="1"/>
  <c r="BA100" i="3"/>
  <c r="AZ100" i="3" s="1"/>
  <c r="BA102" i="3"/>
  <c r="AZ102" i="3" s="1"/>
  <c r="BL105" i="3"/>
  <c r="AZ105" i="3" s="1"/>
  <c r="G107" i="3"/>
  <c r="BL107" i="3"/>
  <c r="BA111" i="3"/>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29" i="15"/>
  <c r="L48" i="15"/>
  <c r="F37" i="67"/>
  <c r="M23" i="67"/>
  <c r="M9" i="15"/>
  <c r="M6" i="15"/>
  <c r="F6" i="67"/>
  <c r="C76" i="67"/>
  <c r="L47" i="67"/>
  <c r="J15" i="15"/>
  <c r="F7" i="67"/>
  <c r="F38" i="67"/>
  <c r="F40" i="15"/>
  <c r="M29" i="67"/>
  <c r="F8" i="67"/>
  <c r="M26" i="15"/>
  <c r="F26" i="15"/>
  <c r="F16" i="67"/>
  <c r="F43" i="67"/>
  <c r="F36" i="15"/>
  <c r="M9" i="67"/>
  <c r="F26" i="67"/>
  <c r="D9" i="69"/>
  <c r="L47" i="15"/>
  <c r="F37" i="15"/>
  <c r="M28" i="67"/>
  <c r="D5" i="73"/>
  <c r="F13" i="15"/>
  <c r="L48" i="67"/>
  <c r="M8" i="15"/>
  <c r="J15" i="67"/>
  <c r="D4" i="73"/>
  <c r="F38" i="15"/>
  <c r="F7" i="15"/>
  <c r="M22" i="67"/>
  <c r="D7" i="73"/>
  <c r="F36" i="67"/>
  <c r="M23" i="15"/>
  <c r="F8" i="15"/>
  <c r="M6" i="67"/>
  <c r="M24" i="15"/>
  <c r="F16" i="15"/>
  <c r="F42" i="67"/>
  <c r="C36" i="69"/>
  <c r="M28" i="15"/>
  <c r="F40" i="67"/>
  <c r="F13" i="67"/>
  <c r="C76" i="15"/>
  <c r="F6" i="15"/>
  <c r="F9" i="67"/>
  <c r="M26" i="67"/>
  <c r="M8" i="67"/>
  <c r="M22" i="15"/>
  <c r="F9" i="15"/>
  <c r="M24" i="67"/>
  <c r="F43" i="15"/>
  <c r="F42" i="15"/>
  <c r="D3" i="73"/>
  <c r="D67" i="39" l="1"/>
  <c r="D69" i="39" s="1"/>
  <c r="I7" i="33"/>
  <c r="G7" i="33"/>
  <c r="E7" i="33"/>
  <c r="F65" i="67"/>
  <c r="J57" i="67"/>
  <c r="J55" i="67" s="1"/>
  <c r="J58" i="67" s="1"/>
  <c r="Q50" i="67" s="1"/>
  <c r="L56" i="67"/>
  <c r="I54" i="67"/>
  <c r="J53" i="67"/>
  <c r="F1" i="67" s="1"/>
  <c r="F68" i="67"/>
  <c r="F64" i="67"/>
  <c r="M7" i="67"/>
  <c r="J6" i="67" s="1"/>
  <c r="J18" i="67" s="1"/>
  <c r="F50" i="67"/>
  <c r="C27" i="15"/>
  <c r="F51" i="15"/>
  <c r="C6" i="15"/>
  <c r="F31" i="15"/>
  <c r="J53" i="15"/>
  <c r="L56" i="15" s="1"/>
  <c r="I54" i="15"/>
  <c r="J57" i="15"/>
  <c r="J55" i="15" s="1"/>
  <c r="J58" i="15" s="1"/>
  <c r="Q50" i="15" s="1"/>
  <c r="F65" i="15"/>
  <c r="F50" i="15"/>
  <c r="M7" i="15"/>
  <c r="J6" i="15" s="1"/>
  <c r="J18" i="15" s="1"/>
  <c r="F64" i="15"/>
  <c r="F68" i="15"/>
  <c r="F71" i="15"/>
  <c r="Q71" i="15"/>
  <c r="L59" i="15"/>
  <c r="Q74" i="15" s="1"/>
  <c r="M59" i="15"/>
  <c r="N59" i="15"/>
  <c r="L58" i="15"/>
  <c r="Q60" i="15" s="1"/>
  <c r="F66" i="15"/>
  <c r="E10" i="6"/>
  <c r="E8" i="6"/>
  <c r="F27" i="6" s="1"/>
  <c r="E11" i="6"/>
  <c r="E60" i="39" s="1"/>
  <c r="E59" i="40"/>
  <c r="E26" i="43"/>
  <c r="N94" i="46"/>
  <c r="J26" i="43"/>
  <c r="P6" i="1"/>
  <c r="Q16" i="1"/>
  <c r="H26" i="43"/>
  <c r="G26" i="43"/>
  <c r="N370" i="46"/>
  <c r="H16" i="1"/>
  <c r="C31" i="12"/>
  <c r="C77" i="9"/>
  <c r="C74" i="9" s="1"/>
  <c r="C48" i="69"/>
  <c r="C30" i="69"/>
  <c r="J7" i="36"/>
  <c r="C13" i="12"/>
  <c r="C30" i="68"/>
  <c r="C28" i="67"/>
  <c r="Q71" i="67"/>
  <c r="F71" i="67"/>
  <c r="L58" i="67"/>
  <c r="Q60" i="67" s="1"/>
  <c r="M59" i="67"/>
  <c r="N59" i="67"/>
  <c r="L59" i="67"/>
  <c r="Q74" i="67" s="1"/>
  <c r="F51" i="67"/>
  <c r="F66" i="67"/>
  <c r="C27" i="67"/>
  <c r="C6" i="67"/>
  <c r="F31" i="67"/>
  <c r="G16" i="1"/>
  <c r="F10" i="39" s="1"/>
  <c r="S10" i="39" s="1"/>
  <c r="AZ111" i="3"/>
  <c r="T28" i="71"/>
  <c r="D28" i="71"/>
  <c r="U28" i="71" s="1"/>
  <c r="C27" i="71"/>
  <c r="D79" i="71"/>
  <c r="C78" i="71"/>
  <c r="D78" i="71" s="1"/>
  <c r="AZ58" i="3"/>
  <c r="AZ49" i="3"/>
  <c r="AZ31" i="3"/>
  <c r="AZ121" i="3"/>
  <c r="AZ286" i="3"/>
  <c r="AZ491" i="3"/>
  <c r="AZ454" i="3"/>
  <c r="AZ435" i="3"/>
  <c r="W12" i="35"/>
  <c r="AC12" i="35"/>
  <c r="AC32" i="40"/>
  <c r="W32" i="40"/>
  <c r="AA14" i="37"/>
  <c r="S14" i="37"/>
  <c r="AC24" i="35"/>
  <c r="W24" i="35"/>
  <c r="AZ586" i="3"/>
  <c r="S38" i="37"/>
  <c r="AA38" i="37"/>
  <c r="AA27" i="21"/>
  <c r="S27" i="21"/>
  <c r="S13" i="33"/>
  <c r="AA13" i="33"/>
  <c r="S31" i="34"/>
  <c r="AA31" i="34"/>
  <c r="U14" i="33"/>
  <c r="AB14" i="33"/>
  <c r="S36" i="39"/>
  <c r="AA36" i="39"/>
  <c r="U44" i="21"/>
  <c r="AB44" i="21"/>
  <c r="S11" i="35"/>
  <c r="AA11" i="35"/>
  <c r="W12" i="34"/>
  <c r="AC12" i="34"/>
  <c r="S26" i="33"/>
  <c r="AA26" i="33"/>
  <c r="AB13" i="21"/>
  <c r="U13" i="21"/>
  <c r="D83" i="71"/>
  <c r="C82" i="71"/>
  <c r="D82" i="71" s="1"/>
  <c r="O65" i="71"/>
  <c r="D66" i="71"/>
  <c r="O66" i="71"/>
  <c r="AZ61" i="3"/>
  <c r="AZ150" i="3"/>
  <c r="C52" i="71"/>
  <c r="D51" i="71"/>
  <c r="AZ267" i="3"/>
  <c r="D44" i="71"/>
  <c r="T44" i="71"/>
  <c r="AZ302" i="3"/>
  <c r="AZ401" i="3"/>
  <c r="AZ284" i="3"/>
  <c r="AZ223" i="3"/>
  <c r="AB28" i="21"/>
  <c r="U28" i="21"/>
  <c r="AA44" i="39"/>
  <c r="S44" i="39"/>
  <c r="AC38" i="37"/>
  <c r="W38" i="37"/>
  <c r="W27" i="21"/>
  <c r="AC27" i="21"/>
  <c r="W14" i="33"/>
  <c r="AC14" i="33"/>
  <c r="S46" i="34"/>
  <c r="AA46" i="34"/>
  <c r="AZ521" i="3"/>
  <c r="U46" i="34"/>
  <c r="AB46" i="34"/>
  <c r="W31" i="33"/>
  <c r="AC31" i="33"/>
  <c r="U29" i="21"/>
  <c r="AB29" i="21"/>
  <c r="C40" i="71"/>
  <c r="D39" i="71"/>
  <c r="AZ41" i="3"/>
  <c r="AZ464" i="3"/>
  <c r="AZ483" i="3"/>
  <c r="AZ566" i="3"/>
  <c r="AC39" i="37"/>
  <c r="W39" i="37"/>
  <c r="S24" i="36"/>
  <c r="AA24" i="36"/>
  <c r="AB36" i="35"/>
  <c r="U36" i="35"/>
  <c r="W9" i="35"/>
  <c r="AC9" i="35"/>
  <c r="W28" i="21"/>
  <c r="AC28" i="21"/>
  <c r="W12" i="36"/>
  <c r="AC12" i="36"/>
  <c r="AC44" i="39"/>
  <c r="W44" i="39"/>
  <c r="AB44" i="33"/>
  <c r="U44" i="33"/>
  <c r="AB30" i="21"/>
  <c r="U30" i="21"/>
  <c r="S25" i="35"/>
  <c r="AA25" i="35"/>
  <c r="G29" i="6"/>
  <c r="AZ502" i="3"/>
  <c r="AZ520" i="3"/>
  <c r="AZ522" i="3"/>
  <c r="AZ538" i="3"/>
  <c r="S36" i="35"/>
  <c r="AA36" i="35"/>
  <c r="W46" i="34"/>
  <c r="AC46" i="34"/>
  <c r="AA31" i="33"/>
  <c r="S31" i="33"/>
  <c r="AC29" i="21"/>
  <c r="W29" i="21"/>
  <c r="G5" i="3"/>
  <c r="B3" i="3" s="1"/>
  <c r="E49" i="3" s="1"/>
  <c r="C70" i="71"/>
  <c r="D70" i="71" s="1"/>
  <c r="D71" i="71"/>
  <c r="AZ51" i="3"/>
  <c r="AZ59" i="3"/>
  <c r="C36" i="71"/>
  <c r="D35" i="71"/>
  <c r="T32" i="71"/>
  <c r="D32" i="71"/>
  <c r="AZ27" i="3"/>
  <c r="C56" i="71"/>
  <c r="D55" i="71"/>
  <c r="AZ418" i="3"/>
  <c r="S32" i="40"/>
  <c r="AA32" i="40"/>
  <c r="AC24" i="36"/>
  <c r="W24" i="36"/>
  <c r="AA24" i="35"/>
  <c r="S24" i="35"/>
  <c r="W26" i="33"/>
  <c r="AC26" i="33"/>
  <c r="AC9" i="34"/>
  <c r="W9" i="34"/>
  <c r="AC44" i="21"/>
  <c r="W44" i="21"/>
  <c r="S30" i="34"/>
  <c r="AA30" i="34"/>
  <c r="AZ569" i="3"/>
  <c r="AB44" i="39"/>
  <c r="U44" i="39"/>
  <c r="W12" i="37"/>
  <c r="AC12" i="37"/>
  <c r="S44" i="33"/>
  <c r="AA44" i="33"/>
  <c r="AC30" i="21"/>
  <c r="W30" i="21"/>
  <c r="AZ503" i="3"/>
  <c r="AZ550" i="3"/>
  <c r="U12" i="34"/>
  <c r="AB12" i="34"/>
  <c r="U26" i="33"/>
  <c r="AB26" i="33"/>
  <c r="AC13" i="21"/>
  <c r="W13" i="21"/>
  <c r="J7" i="37"/>
  <c r="K1" i="73"/>
  <c r="E420" i="3"/>
  <c r="E38" i="3"/>
  <c r="E110" i="3"/>
  <c r="E179" i="3"/>
  <c r="E537" i="3"/>
  <c r="E291" i="3"/>
  <c r="E321" i="3"/>
  <c r="E262" i="3"/>
  <c r="E274" i="3"/>
  <c r="E448" i="3"/>
  <c r="E316" i="3"/>
  <c r="E569" i="3"/>
  <c r="E294" i="3"/>
  <c r="E117" i="3"/>
  <c r="E336" i="3"/>
  <c r="E45" i="3"/>
  <c r="E571" i="3"/>
  <c r="E318" i="3"/>
  <c r="E515" i="3"/>
  <c r="E27" i="3"/>
  <c r="E175" i="3"/>
  <c r="E337" i="3"/>
  <c r="E380" i="3"/>
  <c r="E503" i="3"/>
  <c r="E124" i="3"/>
  <c r="E228" i="3"/>
  <c r="E587" i="3"/>
  <c r="E315" i="3"/>
  <c r="E204" i="3"/>
  <c r="E345" i="3"/>
  <c r="E70" i="3"/>
  <c r="E572" i="3"/>
  <c r="AJ6" i="3"/>
  <c r="E201" i="3"/>
  <c r="AB6" i="3"/>
  <c r="E278" i="3"/>
  <c r="E161"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F27" i="68"/>
  <c r="AE7" i="1"/>
  <c r="AE8" i="1"/>
  <c r="AE12" i="1"/>
  <c r="AE10" i="1"/>
  <c r="F27" i="69"/>
  <c r="C16" i="15"/>
  <c r="C16" i="67"/>
  <c r="G1" i="73"/>
  <c r="F67" i="39" l="1"/>
  <c r="F59" i="67"/>
  <c r="C47" i="69"/>
  <c r="D45" i="69" s="1"/>
  <c r="H10" i="40"/>
  <c r="AB10" i="40" s="1"/>
  <c r="M17" i="15"/>
  <c r="F45" i="69"/>
  <c r="Q52" i="67"/>
  <c r="F59" i="15"/>
  <c r="Q52" i="15"/>
  <c r="F1" i="15"/>
  <c r="C49" i="15"/>
  <c r="Q73" i="15"/>
  <c r="J5" i="15"/>
  <c r="J24" i="15" s="1"/>
  <c r="Q61" i="15"/>
  <c r="M17" i="67"/>
  <c r="J5" i="67"/>
  <c r="J24" i="67" s="1"/>
  <c r="J10" i="40"/>
  <c r="AC10" i="40" s="1"/>
  <c r="C29" i="69"/>
  <c r="D27" i="69" s="1"/>
  <c r="Q61" i="67"/>
  <c r="E263" i="3"/>
  <c r="E172" i="3"/>
  <c r="E215" i="3"/>
  <c r="E570" i="3"/>
  <c r="E579" i="3"/>
  <c r="E526" i="3"/>
  <c r="E273" i="3"/>
  <c r="E531" i="3"/>
  <c r="AO6" i="3"/>
  <c r="E368" i="3"/>
  <c r="E106" i="3"/>
  <c r="E560" i="3"/>
  <c r="E568" i="3"/>
  <c r="E301" i="3"/>
  <c r="E261" i="3"/>
  <c r="AR6" i="3"/>
  <c r="E508" i="3"/>
  <c r="E331" i="3"/>
  <c r="E505" i="3"/>
  <c r="E269" i="3"/>
  <c r="E111" i="3"/>
  <c r="E458" i="3"/>
  <c r="E85" i="3"/>
  <c r="E382" i="3"/>
  <c r="E415" i="3"/>
  <c r="E559" i="3"/>
  <c r="E366" i="3"/>
  <c r="E404" i="3"/>
  <c r="E236" i="3"/>
  <c r="E429" i="3"/>
  <c r="E159" i="3"/>
  <c r="E574" i="3"/>
  <c r="E379" i="3"/>
  <c r="E122" i="3"/>
  <c r="E47" i="3"/>
  <c r="E460" i="3"/>
  <c r="E543" i="3"/>
  <c r="E389" i="3"/>
  <c r="E135" i="3"/>
  <c r="E563" i="3"/>
  <c r="E335" i="3"/>
  <c r="E311" i="3"/>
  <c r="E509" i="3"/>
  <c r="E217" i="3"/>
  <c r="E182" i="3"/>
  <c r="E557" i="3"/>
  <c r="Z6" i="3"/>
  <c r="E74" i="3"/>
  <c r="E468" i="3"/>
  <c r="E133" i="3"/>
  <c r="E347" i="3"/>
  <c r="E91" i="3"/>
  <c r="E216" i="3"/>
  <c r="E270" i="3"/>
  <c r="E343" i="3"/>
  <c r="E186" i="3"/>
  <c r="E414" i="3"/>
  <c r="E567" i="3"/>
  <c r="E433" i="3"/>
  <c r="E519" i="3"/>
  <c r="E253" i="3"/>
  <c r="E61" i="3"/>
  <c r="E130" i="3"/>
  <c r="E229" i="3"/>
  <c r="E480" i="3"/>
  <c r="E558" i="3"/>
  <c r="E580" i="3"/>
  <c r="E437" i="3"/>
  <c r="E213" i="3"/>
  <c r="E319" i="3"/>
  <c r="E357" i="3"/>
  <c r="E413" i="3"/>
  <c r="E19" i="3"/>
  <c r="E340" i="3"/>
  <c r="E95" i="3"/>
  <c r="E554" i="3"/>
  <c r="E235" i="3"/>
  <c r="E497" i="3"/>
  <c r="E220" i="3"/>
  <c r="E105" i="3"/>
  <c r="E401" i="3"/>
  <c r="E473" i="3"/>
  <c r="E112" i="3"/>
  <c r="E141" i="3"/>
  <c r="E24" i="3"/>
  <c r="E57" i="3"/>
  <c r="E48" i="3"/>
  <c r="E436" i="3"/>
  <c r="E542" i="3"/>
  <c r="Y6" i="3"/>
  <c r="E87" i="3"/>
  <c r="E127" i="3"/>
  <c r="E157" i="3"/>
  <c r="E288" i="3"/>
  <c r="E257" i="3"/>
  <c r="E207" i="3"/>
  <c r="E367" i="3"/>
  <c r="E272" i="3"/>
  <c r="E53" i="3"/>
  <c r="E328" i="3"/>
  <c r="E390" i="3"/>
  <c r="E338" i="3"/>
  <c r="E304" i="3"/>
  <c r="E254" i="3"/>
  <c r="E353" i="3"/>
  <c r="E434" i="3"/>
  <c r="Q6" i="3"/>
  <c r="AE6" i="3"/>
  <c r="E203" i="3"/>
  <c r="I6" i="3"/>
  <c r="AG6" i="3"/>
  <c r="E581" i="3"/>
  <c r="E295" i="3"/>
  <c r="E125" i="3"/>
  <c r="E239" i="3"/>
  <c r="E358"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10" i="3"/>
  <c r="E173" i="3"/>
  <c r="E115" i="3"/>
  <c r="E158" i="3"/>
  <c r="E422" i="3"/>
  <c r="E276" i="3"/>
  <c r="E234" i="3"/>
  <c r="E62" i="3"/>
  <c r="E58" i="3"/>
  <c r="E421" i="3"/>
  <c r="E446" i="3"/>
  <c r="E149" i="3"/>
  <c r="E266" i="3"/>
  <c r="E259" i="3"/>
  <c r="E488" i="3"/>
  <c r="E187" i="3"/>
  <c r="E461" i="3"/>
  <c r="E529" i="3"/>
  <c r="E475" i="3"/>
  <c r="E14" i="3"/>
  <c r="E411" i="3"/>
  <c r="E71" i="3"/>
  <c r="E317" i="3"/>
  <c r="E153" i="3"/>
  <c r="E359" i="3"/>
  <c r="E523" i="3"/>
  <c r="E169" i="3"/>
  <c r="E17" i="3"/>
  <c r="E303" i="3"/>
  <c r="E156" i="3"/>
  <c r="E120" i="3"/>
  <c r="E481" i="3"/>
  <c r="E55" i="3"/>
  <c r="E394" i="3"/>
  <c r="E252" i="3"/>
  <c r="E443" i="3"/>
  <c r="E88" i="3"/>
  <c r="E334" i="3"/>
  <c r="E282" i="3"/>
  <c r="E396" i="3"/>
  <c r="E551"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536" i="3"/>
  <c r="E309" i="3"/>
  <c r="E408" i="3"/>
  <c r="E428" i="3"/>
  <c r="E16" i="3"/>
  <c r="AH6" i="3"/>
  <c r="L6" i="3"/>
  <c r="E392" i="3"/>
  <c r="E365" i="3"/>
  <c r="E65" i="3"/>
  <c r="E416" i="3"/>
  <c r="E354" i="3"/>
  <c r="E582" i="3"/>
  <c r="E584" i="3"/>
  <c r="E163" i="3"/>
  <c r="E195" i="3"/>
  <c r="E98" i="3"/>
  <c r="E306" i="3"/>
  <c r="E474" i="3"/>
  <c r="E54" i="3"/>
  <c r="E196" i="3"/>
  <c r="E432" i="3"/>
  <c r="E92" i="3"/>
  <c r="E29" i="3"/>
  <c r="E426" i="3"/>
  <c r="E285" i="3"/>
  <c r="E418" i="3"/>
  <c r="E237" i="3"/>
  <c r="E302" i="3"/>
  <c r="AN6" i="3"/>
  <c r="E238" i="3"/>
  <c r="E177" i="3"/>
  <c r="E344" i="3"/>
  <c r="E3" i="6"/>
  <c r="E242" i="3"/>
  <c r="E119" i="3"/>
  <c r="X6" i="3"/>
  <c r="E423" i="3"/>
  <c r="E535" i="3"/>
  <c r="E189" i="3"/>
  <c r="M6" i="3"/>
  <c r="E247" i="3"/>
  <c r="E268" i="3"/>
  <c r="E377" i="3"/>
  <c r="E28" i="3"/>
  <c r="E485" i="3"/>
  <c r="E89" i="3"/>
  <c r="E171" i="3"/>
  <c r="E406" i="3"/>
  <c r="E545" i="3"/>
  <c r="E586" i="3"/>
  <c r="E183" i="3"/>
  <c r="E538" i="3"/>
  <c r="E555" i="3"/>
  <c r="E44" i="3"/>
  <c r="E476" i="3"/>
  <c r="E107" i="3"/>
  <c r="E279" i="3"/>
  <c r="E457" i="3"/>
  <c r="E511" i="3"/>
  <c r="E518" i="3"/>
  <c r="E260" i="3"/>
  <c r="E407" i="3"/>
  <c r="N6" i="3"/>
  <c r="E121" i="3"/>
  <c r="E576" i="3"/>
  <c r="E73" i="3"/>
  <c r="E280" i="3"/>
  <c r="S6" i="3"/>
  <c r="E546" i="3"/>
  <c r="E224" i="3"/>
  <c r="E374" i="3"/>
  <c r="E244" i="3"/>
  <c r="E108" i="3"/>
  <c r="E102" i="3"/>
  <c r="E398" i="3"/>
  <c r="E218" i="3"/>
  <c r="E147" i="3"/>
  <c r="E339" i="3"/>
  <c r="E455" i="3"/>
  <c r="E333" i="3"/>
  <c r="E40" i="3"/>
  <c r="E490" i="3"/>
  <c r="E493" i="3"/>
  <c r="E83" i="3"/>
  <c r="E342" i="3"/>
  <c r="E243" i="3"/>
  <c r="E452" i="3"/>
  <c r="E405" i="3"/>
  <c r="E34" i="3"/>
  <c r="E233" i="3"/>
  <c r="C49" i="67"/>
  <c r="E510" i="3"/>
  <c r="E575" i="3"/>
  <c r="E417" i="3"/>
  <c r="E409" i="3"/>
  <c r="E67" i="3"/>
  <c r="E198" i="3"/>
  <c r="E383" i="3"/>
  <c r="E113" i="3"/>
  <c r="E525"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449" i="3"/>
  <c r="E241" i="3"/>
  <c r="E267" i="3"/>
  <c r="E63" i="3"/>
  <c r="E18" i="3"/>
  <c r="E206" i="3"/>
  <c r="E205" i="3"/>
  <c r="E456"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Q73" i="67"/>
  <c r="E547" i="3"/>
  <c r="U6" i="3"/>
  <c r="E397" i="3"/>
  <c r="E168" i="3"/>
  <c r="W6" i="3"/>
  <c r="E532" i="3"/>
  <c r="E136" i="3"/>
  <c r="E307" i="3"/>
  <c r="E167" i="3"/>
  <c r="AD6" i="3"/>
  <c r="E462" i="3"/>
  <c r="E373" i="3"/>
  <c r="E297" i="3"/>
  <c r="E323" i="3"/>
  <c r="E209" i="3"/>
  <c r="E500" i="3"/>
  <c r="E51" i="3"/>
  <c r="E155" i="3"/>
  <c r="E101" i="3"/>
  <c r="E50" i="3"/>
  <c r="E52" i="3"/>
  <c r="E137" i="3"/>
  <c r="E43" i="3"/>
  <c r="E202" i="3"/>
  <c r="E498" i="3"/>
  <c r="E486" i="3"/>
  <c r="E223" i="3"/>
  <c r="E370" i="3"/>
  <c r="E78" i="3"/>
  <c r="E104" i="3"/>
  <c r="E360" i="3"/>
  <c r="E22" i="3"/>
  <c r="AL6" i="3"/>
  <c r="E64" i="3"/>
  <c r="E442" i="3"/>
  <c r="J10" i="39"/>
  <c r="W10" i="39" s="1"/>
  <c r="AA10" i="39"/>
  <c r="F10" i="40"/>
  <c r="S10" i="40" s="1"/>
  <c r="H10" i="39"/>
  <c r="U10" i="39" s="1"/>
  <c r="E96" i="3"/>
  <c r="E42" i="3"/>
  <c r="E281" i="3"/>
  <c r="E513" i="3"/>
  <c r="E81" i="3"/>
  <c r="E355" i="3"/>
  <c r="E33" i="3"/>
  <c r="E492" i="3"/>
  <c r="E249" i="3"/>
  <c r="E46" i="3"/>
  <c r="E484" i="3"/>
  <c r="E544" i="3"/>
  <c r="E292" i="3"/>
  <c r="E152" i="3"/>
  <c r="E479" i="3"/>
  <c r="E517" i="3"/>
  <c r="E255" i="3"/>
  <c r="E466" i="3"/>
  <c r="E499" i="3"/>
  <c r="E212" i="3"/>
  <c r="D36" i="71"/>
  <c r="T36" i="71"/>
  <c r="T40" i="71"/>
  <c r="D40" i="71"/>
  <c r="T52" i="71"/>
  <c r="D52" i="71"/>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G30" i="6"/>
  <c r="G31" i="6" s="1"/>
  <c r="E29" i="6"/>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AE6" i="1"/>
  <c r="F41" i="15"/>
  <c r="F25" i="12" l="1"/>
  <c r="C26" i="12" s="1"/>
  <c r="D25" i="12" s="1"/>
  <c r="C48" i="15"/>
  <c r="C66" i="15" s="1"/>
  <c r="AC10" i="39"/>
  <c r="C48" i="67"/>
  <c r="C66" i="67" s="1"/>
  <c r="AC6" i="3"/>
  <c r="H6" i="3"/>
  <c r="E6" i="3" s="1"/>
  <c r="F22" i="68"/>
  <c r="F41" i="68" s="1"/>
  <c r="AB10" i="39"/>
  <c r="D116" i="43"/>
  <c r="K15" i="1"/>
  <c r="K16" i="1" s="1"/>
  <c r="E30" i="6"/>
  <c r="E31" i="6"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67"/>
  <c r="C34" i="69"/>
  <c r="D10" i="69"/>
  <c r="C17" i="15"/>
  <c r="C17" i="67"/>
  <c r="C14" i="67"/>
  <c r="F69" i="67" l="1"/>
  <c r="C44" i="68"/>
  <c r="D41" i="68" s="1"/>
  <c r="C23" i="68"/>
  <c r="C26" i="68"/>
  <c r="D22" i="68" s="1"/>
  <c r="C26" i="11"/>
  <c r="D22" i="11" s="1"/>
  <c r="C44" i="11"/>
  <c r="D41"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L8"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7"/>
  <c r="L51" i="15"/>
  <c r="D2" i="36"/>
  <c r="D2" i="34"/>
  <c r="D19" i="9"/>
  <c r="C102" i="9" l="1"/>
  <c r="C21" i="9"/>
  <c r="B3" i="33"/>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20" i="9"/>
  <c r="AO10" i="1"/>
  <c r="AO8" i="1"/>
  <c r="D20" i="9"/>
  <c r="AO9" i="1"/>
  <c r="AO12" i="1"/>
  <c r="AO11" i="1"/>
  <c r="K8" i="9" l="1"/>
  <c r="O9" i="9" s="1"/>
  <c r="O8" i="9" s="1"/>
  <c r="C103" i="9"/>
  <c r="D103" i="9"/>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L10" i="9" l="1"/>
  <c r="C35"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I4" i="52" l="1"/>
  <c r="F119" i="9"/>
  <c r="F5" i="52" s="1"/>
  <c r="B53" i="72" s="1"/>
  <c r="F4" i="52"/>
  <c r="B51" i="72" s="1"/>
  <c r="H118" i="9"/>
  <c r="G4" i="52"/>
  <c r="B52" i="72" s="1"/>
  <c r="E118" i="9"/>
  <c r="H102" i="9"/>
  <c r="H119" i="9" l="1"/>
  <c r="H5" i="52" s="1"/>
  <c r="H4" i="52"/>
  <c r="H101" i="9"/>
  <c r="C104" i="9"/>
  <c r="D7" i="53"/>
  <c r="B21" i="72" s="1"/>
  <c r="D118" i="9"/>
  <c r="E4" i="52"/>
  <c r="B48" i="72" s="1"/>
  <c r="B5" i="74" l="1"/>
  <c r="F14" i="74"/>
  <c r="M48" i="9"/>
  <c r="D5" i="53"/>
  <c r="D45" i="9"/>
  <c r="H107" i="9"/>
  <c r="B6" i="74" s="1"/>
  <c r="D6" i="74" s="1"/>
  <c r="D119" i="9"/>
  <c r="D5" i="52" s="1"/>
  <c r="B49" i="72" s="1"/>
  <c r="D4" i="52"/>
  <c r="B47" i="72" s="1"/>
  <c r="D5" i="74" l="1"/>
  <c r="C5" i="74"/>
  <c r="C93" i="9"/>
  <c r="C86" i="9" s="1"/>
  <c r="D55" i="9"/>
  <c r="M53" i="9" s="1"/>
  <c r="D53" i="9"/>
  <c r="C78" i="9"/>
  <c r="C73" i="9" s="1"/>
  <c r="D52" i="9"/>
  <c r="C72" i="9"/>
  <c r="C85" i="9"/>
  <c r="C64" i="9"/>
  <c r="C63" i="9" s="1"/>
  <c r="C67" i="9" s="1"/>
  <c r="D6" i="53"/>
  <c r="B22" i="72" s="1"/>
  <c r="B20" i="72"/>
  <c r="H108" i="9"/>
  <c r="D122" i="9"/>
  <c r="D13" i="53"/>
  <c r="C95" i="9" l="1"/>
  <c r="C79" i="9"/>
  <c r="C80" i="9" s="1"/>
  <c r="B30" i="72"/>
  <c r="D14" i="53"/>
  <c r="B32" i="72" s="1"/>
  <c r="D8" i="52"/>
  <c r="D123" i="9"/>
  <c r="D9" i="52" s="1"/>
  <c r="D59" i="9"/>
  <c r="M55" i="9" s="1"/>
  <c r="C68" i="9"/>
  <c r="D54" i="9" s="1"/>
  <c r="C6" i="74"/>
  <c r="D15" i="53"/>
  <c r="B31" i="72" s="1"/>
  <c r="C96" i="9"/>
  <c r="E96" i="9" s="1"/>
  <c r="E97" i="9" s="1"/>
  <c r="E80" i="9" l="1"/>
  <c r="E81" i="9" s="1"/>
  <c r="C81" i="9"/>
  <c r="C97" i="9"/>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<sst xmlns="http://schemas.openxmlformats.org/spreadsheetml/2006/main" count="7923" uniqueCount="3470">
  <si>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</si>
  <si>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</si>
  <si>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</si>
  <si>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</si>
  <si>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</si>
  <si>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</si>
  <si>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</si>
  <si>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</si>
  <si>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</si>
  <si>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</si>
  <si>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</si>
  <si>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</si>
  <si>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</si>
  <si>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</si>
  <si>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</si>
  <si>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</si>
  <si>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</si>
  <si>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</si>
  <si>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</si>
  <si>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</si>
  <si>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</si>
  <si>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</si>
  <si>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</si>
  <si>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</si>
  <si>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</si>
  <si>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</si>
  <si>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</si>
  <si>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</si>
  <si>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</si>
  <si>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</si>
  <si>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</si>
  <si>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</si>
  <si>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</si>
  <si>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</si>
  <si>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</si>
  <si>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</si>
  <si>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</si>
  <si>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</si>
  <si>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</si>
  <si>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</si>
  <si>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</si>
  <si>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</si>
  <si>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</si>
  <si>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</si>
  <si>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</si>
  <si>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</si>
  <si>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</si>
  <si>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</si>
  <si>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</si>
  <si>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</si>
  <si>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</si>
  <si>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</si>
  <si>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</si>
  <si>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</si>
  <si>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</si>
  <si>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</si>
  <si>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</si>
  <si>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</si>
  <si>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</si>
  <si>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</si>
  <si>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</si>
  <si>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</si>
  <si>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</si>
  <si>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</si>
  <si>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</si>
  <si>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</si>
  <si>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</si>
  <si>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</si>
  <si>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</si>
  <si>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</si>
  <si>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</si>
  <si>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</si>
  <si>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</si>
  <si>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</si>
  <si>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</si>
  <si>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</si>
  <si>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</si>
  <si>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</si>
  <si>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</si>
  <si>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</si>
  <si>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</si>
  <si>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</si>
  <si>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</si>
  <si>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</si>
  <si>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</si>
  <si>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</si>
  <si>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</si>
  <si>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</si>
  <si>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</si>
  <si>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</si>
  <si>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</si>
  <si>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</si>
  <si>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</si>
  <si>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</si>
  <si>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</si>
  <si>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</si>
  <si>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</si>
  <si>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</si>
  <si>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</si>
  <si>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</si>
  <si>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</si>
  <si>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</si>
  <si>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</si>
  <si>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</si>
  <si>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</si>
  <si>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</si>
  <si>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</si>
  <si>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</si>
  <si>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</si>
  <si>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</si>
  <si>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</si>
  <si>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</si>
  <si>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</si>
  <si>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</si>
  <si>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</si>
  <si>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</si>
  <si>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</si>
  <si>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</si>
  <si>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</si>
  <si>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</si>
  <si>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</si>
  <si>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</si>
  <si>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</si>
  <si>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</si>
  <si>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</si>
  <si>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</si>
  <si>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</si>
  <si>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</si>
  <si>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</si>
  <si>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</si>
  <si>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</si>
  <si>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</si>
  <si>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</si>
  <si>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</si>
  <si>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</si>
  <si>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</si>
  <si>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</si>
  <si>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</si>
  <si>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</si>
  <si>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</si>
  <si>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</si>
  <si>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</si>
  <si>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</si>
  <si>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</si>
  <si>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</si>
  <si>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</si>
  <si>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</si>
  <si>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</si>
  <si>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</si>
  <si>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</si>
  <si>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</si>
  <si>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</si>
  <si>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</si>
  <si>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</si>
  <si>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</si>
  <si>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</si>
  <si>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</si>
  <si>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</si>
  <si>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</si>
  <si>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</si>
  <si>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</si>
  <si>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</si>
  <si>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</si>
  <si>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</si>
  <si>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</si>
  <si>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</si>
  <si>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</si>
  <si>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</si>
  <si>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</si>
  <si>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</si>
  <si>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</si>
  <si>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</si>
  <si>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</si>
  <si>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</si>
  <si>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</si>
  <si>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</si>
  <si>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</si>
  <si>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</si>
  <si>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</si>
  <si>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</si>
  <si>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</si>
  <si>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</si>
  <si>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</si>
  <si>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</si>
  <si>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</si>
  <si>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</si>
  <si>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</si>
  <si>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</si>
  <si>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</si>
  <si>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</si>
  <si>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</si>
  <si>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</si>
  <si>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</si>
  <si>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</si>
  <si>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</si>
  <si>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</si>
  <si>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</si>
  <si>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</si>
  <si>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</si>
  <si>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</si>
  <si>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</si>
  <si>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</si>
  <si>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</si>
  <si>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</si>
  <si>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</si>
  <si>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</si>
  <si>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</si>
  <si>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</si>
  <si>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</si>
  <si>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</si>
  <si>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</si>
  <si>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</si>
  <si>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</si>
  <si>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</si>
  <si>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</si>
  <si>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</si>
  <si>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</si>
  <si>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</si>
  <si>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</si>
  <si>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</si>
  <si>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</si>
  <si>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</si>
  <si>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</si>
  <si>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</si>
  <si>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</si>
  <si>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</si>
  <si>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</si>
  <si>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</si>
  <si>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</si>
  <si>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</si>
  <si>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</si>
  <si>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</si>
  <si>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</si>
  <si>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</si>
  <si>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</si>
  <si>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</si>
  <si>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</si>
  <si>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</si>
  <si>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</si>
  <si>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</si>
  <si>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</si>
  <si>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</si>
  <si>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</si>
  <si>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</si>
  <si>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</si>
  <si>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</si>
  <si>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</si>
  <si>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</si>
  <si>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</si>
  <si>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</si>
  <si>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</si>
  <si>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</si>
  <si>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</si>
  <si>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</si>
  <si>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</si>
  <si>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</si>
  <si>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</si>
  <si>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</si>
  <si>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</si>
  <si>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</si>
  <si>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</si>
  <si>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</si>
  <si>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</si>
  <si>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</si>
  <si>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</si>
  <si>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</si>
  <si>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</si>
  <si>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</si>
  <si>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</si>
  <si>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</si>
  <si>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</si>
  <si>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</si>
  <si>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</si>
  <si>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</si>
  <si>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</si>
  <si>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</si>
  <si>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</si>
  <si>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</si>
  <si>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</si>
  <si>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</si>
  <si>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</si>
  <si>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</si>
  <si>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</si>
  <si>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</si>
  <si>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</si>
  <si>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</si>
  <si>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</si>
  <si>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</si>
  <si>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</si>
  <si>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</si>
  <si>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</si>
  <si>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</si>
  <si>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</si>
  <si>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</si>
  <si>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</si>
  <si>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</si>
  <si>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</si>
  <si>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</si>
  <si>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</si>
  <si>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</si>
  <si>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</si>
  <si>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</si>
  <si>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</si>
  <si>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</si>
  <si>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</si>
  <si>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</si>
  <si>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</si>
  <si>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</si>
  <si>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</si>
  <si>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</si>
  <si>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</si>
  <si>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</si>
  <si>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</si>
  <si>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</si>
  <si>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</si>
  <si>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</si>
  <si>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</si>
  <si>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</si>
  <si>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</si>
  <si>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</si>
  <si>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</si>
  <si>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</si>
  <si>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</si>
  <si>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</si>
  <si>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</si>
  <si>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</si>
  <si>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</si>
  <si>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</si>
  <si>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</si>
  <si>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</si>
  <si>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</si>
  <si>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</si>
  <si>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</si>
  <si>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</si>
  <si>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</si>
  <si>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</si>
  <si>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</si>
  <si>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</si>
  <si>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</si>
  <si>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</si>
  <si>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</si>
  <si>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</si>
  <si>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</si>
  <si>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</si>
  <si>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</si>
  <si>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</si>
  <si>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</si>
  <si>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</si>
  <si>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</si>
  <si>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</si>
  <si>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</si>
  <si>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</si>
  <si>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</si>
  <si>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</si>
  <si>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</si>
  <si>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</si>
  <si>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</si>
  <si>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</si>
  <si>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</si>
  <si>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</si>
  <si>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</si>
  <si>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</si>
  <si>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</si>
  <si>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</si>
  <si>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</si>
  <si>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</si>
  <si>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</si>
  <si>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</si>
  <si>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</si>
  <si>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</si>
  <si>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</si>
  <si>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</si>
  <si>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</si>
  <si>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</si>
  <si>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</si>
  <si>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</si>
  <si>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</si>
  <si>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</si>
  <si>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</si>
  <si>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</si>
  <si>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</si>
  <si>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</si>
  <si>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</si>
  <si>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</si>
  <si>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</si>
  <si>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</si>
  <si>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</si>
  <si>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</si>
  <si>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</si>
  <si>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</si>
  <si>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</si>
  <si>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</si>
  <si>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</si>
  <si>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</si>
  <si>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</si>
  <si>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</si>
  <si>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</si>
  <si>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</si>
  <si>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</si>
  <si>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</si>
  <si>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</si>
  <si>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</si>
  <si>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</si>
  <si>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</si>
  <si>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</si>
  <si>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</si>
  <si>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</si>
  <si>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</si>
  <si>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</si>
  <si>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</si>
  <si>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</si>
  <si>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</si>
  <si>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</si>
  <si>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</si>
  <si>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</si>
  <si>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</si>
  <si>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</si>
  <si>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</si>
  <si>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</si>
  <si>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</si>
  <si>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</si>
  <si>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</si>
  <si>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</si>
  <si>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</si>
  <si>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</si>
  <si>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</si>
  <si>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</si>
  <si>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</si>
  <si>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</si>
  <si>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</si>
  <si>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</si>
  <si>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</si>
  <si>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</si>
  <si>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</si>
  <si>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</si>
  <si>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</si>
  <si>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</si>
  <si>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</si>
  <si>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</si>
  <si>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</si>
  <si>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</si>
  <si>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</si>
  <si>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</si>
  <si>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</si>
  <si>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</si>
  <si>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</si>
  <si>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</si>
  <si>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</si>
  <si>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</si>
  <si>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</si>
  <si>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</si>
  <si>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</si>
  <si>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</si>
  <si>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</si>
  <si>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</si>
  <si>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</si>
  <si>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</si>
  <si>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</si>
  <si>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</si>
  <si>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</si>
  <si>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</si>
  <si>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</si>
  <si>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</si>
  <si>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</si>
  <si>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</si>
  <si>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</si>
  <si>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</si>
  <si>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</si>
  <si>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</si>
  <si>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</si>
  <si>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</si>
  <si>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</si>
  <si>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</si>
  <si>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</si>
  <si>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</si>
  <si>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</si>
  <si>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</si>
  <si>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</si>
  <si>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</si>
  <si>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</si>
  <si>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</si>
  <si>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</si>
  <si>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</si>
  <si>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</si>
  <si>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</si>
  <si>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</si>
  <si>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</si>
  <si>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</si>
  <si>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</si>
  <si>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</si>
  <si>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</si>
  <si>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</si>
  <si>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</si>
  <si>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</si>
  <si>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</si>
  <si>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</si>
  <si>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</si>
  <si>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</si>
  <si>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</si>
  <si>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</si>
  <si>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</si>
  <si>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</si>
  <si>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</si>
  <si>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</si>
  <si>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</si>
  <si>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</si>
  <si>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</si>
  <si>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</si>
  <si>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</si>
  <si>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</si>
  <si>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</si>
  <si>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</si>
  <si>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</si>
  <si>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</si>
  <si>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</si>
  <si>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</si>
  <si>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</si>
  <si>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</si>
  <si>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</si>
  <si>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</si>
  <si>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</si>
  <si>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</si>
  <si>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</si>
  <si>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</si>
  <si>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</si>
  <si>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</si>
  <si>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</si>
  <si>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</si>
  <si>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</si>
  <si>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</si>
  <si>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</si>
  <si>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</si>
  <si>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</si>
  <si>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</si>
  <si>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</si>
  <si>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</si>
  <si>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</si>
  <si>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</si>
  <si>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</si>
  <si>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</si>
  <si>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</si>
  <si>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</si>
  <si>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</si>
  <si>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</si>
  <si>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</si>
  <si>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</si>
  <si>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</si>
  <si>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</si>
  <si>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</si>
  <si>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</si>
  <si>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</si>
  <si>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</si>
  <si>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</si>
  <si>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</si>
  <si>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</si>
  <si>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</si>
  <si>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</si>
  <si>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</si>
  <si>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</si>
  <si>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</si>
  <si>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</si>
  <si>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</si>
  <si>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</si>
  <si>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</si>
  <si>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</si>
  <si>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</si>
  <si>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</si>
  <si>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</si>
  <si>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</si>
  <si>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</si>
  <si>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</si>
  <si>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</si>
  <si>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</si>
  <si>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</si>
  <si>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</si>
  <si>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</si>
  <si>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</si>
  <si>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</si>
  <si>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</si>
  <si>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</si>
  <si>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</si>
  <si>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</si>
  <si>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</si>
  <si>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</si>
  <si>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</si>
  <si>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</si>
  <si>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</si>
  <si>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</si>
  <si>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</si>
  <si>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</si>
  <si>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</si>
  <si>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</si>
  <si>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</si>
  <si>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</si>
  <si>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</si>
  <si>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</si>
  <si>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</si>
  <si>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</si>
  <si>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</si>
  <si>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</si>
  <si>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</si>
  <si>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</si>
  <si>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</si>
  <si>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</si>
  <si>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</si>
  <si>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</si>
  <si>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</si>
  <si>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</si>
  <si>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</si>
  <si>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</si>
  <si>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</si>
  <si>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</si>
  <si>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</si>
  <si>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</si>
  <si>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</si>
  <si>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</si>
  <si>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</si>
  <si>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</si>
  <si>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</si>
  <si>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</si>
  <si>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</si>
  <si>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</si>
  <si>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</si>
  <si>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</si>
  <si>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</si>
  <si>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</si>
  <si>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</si>
  <si>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</si>
  <si>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</si>
  <si>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</si>
  <si>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</si>
  <si>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</si>
  <si>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</si>
  <si>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</si>
  <si>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</si>
  <si>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</si>
  <si>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</si>
  <si>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</si>
  <si>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</si>
  <si>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</si>
  <si>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</si>
  <si>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</si>
  <si>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</si>
  <si>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</si>
  <si>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</si>
  <si>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</si>
  <si>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</si>
  <si>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</si>
  <si>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</si>
  <si>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</si>
  <si>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</si>
  <si>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</si>
  <si>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</si>
  <si>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</si>
  <si>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</si>
  <si>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</si>
  <si>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</si>
  <si>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</si>
  <si>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</si>
  <si>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</si>
  <si>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</si>
  <si>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</si>
  <si>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</si>
  <si>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</si>
  <si>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</si>
  <si>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</si>
  <si>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</si>
  <si>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</si>
  <si>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</si>
  <si>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</si>
  <si>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</si>
  <si>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</si>
  <si>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</si>
  <si>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</si>
  <si>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</si>
  <si>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</si>
  <si>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</si>
  <si>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</si>
  <si>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</si>
  <si>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</si>
  <si>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</si>
  <si>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</si>
  <si>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</si>
  <si>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</si>
  <si>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</si>
  <si>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</si>
  <si>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</si>
  <si>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</si>
  <si>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</si>
  <si>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</si>
  <si>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</si>
  <si>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</si>
  <si>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</si>
  <si>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</si>
  <si>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</si>
  <si>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</si>
  <si>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</si>
  <si>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</si>
  <si>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</si>
  <si>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</si>
  <si>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</si>
  <si>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</si>
  <si>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</si>
  <si>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</si>
  <si>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</si>
  <si>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</si>
  <si>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</si>
  <si>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</si>
  <si>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</si>
  <si>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</si>
  <si>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</si>
  <si>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</si>
  <si>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</si>
  <si>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</si>
  <si>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</si>
  <si>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</si>
  <si>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</si>
  <si>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</si>
  <si>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</si>
  <si>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</si>
  <si>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</si>
  <si>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</si>
  <si>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</si>
  <si>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</si>
  <si>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</si>
  <si>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</si>
  <si>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</si>
  <si>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</si>
  <si>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</si>
  <si>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</si>
  <si>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</si>
  <si>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</si>
  <si>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</si>
  <si>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</si>
  <si>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</si>
  <si>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</si>
  <si>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</si>
  <si>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</si>
  <si>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</si>
  <si>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</si>
  <si>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</si>
  <si>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</si>
  <si>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</si>
  <si>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</si>
  <si>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</si>
  <si>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</si>
  <si>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</si>
  <si>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</si>
  <si>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</si>
  <si>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</si>
  <si>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</si>
  <si>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</si>
  <si>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</si>
  <si>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</si>
  <si>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</si>
  <si>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</si>
  <si>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</si>
  <si>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</si>
  <si>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</si>
  <si>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</si>
  <si>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</si>
  <si>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</si>
  <si>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</si>
  <si>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</si>
  <si>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</si>
  <si>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</si>
  <si>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</si>
  <si>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</si>
  <si>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</si>
  <si>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</si>
  <si>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</si>
  <si>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</si>
  <si>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</si>
  <si>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</si>
  <si>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</si>
  <si>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</si>
  <si>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</si>
  <si>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</si>
  <si>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</si>
  <si>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</si>
  <si>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</si>
  <si>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</si>
  <si>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</si>
  <si>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</si>
  <si>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</si>
  <si>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</si>
  <si>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</si>
  <si>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</si>
  <si>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</si>
  <si>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</si>
  <si>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</si>
  <si>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</si>
  <si>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</si>
  <si>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</si>
  <si>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</si>
  <si>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</si>
  <si>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</si>
  <si>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</si>
  <si>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</si>
  <si>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</si>
  <si>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</si>
  <si>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</si>
  <si>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</si>
  <si>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</si>
  <si>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</si>
  <si>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</si>
  <si>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</si>
  <si>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</si>
  <si>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</si>
  <si>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</si>
  <si>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</si>
  <si>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</si>
  <si>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</si>
  <si>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</si>
  <si>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</si>
  <si>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</si>
  <si>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</si>
  <si>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</si>
  <si>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</si>
  <si>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</si>
  <si>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</si>
  <si>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</si>
  <si>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</si>
  <si>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</si>
  <si>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</si>
  <si>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</si>
  <si>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</si>
  <si>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</si>
  <si>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</si>
  <si>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</si>
  <si>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</si>
  <si>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</si>
  <si>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</si>
  <si>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</si>
  <si>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</si>
  <si>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</si>
  <si>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</si>
  <si>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</si>
  <si>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</si>
  <si>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</si>
  <si>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</si>
  <si>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</si>
  <si>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</si>
  <si>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</si>
  <si>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</si>
  <si>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</si>
  <si>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</si>
  <si>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</si>
  <si>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</si>
  <si>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</si>
  <si>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</si>
  <si>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</si>
  <si>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</si>
  <si>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</si>
  <si>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</si>
  <si>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</si>
  <si>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</si>
  <si>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</si>
  <si>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</si>
  <si>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</si>
  <si>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</si>
  <si>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</si>
  <si>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</si>
  <si>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</si>
  <si>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</si>
  <si>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</si>
  <si>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</si>
  <si>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</si>
  <si>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</si>
  <si>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</si>
  <si>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</si>
  <si>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</si>
  <si>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</si>
  <si>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</si>
  <si>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</si>
  <si>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</si>
  <si>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</si>
  <si>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</si>
  <si>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</si>
  <si>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</si>
  <si>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</si>
  <si>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</si>
  <si>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</si>
  <si>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</si>
  <si>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</si>
  <si>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</si>
  <si>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</si>
  <si>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</si>
  <si>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</si>
  <si>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</si>
  <si>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</si>
  <si>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</si>
  <si>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</si>
  <si>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</si>
  <si>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</si>
  <si>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</si>
  <si>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</si>
  <si>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</si>
  <si>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</si>
  <si>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</si>
  <si>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</si>
  <si>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</si>
  <si>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</si>
  <si>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</si>
  <si>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</si>
  <si>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</si>
  <si>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</si>
  <si>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</si>
  <si>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</si>
  <si>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</si>
  <si>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</si>
  <si>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</si>
  <si>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</si>
  <si>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</si>
  <si>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</si>
  <si>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</si>
  <si>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</si>
  <si>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</si>
  <si>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</si>
  <si>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</si>
  <si>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</si>
  <si>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</si>
  <si>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</si>
  <si>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</si>
  <si>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</si>
  <si>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</si>
  <si>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</si>
  <si>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</si>
  <si>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</si>
  <si>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</si>
  <si>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</si>
  <si>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</si>
  <si>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</si>
  <si>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</si>
  <si>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</si>
  <si>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</si>
  <si>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</si>
  <si>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</si>
  <si>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</si>
  <si>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</si>
  <si>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</si>
  <si>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</si>
  <si>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</si>
  <si>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</si>
  <si>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</si>
  <si>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</si>
  <si>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</si>
  <si>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</si>
  <si>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</si>
  <si>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</si>
  <si>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</si>
  <si>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</si>
  <si>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</si>
  <si>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</si>
  <si>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</si>
  <si>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</si>
  <si>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</si>
  <si>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</si>
  <si>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</si>
  <si>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</si>
  <si>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</si>
  <si>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</si>
  <si>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</si>
  <si>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</si>
  <si>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</si>
  <si>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</si>
  <si>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</si>
  <si>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</si>
  <si>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</si>
  <si>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</si>
  <si>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</si>
  <si>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</si>
  <si>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</si>
  <si>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</si>
  <si>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</si>
  <si>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</si>
  <si>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</si>
  <si>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</si>
  <si>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</si>
  <si>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</si>
  <si>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</si>
  <si>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</si>
  <si>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</si>
  <si>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</si>
  <si>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</si>
  <si>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</si>
  <si>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</si>
  <si>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</si>
  <si>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</si>
  <si>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</si>
  <si>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</si>
  <si>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</si>
  <si>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</si>
  <si>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</si>
  <si>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</si>
  <si>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</si>
  <si>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</si>
  <si>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</si>
  <si>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</si>
  <si>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</si>
  <si>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</si>
  <si>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</si>
  <si>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</si>
  <si>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</si>
  <si>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</si>
  <si>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</si>
  <si>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</si>
  <si>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</si>
  <si>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</si>
  <si>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</si>
  <si>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</si>
  <si>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</si>
  <si>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</si>
  <si>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</si>
  <si>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</si>
  <si>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</si>
  <si>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</si>
  <si>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</si>
  <si>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</si>
  <si>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</si>
  <si>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</si>
  <si>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</si>
  <si>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</si>
  <si>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</si>
  <si>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</si>
  <si>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</si>
  <si>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</si>
  <si>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</si>
  <si>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</si>
  <si>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</si>
  <si>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</si>
  <si>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</si>
  <si>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</si>
  <si>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</si>
  <si>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</si>
  <si>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</si>
  <si>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</si>
  <si>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</si>
  <si>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</si>
  <si>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</si>
  <si>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</si>
  <si>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</si>
  <si>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</si>
  <si>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</si>
  <si>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</si>
  <si>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</si>
  <si>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</si>
  <si>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</si>
  <si>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</si>
  <si>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</si>
  <si>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</si>
  <si>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</si>
  <si>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</si>
  <si>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</si>
  <si>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</si>
  <si>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</si>
  <si>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</si>
  <si>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</si>
  <si>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</si>
  <si>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</si>
  <si>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</si>
  <si>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</si>
  <si>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</si>
  <si>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</si>
  <si>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</si>
  <si>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</si>
  <si>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</si>
  <si>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</si>
  <si>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</si>
  <si>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</si>
  <si>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</si>
  <si>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</si>
  <si>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</si>
  <si>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</si>
  <si>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</si>
  <si>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</si>
  <si>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</si>
  <si>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</si>
  <si>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</si>
  <si>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</si>
  <si>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</si>
  <si>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</si>
  <si>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</si>
  <si>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</si>
  <si>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</si>
  <si>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</si>
  <si>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</si>
  <si>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</si>
  <si>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</si>
  <si>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</si>
  <si>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</si>
  <si>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</si>
  <si>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</si>
  <si>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</si>
  <si>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</si>
  <si>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</si>
  <si>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</si>
  <si>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</si>
  <si>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</si>
  <si>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</si>
  <si>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</si>
  <si>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</si>
  <si>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</si>
  <si>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</si>
  <si>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</si>
  <si>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</si>
  <si>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</si>
  <si>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</si>
  <si>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</si>
  <si>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</si>
  <si>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</si>
  <si>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</si>
  <si>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</si>
  <si>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</si>
  <si>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</si>
  <si>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</si>
  <si>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</si>
  <si>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</si>
  <si>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</si>
  <si>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</si>
  <si>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</si>
  <si>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</si>
  <si>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</si>
  <si>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</si>
  <si>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</si>
  <si>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</si>
  <si>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</si>
  <si>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</si>
  <si>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</si>
  <si>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</si>
  <si>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</si>
  <si>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</si>
  <si>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</si>
  <si>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</si>
  <si>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</si>
  <si>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</si>
  <si>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</si>
  <si>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</si>
  <si>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</si>
  <si>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</si>
  <si>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</si>
  <si>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</si>
  <si>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</si>
  <si>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</si>
  <si>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</si>
  <si>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</si>
  <si>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</si>
  <si>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</si>
  <si>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</si>
  <si>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</si>
  <si>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</si>
  <si>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</si>
  <si>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</si>
  <si>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</si>
  <si>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</si>
  <si>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</si>
  <si>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</si>
  <si>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</si>
  <si>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</si>
  <si>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</si>
  <si>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</si>
  <si>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</si>
  <si>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</si>
  <si>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</si>
  <si>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</si>
  <si>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</si>
  <si>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</si>
  <si>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</si>
  <si>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</si>
  <si>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</si>
  <si>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</si>
  <si>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</si>
  <si>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</si>
  <si>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</si>
  <si>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</si>
  <si>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</si>
  <si>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</si>
  <si>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</si>
  <si>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</si>
  <si>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</si>
  <si>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</si>
  <si>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</si>
  <si>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</si>
  <si>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</si>
  <si>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</si>
  <si>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</si>
  <si>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</si>
  <si>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</si>
  <si>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</si>
  <si>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</si>
  <si>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</si>
  <si>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</si>
  <si>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</si>
  <si>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</si>
  <si>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</si>
  <si>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</si>
  <si>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</si>
  <si>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</si>
  <si>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</si>
  <si>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</si>
  <si>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</si>
  <si>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</si>
  <si>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</si>
  <si>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</si>
  <si>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</si>
  <si>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</si>
  <si>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</si>
  <si>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</si>
  <si>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</si>
  <si>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</si>
  <si>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</si>
  <si>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</si>
  <si>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</si>
  <si>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</si>
  <si>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</si>
  <si>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</si>
  <si>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</si>
  <si>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</si>
  <si>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</si>
  <si>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</si>
  <si>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</si>
  <si>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</si>
  <si>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</si>
  <si>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</si>
  <si>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</si>
  <si>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</si>
  <si>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</si>
  <si>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</si>
  <si>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</si>
  <si>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</si>
  <si>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</si>
  <si>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</si>
  <si>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</si>
  <si>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</si>
  <si>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</si>
  <si>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</si>
  <si>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</si>
  <si>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</si>
  <si>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</si>
  <si>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</si>
  <si>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</si>
  <si>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</si>
  <si>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</si>
  <si>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</si>
  <si>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</si>
  <si>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</si>
  <si>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</si>
  <si>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</si>
  <si>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</si>
  <si>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</si>
  <si>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</si>
  <si>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</si>
  <si>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</si>
  <si>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</si>
  <si>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</si>
  <si>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</si>
  <si>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</si>
  <si>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</si>
  <si>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</si>
  <si>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</si>
  <si>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</si>
  <si>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</si>
  <si>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</si>
  <si>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</si>
  <si>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</si>
  <si>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</si>
  <si>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</si>
  <si>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</si>
  <si>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</si>
  <si>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</si>
  <si>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</si>
  <si>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</si>
  <si>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</si>
  <si>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</si>
  <si>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</si>
  <si>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</si>
  <si>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</si>
  <si>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</si>
  <si>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</si>
  <si>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</si>
  <si>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</si>
  <si>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</si>
  <si>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</si>
  <si>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</si>
  <si>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</si>
  <si>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</si>
  <si>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</si>
  <si>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</si>
  <si>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</si>
  <si>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</si>
  <si>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</si>
  <si>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</si>
  <si>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</si>
  <si>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</si>
  <si>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</si>
  <si>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</si>
  <si>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</si>
  <si>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</si>
  <si>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</si>
  <si>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</si>
  <si>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</si>
  <si>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</si>
  <si>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</si>
  <si>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</si>
  <si>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</si>
  <si>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</si>
  <si>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</si>
  <si>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</si>
  <si>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</si>
  <si>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</si>
  <si>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</si>
  <si>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</si>
  <si>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</si>
  <si>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</si>
  <si>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</si>
  <si>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</si>
  <si>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</si>
  <si>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</si>
  <si>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</si>
  <si>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</si>
  <si>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</si>
  <si>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</si>
  <si>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</si>
  <si>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</si>
  <si>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</si>
  <si>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</si>
  <si>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</si>
  <si>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</si>
  <si>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</si>
  <si>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</si>
  <si>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</si>
  <si>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</si>
  <si>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</si>
  <si>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</si>
  <si>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</si>
  <si>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</si>
  <si>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</si>
  <si>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</si>
  <si>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</si>
  <si>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</si>
  <si>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</si>
  <si>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</si>
  <si>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</si>
  <si>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</si>
  <si>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</si>
  <si>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</si>
  <si>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</si>
  <si>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</si>
  <si>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</si>
  <si>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</si>
  <si>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</si>
  <si>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</si>
  <si>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</si>
  <si>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</si>
  <si>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</si>
  <si>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</si>
  <si>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</si>
  <si>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</si>
  <si>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</si>
  <si>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</si>
  <si>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</si>
  <si>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</si>
  <si>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</si>
  <si>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</si>
  <si>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</si>
  <si>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</si>
  <si>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</si>
  <si>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</si>
  <si>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</si>
  <si>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</si>
  <si>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</si>
  <si>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</si>
  <si>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</si>
  <si>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</si>
  <si>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</si>
  <si>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</si>
  <si>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</si>
  <si>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</si>
  <si>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</si>
  <si>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</si>
  <si>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</si>
  <si>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</si>
  <si>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</si>
  <si>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</si>
  <si>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</si>
  <si>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</si>
  <si>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</si>
  <si>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</si>
  <si>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</si>
  <si>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</si>
  <si>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</si>
  <si>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</si>
  <si>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</si>
  <si>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</si>
  <si>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</si>
  <si>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</si>
  <si>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</si>
  <si>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</si>
  <si>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</si>
  <si>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</si>
  <si>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</si>
  <si>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</si>
  <si>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</si>
  <si>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</si>
  <si>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</si>
  <si>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</si>
  <si>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</si>
  <si>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</si>
  <si>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</si>
  <si>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</si>
  <si>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</si>
  <si>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</si>
  <si>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</si>
  <si>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</si>
  <si>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</si>
  <si>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</si>
  <si>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</si>
  <si>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</si>
  <si>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</si>
  <si>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</si>
  <si>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</si>
  <si>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</si>
  <si>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</si>
  <si>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</si>
  <si>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</si>
  <si>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</si>
  <si>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</si>
  <si>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</si>
  <si>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</si>
  <si>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</si>
  <si>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</si>
  <si>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</si>
  <si>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</si>
  <si>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</si>
  <si>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</si>
  <si>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</si>
  <si>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</si>
  <si>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</si>
  <si>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</si>
  <si>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</si>
  <si>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</si>
  <si>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</si>
  <si>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</si>
  <si>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</si>
  <si>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</si>
  <si>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</si>
  <si>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</si>
  <si>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</si>
  <si>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</si>
  <si>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</si>
  <si>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</si>
  <si>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</si>
  <si>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</si>
  <si>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</si>
  <si>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</si>
  <si>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</si>
  <si>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</si>
  <si>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</si>
  <si>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</si>
  <si>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</si>
  <si>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</si>
  <si>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</si>
  <si>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</si>
  <si>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</si>
  <si>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</si>
  <si>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</si>
  <si>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</si>
  <si>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</si>
  <si>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</si>
  <si>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</si>
  <si>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</si>
  <si>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</si>
  <si>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</si>
  <si>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</si>
  <si>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</si>
  <si>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</si>
  <si>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</si>
  <si>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</si>
  <si>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</si>
  <si>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</si>
  <si>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</si>
  <si>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</si>
  <si>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</si>
  <si>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</si>
  <si>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</si>
  <si>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</si>
  <si>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</si>
  <si>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</si>
  <si>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</si>
  <si>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</si>
  <si>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</si>
  <si>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</si>
  <si>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</si>
  <si>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</si>
  <si>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</si>
  <si>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</si>
  <si>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</si>
  <si>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</si>
  <si>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</si>
  <si>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</si>
  <si>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</si>
  <si>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</si>
  <si>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</si>
  <si>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</si>
  <si>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</si>
  <si>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</si>
  <si>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</si>
  <si>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</si>
  <si>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</si>
  <si>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</si>
  <si>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</si>
  <si>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</si>
  <si>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</si>
  <si>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</si>
  <si>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</si>
  <si>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</si>
  <si>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</si>
  <si>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</si>
  <si>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</si>
  <si>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</si>
  <si>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</si>
  <si>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</si>
  <si>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</si>
  <si>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</si>
  <si>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</si>
  <si>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</si>
  <si>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</si>
  <si>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</si>
  <si>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</si>
  <si>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</si>
  <si>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</si>
  <si>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</si>
  <si>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</si>
  <si>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</si>
  <si>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</si>
  <si>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</si>
  <si>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</si>
  <si>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</si>
  <si>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</si>
  <si>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</si>
  <si>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</si>
  <si>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</si>
  <si>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</si>
  <si>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</si>
  <si>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</si>
  <si>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</si>
  <si>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</si>
  <si>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</si>
  <si>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</si>
  <si>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</si>
  <si>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</si>
  <si>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</si>
  <si>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</si>
  <si>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</si>
  <si>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</si>
  <si>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</si>
  <si>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</si>
  <si>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</si>
  <si>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</si>
  <si>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</si>
  <si>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</si>
  <si>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</si>
  <si>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</si>
  <si>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</si>
  <si>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</si>
  <si>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</si>
  <si>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</si>
  <si>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</si>
  <si>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</si>
  <si>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</si>
  <si>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</si>
  <si>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</si>
  <si>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</si>
  <si>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</si>
  <si>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</si>
  <si>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</si>
  <si>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</si>
  <si>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</si>
  <si>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</si>
  <si>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</si>
  <si>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</si>
  <si>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</si>
  <si>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</si>
  <si>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</si>
  <si>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</si>
  <si>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</si>
  <si>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</si>
  <si>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</si>
  <si>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</si>
  <si>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</si>
  <si>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</si>
  <si>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</si>
  <si>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</si>
  <si>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</si>
  <si>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</si>
  <si>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</si>
  <si>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</si>
  <si>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</si>
  <si>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</si>
  <si>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</si>
  <si>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</si>
  <si>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</si>
  <si>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</si>
  <si>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</si>
  <si>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</si>
  <si>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</si>
  <si>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</si>
  <si>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</si>
  <si>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</si>
  <si>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</si>
  <si>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</si>
  <si>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</si>
  <si>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</si>
  <si>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</si>
  <si>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</si>
  <si>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</si>
  <si>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</si>
  <si>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</si>
  <si>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</si>
  <si>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</si>
  <si>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</si>
  <si>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</si>
  <si>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</si>
  <si>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</si>
  <si>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</si>
  <si>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</si>
  <si>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</si>
  <si>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</si>
  <si>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</si>
  <si>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</si>
  <si>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</si>
  <si>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</si>
  <si>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</si>
  <si>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</si>
  <si>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</si>
  <si>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</si>
  <si>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</si>
  <si>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</si>
  <si>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</si>
  <si>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</si>
  <si>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</si>
  <si>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</si>
  <si>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</si>
  <si>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</si>
  <si>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</si>
  <si>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</si>
  <si>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</si>
  <si>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</si>
  <si>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</si>
  <si>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</si>
  <si>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</si>
  <si>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</si>
  <si>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</si>
  <si>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</si>
  <si>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</si>
  <si>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</si>
  <si>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</si>
  <si>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</si>
  <si>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</si>
  <si>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</si>
  <si>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</si>
  <si>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</si>
  <si>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</si>
  <si>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</si>
  <si>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</si>
  <si>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</si>
  <si>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</si>
  <si>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</si>
  <si>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</si>
  <si>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</si>
  <si>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</si>
  <si>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</si>
  <si>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</si>
  <si>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</si>
  <si>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</si>
  <si>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</si>
  <si>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</si>
  <si>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</si>
  <si>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</si>
  <si>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</si>
  <si>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</si>
  <si>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</si>
  <si>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</si>
  <si>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</si>
  <si>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</si>
  <si>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</si>
  <si>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</si>
  <si>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</si>
  <si>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</si>
  <si>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</si>
  <si>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</si>
  <si>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</si>
  <si>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</si>
  <si>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</si>
  <si>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</si>
  <si>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</si>
  <si>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</si>
  <si>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</si>
  <si>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</si>
  <si>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</si>
  <si>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</si>
  <si>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</si>
  <si>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</si>
  <si>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</si>
  <si>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</si>
  <si>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</si>
  <si>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</si>
  <si>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</si>
  <si>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</si>
  <si>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</si>
  <si>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</si>
  <si>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</si>
  <si>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</si>
  <si>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</si>
  <si>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</si>
  <si>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</si>
  <si>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</si>
  <si>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</si>
  <si>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</si>
  <si>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</si>
  <si>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</si>
  <si>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</si>
  <si>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</si>
  <si>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</si>
  <si>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</si>
  <si>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</si>
  <si>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</si>
  <si>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</si>
  <si>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</si>
  <si>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</si>
  <si>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</si>
  <si>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</si>
  <si>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</si>
  <si>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</si>
  <si>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</si>
  <si>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</si>
  <si>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</si>
  <si>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</si>
  <si>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</si>
  <si>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</si>
  <si>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</si>
  <si>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</si>
  <si>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</si>
  <si>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</si>
  <si>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</si>
  <si>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</si>
  <si>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</si>
  <si>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</si>
  <si>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</si>
  <si>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</si>
  <si>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</si>
  <si>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</si>
  <si>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</si>
  <si>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</si>
  <si>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</si>
  <si>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</si>
  <si>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</si>
  <si>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</si>
  <si>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</si>
  <si>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</si>
  <si>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</si>
  <si>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</si>
  <si>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</si>
  <si>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</si>
  <si>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</si>
  <si>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</si>
  <si>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</si>
  <si>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</si>
  <si>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</si>
  <si>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</si>
  <si>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</si>
  <si>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</si>
  <si>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</si>
  <si>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</si>
  <si>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</si>
  <si>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</si>
  <si>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</si>
  <si>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</si>
  <si>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</si>
  <si>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</si>
  <si>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</si>
  <si>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</si>
  <si>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</si>
  <si>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</si>
  <si>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</si>
  <si>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</si>
  <si>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</si>
  <si>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</si>
  <si>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</si>
  <si>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</si>
  <si>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</si>
  <si>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</si>
  <si>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</si>
  <si>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</si>
  <si>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</si>
  <si>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</si>
  <si>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</si>
  <si>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</si>
  <si>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</si>
  <si>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</si>
  <si>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</si>
  <si>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</si>
  <si>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</si>
  <si>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</si>
  <si>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</si>
  <si>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</si>
  <si>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</si>
  <si>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</si>
  <si>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</si>
  <si>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</si>
  <si>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</si>
  <si>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</si>
  <si>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</si>
  <si>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</si>
  <si>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</si>
  <si>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</si>
  <si>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</si>
  <si>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</si>
  <si>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</si>
  <si>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</si>
  <si>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</si>
  <si>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</si>
  <si>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</si>
  <si>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</si>
  <si>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</si>
  <si>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</si>
  <si>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</si>
  <si>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</si>
  <si>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</si>
  <si>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</si>
  <si>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</si>
  <si>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</si>
  <si>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</si>
  <si>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</si>
  <si>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</si>
  <si>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</si>
  <si>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</si>
  <si>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</si>
  <si>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</si>
  <si>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</si>
  <si>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</si>
  <si>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</si>
  <si>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</si>
  <si>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</si>
  <si>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</si>
  <si>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</si>
  <si>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</si>
  <si>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</si>
  <si>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</si>
  <si>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</si>
  <si>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</si>
  <si>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</si>
  <si>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</si>
  <si>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</si>
  <si>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</si>
  <si>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</si>
  <si>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</si>
  <si>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</si>
  <si>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</si>
  <si>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</si>
  <si>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</si>
  <si>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</si>
  <si>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</si>
  <si>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</si>
  <si>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</si>
  <si>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</si>
  <si>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</si>
  <si>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</si>
  <si>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</si>
  <si>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</si>
  <si>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</si>
  <si>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</si>
  <si>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</si>
  <si>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</si>
  <si>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</si>
  <si>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</si>
  <si>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</si>
  <si>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</si>
  <si>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</si>
  <si>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</si>
  <si>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</si>
  <si>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</si>
  <si>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</si>
  <si>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</si>
  <si>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</si>
  <si>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</si>
  <si>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</si>
  <si>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</si>
  <si>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</si>
  <si>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</si>
  <si>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</si>
  <si>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</si>
  <si>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</si>
  <si>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</si>
  <si>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</si>
  <si>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</si>
  <si>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</si>
  <si>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</si>
  <si>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</si>
  <si>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</si>
  <si>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</si>
  <si>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</si>
  <si>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</si>
  <si>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</si>
  <si>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</si>
  <si>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</si>
  <si>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</si>
  <si>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</si>
  <si>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</si>
  <si>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</si>
  <si>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</si>
  <si>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</si>
  <si>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</si>
  <si>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</si>
  <si>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</si>
  <si>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</si>
  <si>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</si>
  <si>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</si>
  <si>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</si>
  <si>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</si>
  <si>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</si>
  <si>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</si>
  <si>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</si>
  <si>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</si>
  <si>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</si>
  <si>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</si>
  <si>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</si>
  <si>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</si>
  <si>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</si>
  <si>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</si>
  <si>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</si>
  <si>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</si>
  <si>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</si>
  <si>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</si>
  <si>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</si>
  <si>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</si>
  <si>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</si>
  <si>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</si>
  <si>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</si>
  <si>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</si>
  <si>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</si>
  <si>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</si>
  <si>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</si>
  <si>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</si>
  <si>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</si>
  <si>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</si>
  <si>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</si>
  <si>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</si>
  <si>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</si>
  <si>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</si>
  <si>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</si>
  <si>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</si>
  <si>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</si>
  <si>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</si>
  <si>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</si>
  <si>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</si>
  <si>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</si>
  <si>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</si>
  <si>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</si>
  <si>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</si>
  <si>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</si>
  <si>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</si>
  <si>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</si>
  <si>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</si>
  <si>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</si>
  <si>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</si>
  <si>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</si>
  <si>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</si>
  <si>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</si>
  <si>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</si>
  <si>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</si>
  <si>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</si>
  <si>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</si>
  <si>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</si>
  <si>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</si>
  <si>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</si>
  <si>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</si>
  <si>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</si>
  <si>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</si>
  <si>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</si>
  <si>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</si>
  <si>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</si>
  <si>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</si>
  <si>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</si>
  <si>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</si>
  <si>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</si>
  <si>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</si>
  <si>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</si>
  <si>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</si>
  <si>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</si>
  <si>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</si>
  <si>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</si>
  <si>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</si>
  <si>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</si>
  <si>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</si>
  <si>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</si>
  <si>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</si>
  <si>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</si>
  <si>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</si>
  <si>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</si>
  <si>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</si>
  <si>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</si>
  <si>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</si>
  <si>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</si>
  <si>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</si>
  <si>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</si>
  <si>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</si>
  <si>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</si>
  <si>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</si>
  <si>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</si>
  <si>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</si>
  <si>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</si>
  <si>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</si>
  <si>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</si>
  <si>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</si>
  <si>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</si>
  <si>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</si>
  <si>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</si>
  <si>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</si>
  <si>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</si>
  <si>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</si>
  <si>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</si>
  <si>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</si>
  <si>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</si>
  <si>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</si>
  <si>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</si>
  <si>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</si>
  <si>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</si>
  <si>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</si>
  <si>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</si>
  <si>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</si>
  <si>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</si>
  <si>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</si>
  <si>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</si>
  <si>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</si>
  <si>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</si>
  <si>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</si>
  <si>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</si>
  <si>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</si>
  <si>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</si>
  <si>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</si>
  <si>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</si>
  <si>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</si>
  <si>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</si>
  <si>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</si>
  <si>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</si>
  <si>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</si>
  <si>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</si>
  <si>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</si>
  <si>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</si>
  <si>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</si>
  <si>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</si>
  <si>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</si>
  <si>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</si>
  <si>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</si>
  <si>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</si>
  <si>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</si>
  <si>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</si>
  <si>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</si>
  <si>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</si>
  <si>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</si>
  <si>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</si>
  <si>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</si>
  <si>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</si>
  <si>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</si>
  <si>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</si>
  <si>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</si>
  <si>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</si>
  <si>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</si>
  <si>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</si>
  <si>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</si>
  <si>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</si>
  <si>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</si>
  <si>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</si>
  <si>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</si>
  <si>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</si>
  <si>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</si>
  <si>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</si>
  <si>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</si>
  <si>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</si>
  <si>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</si>
  <si>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</si>
  <si>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</si>
  <si>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</si>
  <si>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</si>
  <si>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</si>
  <si>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</si>
  <si>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</si>
  <si>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</si>
  <si>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</si>
  <si>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</si>
  <si>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</si>
  <si>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</si>
  <si>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</si>
  <si>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</si>
  <si>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</si>
  <si>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</si>
  <si>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</si>
  <si>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</si>
  <si>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</si>
  <si>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</si>
  <si>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</si>
  <si>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</si>
  <si>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</si>
  <si>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</si>
  <si>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</si>
  <si>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</si>
  <si>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</si>
  <si>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</si>
  <si>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</si>
  <si>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</si>
  <si>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</si>
  <si>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</si>
  <si>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</si>
  <si>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</si>
  <si>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</si>
  <si>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</si>
  <si>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</si>
  <si>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</si>
  <si>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</si>
  <si>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</si>
  <si>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</si>
  <si>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</si>
  <si>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</si>
  <si>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</si>
  <si>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</si>
  <si>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</si>
  <si>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</si>
  <si>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</si>
  <si>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</si>
  <si>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</si>
  <si>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</si>
  <si>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</si>
  <si>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</si>
  <si>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</si>
  <si>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</si>
  <si>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</si>
  <si>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</si>
  <si>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</si>
  <si>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</si>
  <si>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</si>
  <si>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</si>
  <si>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</si>
  <si>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</si>
  <si>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</si>
  <si>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</si>
  <si>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</si>
  <si>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</si>
  <si>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</si>
  <si>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</si>
  <si>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</si>
  <si>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</si>
  <si>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</si>
  <si>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</si>
  <si>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</si>
  <si>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</si>
  <si>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</si>
  <si>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</si>
  <si>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</si>
  <si>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</si>
  <si>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</si>
  <si>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</si>
  <si>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</si>
  <si>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</si>
  <si>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</si>
  <si>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</si>
  <si>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</si>
  <si>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</si>
  <si>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</si>
  <si>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</si>
  <si>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</si>
  <si>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</si>
  <si>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</si>
  <si>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</si>
  <si>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</si>
  <si>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</si>
  <si>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</si>
  <si>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</si>
  <si>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</si>
  <si>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</si>
  <si>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</si>
  <si>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</si>
  <si>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</si>
  <si>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</si>
  <si>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</si>
  <si>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</si>
  <si>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</si>
  <si>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</si>
  <si>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</si>
  <si>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</si>
  <si>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</si>
  <si>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</si>
  <si>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</si>
  <si>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</si>
  <si>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</si>
  <si>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</si>
  <si>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</si>
  <si>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</si>
  <si>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</si>
  <si>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</si>
  <si>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</si>
  <si>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</si>
  <si>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</si>
  <si>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</si>
  <si>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</si>
  <si>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</si>
  <si>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</si>
  <si>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</si>
  <si>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</si>
  <si>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</si>
  <si>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</si>
  <si>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</si>
  <si>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</si>
  <si>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</si>
  <si>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</si>
  <si>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</si>
  <si>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</si>
  <si>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</si>
  <si>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</si>
  <si>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</si>
  <si>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</si>
  <si>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</si>
  <si>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</si>
  <si>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</si>
  <si>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</si>
  <si>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</si>
  <si>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</si>
  <si>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</si>
  <si>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</si>
  <si>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</si>
  <si>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</si>
  <si>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</si>
  <si>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</si>
  <si>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</si>
  <si>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</si>
  <si>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</si>
  <si>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</si>
  <si>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</si>
  <si>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</si>
  <si>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</si>
  <si>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</si>
  <si>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</si>
  <si>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</si>
  <si>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</si>
  <si>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</si>
  <si>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</si>
  <si>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</si>
  <si>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</si>
  <si>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</si>
  <si>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</si>
  <si>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</si>
  <si>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</si>
  <si>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</si>
  <si>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</si>
  <si>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</si>
  <si>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</si>
  <si>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</si>
  <si>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</si>
  <si>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</si>
  <si>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</si>
  <si>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</si>
  <si>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</si>
  <si>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</si>
  <si>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</si>
  <si>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</si>
  <si>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</si>
  <si>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</si>
  <si>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</si>
  <si>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</si>
  <si>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</si>
  <si>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</si>
  <si>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</si>
  <si>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</si>
  <si>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</si>
  <si>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</si>
  <si>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</si>
  <si>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</si>
  <si>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</si>
  <si>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</si>
  <si>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</si>
  <si>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</si>
  <si>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</si>
  <si>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</si>
  <si>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</si>
  <si>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</si>
  <si>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</si>
  <si>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</si>
  <si>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</si>
  <si>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</si>
  <si>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</si>
  <si>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</si>
  <si>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</si>
  <si>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</si>
  <si>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</si>
  <si>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</si>
  <si>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</si>
  <si>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</si>
  <si>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</si>
  <si>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</si>
  <si>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</si>
  <si>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</si>
  <si>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</si>
  <si>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</si>
  <si>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</si>
  <si>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</si>
  <si>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</si>
  <si>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</si>
  <si>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</si>
  <si>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</si>
  <si>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</si>
  <si>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</si>
  <si>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</si>
  <si>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</si>
  <si>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</si>
  <si>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</si>
  <si>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</si>
  <si>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</si>
  <si>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</si>
  <si>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</si>
  <si>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</si>
  <si>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</si>
  <si>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</si>
  <si>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</si>
  <si>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</si>
  <si>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</si>
  <si>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</si>
  <si>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</si>
  <si>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</si>
  <si>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</si>
  <si>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</si>
  <si>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</si>
  <si>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</si>
  <si>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</si>
  <si>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</si>
  <si>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</si>
  <si>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</si>
  <si>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</si>
  <si>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</si>
  <si>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</si>
  <si>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</si>
  <si>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</si>
  <si>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</si>
  <si>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</si>
  <si>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</si>
  <si>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</si>
  <si>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</si>
  <si>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</si>
  <si>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</si>
  <si>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</si>
  <si>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</si>
  <si>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</si>
  <si>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</si>
  <si>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</si>
  <si>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</si>
  <si>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</si>
  <si>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</si>
  <si>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</si>
  <si>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</si>
  <si>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</si>
  <si>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</si>
  <si>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</si>
  <si>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</si>
  <si>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</si>
  <si>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</si>
  <si>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</si>
  <si>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</si>
  <si>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</si>
  <si>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</si>
  <si>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</si>
  <si>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</si>
  <si>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</si>
  <si>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</si>
  <si>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</si>
  <si>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</si>
  <si>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</si>
  <si>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</si>
  <si>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</si>
  <si>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</si>
  <si>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</si>
  <si>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</si>
  <si>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</si>
  <si>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</si>
  <si>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</si>
  <si>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</si>
  <si>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</si>
  <si>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</si>
  <si>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</si>
  <si>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</si>
  <si>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</si>
  <si>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</si>
  <si>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</si>
  <si>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</si>
  <si>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</si>
  <si>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</si>
  <si>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</si>
  <si>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</si>
  <si>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</si>
  <si>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</si>
  <si>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</si>
  <si>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</si>
  <si>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</si>
  <si>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</si>
  <si>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</si>
  <si>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</si>
  <si>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</si>
  <si>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</si>
  <si>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</si>
  <si>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</si>
  <si>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</si>
  <si>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</si>
  <si>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</si>
  <si>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</si>
  <si>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</si>
  <si>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</si>
  <si>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</si>
  <si>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</si>
  <si>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</si>
  <si>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</si>
  <si>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</si>
  <si>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</si>
  <si>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</si>
  <si>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</si>
  <si>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</si>
  <si>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</si>
  <si>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</si>
  <si>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</si>
  <si>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</si>
  <si>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</si>
  <si>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</si>
  <si>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</si>
  <si>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</si>
  <si>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</si>
  <si>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</si>
  <si>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</si>
  <si>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</si>
  <si>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</si>
  <si>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</si>
  <si>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</si>
  <si>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</si>
  <si>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</si>
  <si>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</si>
  <si>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</si>
  <si>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</si>
  <si>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</si>
  <si>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</si>
  <si>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</si>
  <si>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</si>
  <si>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</si>
  <si>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</si>
  <si>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</si>
  <si>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</si>
  <si>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</si>
  <si>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</si>
  <si>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</si>
  <si>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</si>
  <si>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</si>
  <si>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</si>
  <si>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</si>
  <si>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</si>
  <si>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</si>
  <si>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</si>
  <si>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</si>
  <si>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</si>
  <si>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</si>
  <si>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</si>
  <si>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</si>
  <si>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</si>
  <si>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</si>
  <si>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</si>
  <si>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</si>
  <si>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</si>
  <si>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</si>
  <si>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</si>
  <si>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</si>
  <si>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</si>
  <si>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</si>
  <si>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</si>
  <si>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</si>
  <si>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</si>
  <si>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</si>
  <si>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</si>
  <si>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</si>
  <si>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</si>
  <si>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</si>
  <si>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</si>
  <si>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</si>
  <si>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</si>
  <si>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</si>
  <si>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</si>
  <si>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</si>
  <si>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</si>
  <si>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</si>
  <si>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</si>
  <si>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</si>
  <si>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</si>
  <si>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</si>
  <si>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</si>
  <si>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</si>
  <si>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</si>
  <si>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</si>
  <si>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</si>
  <si>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</si>
  <si>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</si>
  <si>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</si>
  <si>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</si>
  <si>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</si>
  <si>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</si>
  <si>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</si>
  <si>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</si>
  <si>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</si>
  <si>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</si>
  <si>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</si>
  <si>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</si>
  <si>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</si>
  <si>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</si>
  <si>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</si>
  <si>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</si>
  <si>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</si>
  <si>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</si>
  <si>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</si>
  <si>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</si>
  <si>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</si>
  <si>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</si>
  <si>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</si>
  <si>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</si>
  <si>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</si>
  <si>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</si>
  <si>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</si>
  <si>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</si>
  <si>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</si>
  <si>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</si>
  <si>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</si>
  <si>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</si>
  <si>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</si>
  <si>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</si>
  <si>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</si>
  <si>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</si>
  <si>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</si>
  <si>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</si>
  <si>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</si>
  <si>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</si>
  <si>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</si>
  <si>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</si>
  <si>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</si>
  <si>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</si>
  <si>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</si>
  <si>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</si>
  <si>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</si>
  <si>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</si>
  <si>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</si>
  <si>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</si>
  <si>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</si>
  <si>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</si>
  <si>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</si>
  <si>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</si>
  <si>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</si>
  <si>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</si>
  <si>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</si>
  <si>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</si>
  <si>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</si>
  <si>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</si>
  <si>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</si>
  <si>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</si>
  <si>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</si>
  <si>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</si>
  <si>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</si>
  <si>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</si>
  <si>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</si>
  <si>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</si>
  <si>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</si>
  <si>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</si>
  <si>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</si>
  <si>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</si>
  <si>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</si>
  <si>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</si>
  <si>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</si>
  <si>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</si>
  <si>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</si>
  <si>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</si>
  <si>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</si>
  <si>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</si>
  <si>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</si>
  <si>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</si>
  <si>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</si>
  <si>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</si>
  <si>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</si>
  <si>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</si>
  <si>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</si>
  <si>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</si>
  <si>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</si>
  <si>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</si>
  <si>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</si>
  <si>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</si>
  <si>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</si>
  <si>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</si>
  <si>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</si>
  <si>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</si>
  <si>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</si>
  <si>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</si>
  <si>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</si>
  <si>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</si>
  <si>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</si>
  <si>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</si>
  <si>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</si>
  <si>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</si>
  <si>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</si>
  <si>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</si>
  <si>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</si>
  <si>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</si>
  <si>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</si>
  <si>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</si>
  <si>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</si>
  <si>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</si>
  <si>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</si>
  <si>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</si>
  <si>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</si>
  <si>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</si>
  <si>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</si>
  <si>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</si>
  <si>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</si>
  <si>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</si>
  <si>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</si>
  <si>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</si>
  <si>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</si>
  <si>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</si>
  <si>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</si>
  <si>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</si>
  <si>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</si>
  <si>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</si>
  <si>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</si>
  <si>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</si>
  <si>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</si>
  <si>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</si>
  <si>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</si>
  <si>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</si>
  <si>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</si>
  <si>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</si>
  <si>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</si>
  <si>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</si>
  <si>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</si>
  <si>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</si>
  <si>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</si>
  <si>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</si>
  <si>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</si>
  <si>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</si>
  <si>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</si>
  <si>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</si>
  <si>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</si>
  <si>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</si>
  <si>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</si>
  <si>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</si>
  <si>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</si>
  <si>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</si>
  <si>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</si>
  <si>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</si>
  <si>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</si>
  <si>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</si>
  <si>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</si>
  <si>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</si>
  <si>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</si>
  <si>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</si>
  <si>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</si>
  <si>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</si>
  <si>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</si>
  <si>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</si>
  <si>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</si>
  <si>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</si>
  <si>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</si>
  <si>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</si>
  <si>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</si>
  <si>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</si>
  <si>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</si>
  <si>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</si>
  <si>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</si>
  <si>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</si>
  <si>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</si>
  <si>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</si>
  <si>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</si>
  <si>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</si>
  <si>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</si>
  <si>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</si>
  <si>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</si>
  <si>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</si>
  <si>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</si>
  <si>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</si>
  <si>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</si>
  <si>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</si>
  <si>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</si>
  <si>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</si>
  <si>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</si>
  <si>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</si>
  <si>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</si>
  <si>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</si>
  <si>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</si>
  <si>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</si>
  <si>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</si>
  <si>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</si>
  <si>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</si>
  <si>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</si>
  <si>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</si>
  <si>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</si>
  <si>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</si>
  <si>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</si>
  <si>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</si>
  <si>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</si>
  <si>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</si>
  <si>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</si>
  <si>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</si>
  <si>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</si>
  <si>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</si>
  <si>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</si>
  <si>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</si>
  <si>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</si>
  <si>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</si>
  <si>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</si>
  <si>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</si>
  <si>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</si>
  <si>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</si>
  <si>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</si>
  <si>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</si>
  <si>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</si>
  <si>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</si>
  <si>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</si>
  <si>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</si>
  <si>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</si>
  <si>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</si>
  <si>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</si>
  <si>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</si>
  <si>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</si>
  <si>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</si>
  <si>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</si>
  <si>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</si>
  <si>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</si>
  <si>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</si>
  <si>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</si>
  <si>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</si>
  <si>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</si>
  <si>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</si>
  <si>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</si>
  <si>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</si>
  <si>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</si>
  <si>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</si>
  <si>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</si>
  <si>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</si>
  <si>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</si>
  <si>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</si>
  <si>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</si>
  <si>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</si>
  <si>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</si>
  <si>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</si>
  <si>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</si>
  <si>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</si>
  <si>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</si>
  <si>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</si>
  <si>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</si>
  <si>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</si>
  <si>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</si>
  <si>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</si>
  <si>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</si>
  <si>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</si>
  <si>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</si>
  <si>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</si>
  <si>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</si>
  <si>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</si>
  <si>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</si>
  <si>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</si>
  <si>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</si>
  <si>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</si>
  <si>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</si>
  <si>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</si>
  <si>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</si>
  <si>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</si>
  <si>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</si>
  <si>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</si>
  <si>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</si>
  <si>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</si>
  <si>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</si>
  <si>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</si>
  <si>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</si>
  <si>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</si>
  <si>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</si>
  <si>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</si>
  <si>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</si>
  <si>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</si>
  <si>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</si>
  <si>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</si>
  <si>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</si>
  <si>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</si>
  <si>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</si>
  <si>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</si>
  <si>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</si>
  <si>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</si>
  <si>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</si>
  <si>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</si>
  <si>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</si>
  <si>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</si>
  <si>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</si>
  <si>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</si>
  <si>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</si>
  <si>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</si>
  <si>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</si>
  <si>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</si>
  <si>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</si>
  <si>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</si>
  <si>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</si>
  <si>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</si>
  <si>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</si>
  <si>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</si>
  <si>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</si>
  <si>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</si>
  <si>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</si>
  <si>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</si>
  <si>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</si>
  <si>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</si>
  <si>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</si>
  <si>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</si>
  <si>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</si>
  <si>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</si>
  <si>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</si>
  <si>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</si>
  <si>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</si>
  <si>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</si>
  <si>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</si>
  <si>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</si>
  <si>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</si>
  <si>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</si>
  <si>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</si>
  <si>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</si>
  <si>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</si>
  <si>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</si>
  <si>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</si>
  <si>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</si>
  <si>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</si>
  <si>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</si>
  <si>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</si>
  <si>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</si>
  <si>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</si>
  <si>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</si>
  <si>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</si>
  <si>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</si>
  <si>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</si>
  <si>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</si>
  <si>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</si>
  <si>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</si>
  <si>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</si>
  <si>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</si>
  <si>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</si>
  <si>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</si>
  <si>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</si>
  <si>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</si>
  <si>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</si>
  <si>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</si>
  <si>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</si>
  <si>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</si>
  <si>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</si>
  <si>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</si>
  <si>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</si>
  <si>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</si>
  <si>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</si>
  <si>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</si>
  <si>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</si>
  <si>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</si>
  <si>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</si>
  <si>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</si>
  <si>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</si>
  <si>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</si>
  <si>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</si>
  <si>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</si>
  <si>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</si>
  <si>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</si>
  <si>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</si>
  <si>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</si>
  <si>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</si>
  <si>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</si>
  <si>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</si>
  <si>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</si>
  <si>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</si>
  <si>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</si>
  <si>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</si>
  <si>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</si>
  <si>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</si>
  <si>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</si>
  <si>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</si>
  <si>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</si>
  <si>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</si>
  <si>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</si>
  <si>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</si>
  <si>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</si>
  <si>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</si>
  <si>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</si>
  <si>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</si>
  <si>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</si>
  <si>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</si>
  <si>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</si>
  <si>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</si>
  <si>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</si>
  <si>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</si>
  <si>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</si>
  <si>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</si>
  <si>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</si>
  <si>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</si>
  <si>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</si>
  <si>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</si>
  <si>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</si>
  <si>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</si>
  <si>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</si>
  <si>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</si>
  <si>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</si>
  <si>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</si>
  <si>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</si>
  <si>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</si>
  <si>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</si>
  <si>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</si>
  <si>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</si>
  <si>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</si>
  <si>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</si>
  <si>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</si>
  <si>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</si>
  <si>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</si>
  <si>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</si>
  <si>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</si>
  <si>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</si>
  <si>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</si>
  <si>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</si>
  <si>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</si>
  <si>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</si>
  <si>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</si>
  <si>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</si>
  <si>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</si>
  <si>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</si>
  <si>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</si>
  <si>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</si>
  <si>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</si>
  <si>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</si>
  <si>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</si>
  <si>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</si>
  <si>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</si>
  <si>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</si>
  <si>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</si>
  <si>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</si>
  <si>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</si>
  <si>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</si>
  <si>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</si>
  <si>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</si>
  <si>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</si>
  <si>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</si>
  <si>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</si>
  <si>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</si>
  <si>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</si>
  <si>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</si>
  <si>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</si>
  <si>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</si>
  <si>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</si>
  <si>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</si>
  <si>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</si>
  <si>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</si>
  <si>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</si>
  <si>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</si>
  <si>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</si>
  <si>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</si>
  <si>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</si>
  <si>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</si>
  <si>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</si>
  <si>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</si>
  <si>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</si>
  <si>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</si>
  <si>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</si>
  <si>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</si>
  <si>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</si>
  <si>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</si>
  <si>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</si>
  <si>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</si>
  <si>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</si>
  <si>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</si>
  <si>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</si>
  <si>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</si>
  <si>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</si>
  <si>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</si>
  <si>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</si>
  <si>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</si>
  <si>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</si>
  <si>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</si>
  <si>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</si>
  <si>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</si>
  <si>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</si>
  <si>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</si>
  <si>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</si>
  <si>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</si>
  <si>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</si>
  <si>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</si>
  <si>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</si>
  <si>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</si>
  <si>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</si>
  <si>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</si>
  <si>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</si>
  <si>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</si>
  <si>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</si>
  <si>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</si>
  <si>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</si>
  <si>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</si>
  <si>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</si>
  <si>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</si>
  <si>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</si>
  <si>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</si>
  <si>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</si>
  <si>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</si>
  <si>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</si>
  <si>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</si>
  <si>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</si>
  <si>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</si>
  <si>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</si>
  <si>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</si>
  <si>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</si>
  <si>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</si>
  <si>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</si>
  <si>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</si>
  <si>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</si>
  <si>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</si>
  <si>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</si>
  <si>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</si>
  <si>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</si>
  <si>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</si>
  <si>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</si>
  <si>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</si>
  <si>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</si>
  <si>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</si>
  <si>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</si>
  <si>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</si>
  <si>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</si>
  <si>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</si>
  <si>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</si>
  <si>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</si>
  <si>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</si>
  <si>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</si>
  <si>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</si>
  <si>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</si>
  <si>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</si>
  <si>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</si>
  <si>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</si>
  <si>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</si>
  <si>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</si>
  <si>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</si>
  <si>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</si>
  <si>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</si>
  <si>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</si>
  <si>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</si>
  <si>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</si>
  <si>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</si>
  <si>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</si>
  <si>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</si>
  <si>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</si>
  <si>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</si>
  <si>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</si>
  <si>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</si>
  <si>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</si>
  <si>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</si>
  <si>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</si>
  <si>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</si>
  <si>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</si>
  <si>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</si>
  <si>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</si>
  <si>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</si>
  <si>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</si>
  <si>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</si>
  <si>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</si>
  <si>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</si>
  <si>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</si>
  <si>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</si>
  <si>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</si>
  <si>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</si>
  <si>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</si>
  <si>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</si>
  <si>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</si>
  <si>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</si>
  <si>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</si>
  <si>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</si>
  <si>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</si>
  <si>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</si>
  <si>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</si>
  <si>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</si>
  <si>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</si>
  <si>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</si>
  <si>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</si>
  <si>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</si>
  <si>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</si>
  <si>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</si>
  <si>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</si>
  <si>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</si>
  <si>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</si>
  <si>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</si>
  <si>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</si>
  <si>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</si>
  <si>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</si>
  <si>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</si>
  <si>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</si>
  <si>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</si>
  <si>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</si>
  <si>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</si>
  <si>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</si>
  <si>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</si>
  <si>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</si>
  <si>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</si>
  <si>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</si>
  <si>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</si>
  <si>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</si>
  <si>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</si>
  <si>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</si>
  <si>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</si>
  <si>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</si>
  <si>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</si>
  <si>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</si>
  <si>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</si>
  <si>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</si>
  <si>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</si>
  <si>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</si>
  <si>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</si>
  <si>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</si>
  <si>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</si>
  <si>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</si>
  <si>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</si>
  <si>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</si>
  <si>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</si>
  <si>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</si>
  <si>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</si>
  <si>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</si>
  <si>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</si>
  <si>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</si>
  <si>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</si>
  <si>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</si>
  <si>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</si>
  <si>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</si>
  <si>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</si>
  <si>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</si>
  <si>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</si>
  <si>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</si>
  <si>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</si>
  <si>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</si>
  <si>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</si>
  <si>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</si>
  <si>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</si>
  <si>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</si>
  <si>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</si>
  <si>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</si>
  <si>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</si>
  <si>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</si>
  <si>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</si>
  <si>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</si>
  <si>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</si>
  <si>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</si>
  <si>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</si>
  <si>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</si>
  <si>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</si>
  <si>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</si>
  <si>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</si>
  <si>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</si>
  <si>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</si>
  <si>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</si>
  <si>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</si>
  <si>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</si>
  <si>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</si>
  <si>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</si>
  <si>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</si>
  <si>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</si>
  <si>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</si>
  <si>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</si>
  <si>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</si>
  <si>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</si>
  <si>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</si>
  <si>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</si>
  <si>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</si>
  <si>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</si>
  <si>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</si>
  <si>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</si>
  <si>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</si>
  <si>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</si>
  <si>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</si>
  <si>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</si>
  <si>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</si>
  <si>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</si>
  <si>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</si>
  <si>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</si>
  <si>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</si>
  <si>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</si>
  <si>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</si>
  <si>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</si>
  <si>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</si>
  <si>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</si>
  <si>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</si>
  <si>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</si>
  <si>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</si>
  <si>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</si>
  <si>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</si>
  <si>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</si>
  <si>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</si>
  <si>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</si>
  <si>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</si>
  <si>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</si>
  <si>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</si>
  <si>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</si>
  <si>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</si>
  <si>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</si>
  <si>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</si>
  <si>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</si>
  <si>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</si>
  <si>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</si>
  <si>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</si>
  <si>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</si>
  <si>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</si>
  <si>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</si>
  <si>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</si>
  <si>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</si>
  <si>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</si>
  <si>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</si>
  <si>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</si>
  <si>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</si>
  <si>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</si>
  <si>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</si>
  <si>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</si>
  <si>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</si>
  <si>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</si>
  <si>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</si>
  <si>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</si>
  <si>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</si>
  <si>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</si>
  <si>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</si>
  <si>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</si>
  <si>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</si>
  <si>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</si>
  <si>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</si>
  <si>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</si>
  <si>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</si>
  <si>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</si>
  <si>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</si>
  <si>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</si>
  <si>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</si>
  <si>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</si>
  <si>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</si>
  <si>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</si>
  <si>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</si>
  <si>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</si>
  <si>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</si>
  <si>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</si>
  <si>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</si>
  <si>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</si>
  <si>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</si>
  <si>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</si>
  <si>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</si>
  <si>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</si>
  <si>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</si>
  <si>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</si>
  <si>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</si>
  <si>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</si>
  <si>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</si>
  <si>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</si>
  <si>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</si>
  <si>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</si>
  <si>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</si>
  <si>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</si>
  <si>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</si>
  <si>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</si>
  <si>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</si>
  <si>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</si>
  <si>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</si>
  <si>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</si>
  <si>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</si>
  <si>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</si>
  <si>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</si>
  <si>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</si>
  <si>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</si>
  <si>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</si>
  <si>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</si>
  <si>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</si>
  <si>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</si>
  <si>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</si>
  <si>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</si>
  <si>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</si>
  <si>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</si>
  <si>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</si>
  <si>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</si>
  <si>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</si>
  <si>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</si>
  <si>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</si>
  <si>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</si>
  <si>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</si>
  <si>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</si>
  <si>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</si>
  <si>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</si>
  <si>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</si>
  <si>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</si>
  <si>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</si>
  <si>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</si>
  <si>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</si>
  <si>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</si>
  <si>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</si>
  <si>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</si>
  <si>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</si>
  <si>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</si>
  <si>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</si>
  <si>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</si>
  <si>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</si>
  <si>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</si>
  <si>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</si>
  <si>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</si>
  <si>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</si>
  <si>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</si>
  <si>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</si>
  <si>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</si>
  <si>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</si>
  <si>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</si>
  <si>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</si>
  <si>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</si>
  <si>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</si>
  <si>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</si>
  <si>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</si>
  <si>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</si>
  <si>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</si>
  <si>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</si>
  <si>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</si>
  <si>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</si>
  <si>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</si>
  <si>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</si>
  <si>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</si>
  <si>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</si>
  <si>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</si>
  <si>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</si>
  <si>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</si>
  <si>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</si>
  <si>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</si>
  <si>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</si>
  <si>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</si>
  <si>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</si>
  <si>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</si>
  <si>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</si>
  <si>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</si>
  <si>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</si>
  <si>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</si>
  <si>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</si>
  <si>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</si>
  <si>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</si>
  <si>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</si>
  <si>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</si>
  <si>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</si>
  <si>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</si>
  <si>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</si>
  <si>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</si>
  <si>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</si>
  <si>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</si>
  <si>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</si>
  <si>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</si>
  <si>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</si>
  <si>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</si>
  <si>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</si>
  <si>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</si>
  <si>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</si>
  <si>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</si>
  <si>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</si>
  <si>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</si>
  <si>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</si>
  <si>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</si>
  <si>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</si>
  <si>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</si>
  <si>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</si>
  <si>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</si>
  <si>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</si>
  <si>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</si>
  <si>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</si>
  <si>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</si>
  <si>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</si>
  <si>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</si>
  <si>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</si>
  <si>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</si>
  <si>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</si>
  <si>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</si>
  <si>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</si>
  <si>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</si>
  <si>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</si>
  <si>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</si>
  <si>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</si>
  <si>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</si>
  <si>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</si>
  <si>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</si>
  <si>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</si>
  <si>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</si>
  <si>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</si>
  <si>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</si>
  <si>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</si>
  <si>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</si>
  <si>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</si>
  <si>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</si>
  <si>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</si>
  <si>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</si>
  <si>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</si>
  <si>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</si>
  <si>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</si>
  <si>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</si>
  <si>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</si>
  <si>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</si>
  <si>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</si>
  <si>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</si>
  <si>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</si>
  <si>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</si>
  <si>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</si>
  <si>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</si>
  <si>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</si>
  <si>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</si>
  <si>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</si>
  <si>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</si>
  <si>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</si>
  <si>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</si>
  <si>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</si>
  <si>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</si>
  <si>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</si>
  <si>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北京市</t>
  </si>
  <si>
    <r>
      <rPr>
        <sz val="10"/>
        <color theme="9" tint="-0.249977111117893"/>
        <rFont val="宋体"/>
        <family val="3"/>
        <charset val="134"/>
      </rPr>
      <t>朝阳区天畅园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1-109</t>
    </r>
    <phoneticPr fontId="6" type="noConversion"/>
  </si>
  <si>
    <t>自然人</t>
  </si>
  <si>
    <t>严丽</t>
    <phoneticPr fontId="6" type="noConversion"/>
  </si>
  <si>
    <t>商业项目</t>
  </si>
  <si>
    <t>现房</t>
  </si>
  <si>
    <t>是</t>
  </si>
  <si>
    <t>地上</t>
  </si>
  <si>
    <t>商业</t>
    <phoneticPr fontId="7" type="noConversion"/>
  </si>
  <si>
    <t>1-109</t>
    <phoneticPr fontId="3" type="noConversion"/>
  </si>
  <si>
    <t>奥运村街道</t>
    <phoneticPr fontId="3" type="noConversion"/>
  </si>
  <si>
    <t>成新度</t>
  </si>
  <si>
    <t>建成年代</t>
  </si>
  <si>
    <t>直线</t>
  </si>
  <si>
    <t>收益法 (元)</t>
  </si>
  <si>
    <t>押一</t>
  </si>
  <si>
    <r>
      <rPr>
        <sz val="11"/>
        <color theme="1"/>
        <rFont val="宋体"/>
        <family val="3"/>
        <charset val="134"/>
        <scheme val="minor"/>
      </rPr>
      <t>天畅园1层不临街报价</t>
    </r>
    <r>
      <rPr>
        <sz val="11"/>
        <color theme="1"/>
        <rFont val="宋体"/>
        <family val="3"/>
        <charset val="134"/>
        <scheme val="minor"/>
      </rPr>
      <t>3-6万之间都有，临外街星巴克那边的一层成交10万左右</t>
    </r>
  </si>
  <si>
    <t>钢混</t>
  </si>
  <si>
    <t>非生产用房</t>
  </si>
  <si>
    <t>否</t>
  </si>
  <si>
    <t>比较法-商业</t>
  </si>
  <si>
    <t>挂牌价</t>
  </si>
  <si>
    <t>挂牌价</t>
    <phoneticPr fontId="30" type="noConversion"/>
  </si>
  <si>
    <t>天畅园</t>
    <phoneticPr fontId="3" type="noConversion"/>
  </si>
  <si>
    <t>单套模式</t>
  </si>
  <si>
    <t>售价</t>
  </si>
  <si>
    <t>正常</t>
  </si>
  <si>
    <t>商业</t>
    <phoneticPr fontId="30" type="noConversion"/>
  </si>
  <si>
    <r>
      <t>15-20</t>
    </r>
    <r>
      <rPr>
        <sz val="11"/>
        <color indexed="8"/>
        <rFont val="宋体"/>
        <family val="3"/>
        <charset val="134"/>
      </rPr>
      <t>（含）</t>
    </r>
    <phoneticPr fontId="30" type="noConversion"/>
  </si>
  <si>
    <t>一般</t>
  </si>
  <si>
    <t>较好</t>
  </si>
  <si>
    <r>
      <t>1</t>
    </r>
    <r>
      <rPr>
        <sz val="11"/>
        <color indexed="8"/>
        <rFont val="宋体"/>
        <family val="3"/>
        <charset val="134"/>
      </rPr>
      <t>层</t>
    </r>
    <phoneticPr fontId="30" type="noConversion"/>
  </si>
  <si>
    <t>1层</t>
  </si>
  <si>
    <t>租金3.5-6元不等，租给按摩理疗、美容较多</t>
    <phoneticPr fontId="134" type="noConversion"/>
  </si>
  <si>
    <t>楼面单价</t>
  </si>
  <si>
    <t>自定义</t>
  </si>
  <si>
    <t>不临65条商业街</t>
  </si>
  <si>
    <t>与级别开发程度一致</t>
  </si>
  <si>
    <t>楼层修正</t>
  </si>
  <si>
    <t>较差</t>
  </si>
  <si>
    <t>差</t>
  </si>
  <si>
    <t>好</t>
  </si>
  <si>
    <t>未包含在土地购买价格中</t>
  </si>
  <si>
    <t>已包含在土地取得成本中</t>
  </si>
  <si>
    <t>比较法</t>
    <phoneticPr fontId="8" type="noConversion"/>
  </si>
  <si>
    <t>成本法</t>
    <phoneticPr fontId="8" type="noConversion"/>
  </si>
  <si>
    <t>单价</t>
    <phoneticPr fontId="8" type="noConversion"/>
  </si>
  <si>
    <t>权重</t>
    <phoneticPr fontId="8" type="noConversion"/>
  </si>
  <si>
    <t>楼面单价</t>
    <phoneticPr fontId="8" type="noConversion"/>
  </si>
  <si>
    <t>总价</t>
    <phoneticPr fontId="8" type="noConversion"/>
  </si>
  <si>
    <t>万元</t>
    <phoneticPr fontId="8" type="noConversion"/>
  </si>
  <si>
    <r>
      <rPr>
        <sz val="10"/>
        <color rgb="FFFF0000"/>
        <rFont val="宋体"/>
        <family val="3"/>
        <charset val="134"/>
      </rPr>
      <t>元</t>
    </r>
    <r>
      <rPr>
        <sz val="10"/>
        <color rgb="FFFF0000"/>
        <rFont val="Arial"/>
        <family val="2"/>
      </rPr>
      <t>/</t>
    </r>
    <r>
      <rPr>
        <sz val="10"/>
        <color rgb="FFFF0000"/>
        <rFont val="宋体"/>
        <family val="3"/>
        <charset val="134"/>
      </rPr>
      <t>平方米</t>
    </r>
    <phoneticPr fontId="8" type="noConversion"/>
  </si>
  <si>
    <t>总价</t>
    <phoneticPr fontId="8" type="noConversion"/>
  </si>
  <si>
    <t>单价</t>
    <phoneticPr fontId="8" type="noConversion"/>
  </si>
  <si>
    <t>万元</t>
    <phoneticPr fontId="8" type="noConversion"/>
  </si>
  <si>
    <t>复估单</t>
    <phoneticPr fontId="8" type="noConversion"/>
  </si>
  <si>
    <r>
      <rPr>
        <sz val="10"/>
        <color rgb="FFFF0000"/>
        <rFont val="宋体"/>
        <family val="3"/>
        <charset val="134"/>
      </rPr>
      <t>元</t>
    </r>
    <r>
      <rPr>
        <sz val="10"/>
        <color rgb="FFFF0000"/>
        <rFont val="Arial"/>
        <family val="2"/>
      </rPr>
      <t>/</t>
    </r>
    <r>
      <rPr>
        <sz val="10"/>
        <color rgb="FFFF0000"/>
        <rFont val="宋体"/>
        <family val="3"/>
        <charset val="134"/>
      </rPr>
      <t>平方米</t>
    </r>
    <phoneticPr fontId="8" type="noConversion"/>
  </si>
  <si>
    <t>国盛正评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</si>
</sst>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rgb="FFFF0000"/>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3A4F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7" fillId="22" borderId="0" xfId="0" applyFont="1" applyFill="1" applyProtection="1">
      <alignment vertical="center"/>
      <protection locked="0"/>
    </xf>
    <xf numFmtId="0" fontId="113" fillId="7" borderId="0" xfId="0" applyFont="1" applyFill="1" applyProtection="1">
      <alignment vertical="center"/>
      <protection locked="0"/>
    </xf>
    <xf numFmtId="0" fontId="113" fillId="22" borderId="0" xfId="0" applyFont="1" applyFill="1" applyProtection="1">
      <alignment vertical="center"/>
      <protection locked="0"/>
    </xf>
    <xf numFmtId="0" fontId="129" fillId="22" borderId="0" xfId="0" applyFont="1" applyFill="1" applyProtection="1">
      <alignment vertical="center"/>
      <protection locked="0"/>
    </xf>
    <xf numFmtId="0" fontId="273" fillId="22" borderId="0" xfId="0" applyFont="1" applyFill="1" applyProtection="1">
      <alignment vertical="center"/>
      <protection locked="0"/>
    </xf>
    <xf numFmtId="0" fontId="129" fillId="6" borderId="0" xfId="0" applyFont="1" applyFill="1" applyProtection="1">
      <alignment vertical="center"/>
      <protection locked="0"/>
    </xf>
    <xf numFmtId="0" fontId="273"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136523</xdr:colOff>
      <xdr:row>22</xdr:row>
      <xdr:rowOff>50536</xdr:rowOff>
    </xdr:to>
    <xdr:pic>
      <xdr:nvPicPr>
        <xdr:cNvPr id="2" name="图片 1">
          <a:extLst>
            <a:ext uri="{FF2B5EF4-FFF2-40B4-BE49-F238E27FC236}">
              <a16:creationId xmlns:a16="http://schemas.microsoft.com/office/drawing/2014/main" id="{0A26ED3A-6C62-5BD3-64CA-C82C20D7B5FD}"/>
            </a:ext>
          </a:extLst>
        </xdr:cNvPr>
        <xdr:cNvPicPr>
          <a:picLocks noChangeAspect="1"/>
        </xdr:cNvPicPr>
      </xdr:nvPicPr>
      <xdr:blipFill>
        <a:blip xmlns:r="http://schemas.openxmlformats.org/officeDocument/2006/relationships" r:embed="rId1"/>
        <a:stretch>
          <a:fillRect/>
        </a:stretch>
      </xdr:blipFill>
      <xdr:spPr>
        <a:xfrm>
          <a:off x="0" y="0"/>
          <a:ext cx="7451723" cy="4073896"/>
        </a:xfrm>
        <a:prstGeom prst="rect">
          <a:avLst/>
        </a:prstGeom>
      </xdr:spPr>
    </xdr:pic>
    <xdr:clientData/>
  </xdr:twoCellAnchor>
  <xdr:twoCellAnchor editAs="oneCell">
    <xdr:from>
      <xdr:col>12</xdr:col>
      <xdr:colOff>601980</xdr:colOff>
      <xdr:row>0</xdr:row>
      <xdr:rowOff>0</xdr:rowOff>
    </xdr:from>
    <xdr:to>
      <xdr:col>25</xdr:col>
      <xdr:colOff>524799</xdr:colOff>
      <xdr:row>34</xdr:row>
      <xdr:rowOff>29699</xdr:rowOff>
    </xdr:to>
    <xdr:pic>
      <xdr:nvPicPr>
        <xdr:cNvPr id="3" name="图片 2">
          <a:extLst>
            <a:ext uri="{FF2B5EF4-FFF2-40B4-BE49-F238E27FC236}">
              <a16:creationId xmlns:a16="http://schemas.microsoft.com/office/drawing/2014/main" id="{C38E5A20-5EA5-AA23-30FF-35440883FD03}"/>
            </a:ext>
          </a:extLst>
        </xdr:cNvPr>
        <xdr:cNvPicPr>
          <a:picLocks noChangeAspect="1"/>
        </xdr:cNvPicPr>
      </xdr:nvPicPr>
      <xdr:blipFill>
        <a:blip xmlns:r="http://schemas.openxmlformats.org/officeDocument/2006/relationships" r:embed="rId2"/>
        <a:stretch>
          <a:fillRect/>
        </a:stretch>
      </xdr:blipFill>
      <xdr:spPr>
        <a:xfrm>
          <a:off x="7917180" y="0"/>
          <a:ext cx="7847619" cy="6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189867</xdr:colOff>
      <xdr:row>38</xdr:row>
      <xdr:rowOff>60084</xdr:rowOff>
    </xdr:to>
    <xdr:pic>
      <xdr:nvPicPr>
        <xdr:cNvPr id="2" name="图片 1">
          <a:extLst>
            <a:ext uri="{FF2B5EF4-FFF2-40B4-BE49-F238E27FC236}">
              <a16:creationId xmlns:a16="http://schemas.microsoft.com/office/drawing/2014/main" id="{69FA642C-6093-8F48-52A8-8EAC5F5D322D}"/>
            </a:ext>
          </a:extLst>
        </xdr:cNvPr>
        <xdr:cNvPicPr>
          <a:picLocks noChangeAspect="1"/>
        </xdr:cNvPicPr>
      </xdr:nvPicPr>
      <xdr:blipFill>
        <a:blip xmlns:r="http://schemas.openxmlformats.org/officeDocument/2006/relationships" r:embed="rId1"/>
        <a:stretch>
          <a:fillRect/>
        </a:stretch>
      </xdr:blipFill>
      <xdr:spPr>
        <a:xfrm>
          <a:off x="0" y="0"/>
          <a:ext cx="5066667" cy="7009524"/>
        </a:xfrm>
        <a:prstGeom prst="rect">
          <a:avLst/>
        </a:prstGeom>
      </xdr:spPr>
    </xdr:pic>
    <xdr:clientData/>
  </xdr:twoCellAnchor>
  <xdr:twoCellAnchor editAs="oneCell">
    <xdr:from>
      <xdr:col>0</xdr:col>
      <xdr:colOff>129540</xdr:colOff>
      <xdr:row>38</xdr:row>
      <xdr:rowOff>95896</xdr:rowOff>
    </xdr:from>
    <xdr:to>
      <xdr:col>8</xdr:col>
      <xdr:colOff>312420</xdr:colOff>
      <xdr:row>47</xdr:row>
      <xdr:rowOff>98817</xdr:rowOff>
    </xdr:to>
    <xdr:pic>
      <xdr:nvPicPr>
        <xdr:cNvPr id="3" name="图片 2">
          <a:extLst>
            <a:ext uri="{FF2B5EF4-FFF2-40B4-BE49-F238E27FC236}">
              <a16:creationId xmlns:a16="http://schemas.microsoft.com/office/drawing/2014/main" id="{D779A355-66FC-20D1-8D80-F03B628CEA67}"/>
            </a:ext>
          </a:extLst>
        </xdr:cNvPr>
        <xdr:cNvPicPr>
          <a:picLocks noChangeAspect="1"/>
        </xdr:cNvPicPr>
      </xdr:nvPicPr>
      <xdr:blipFill>
        <a:blip xmlns:r="http://schemas.openxmlformats.org/officeDocument/2006/relationships" r:embed="rId2"/>
        <a:stretch>
          <a:fillRect/>
        </a:stretch>
      </xdr:blipFill>
      <xdr:spPr>
        <a:xfrm>
          <a:off x="129540" y="7045336"/>
          <a:ext cx="5059680" cy="1648841"/>
        </a:xfrm>
        <a:prstGeom prst="rect">
          <a:avLst/>
        </a:prstGeom>
      </xdr:spPr>
    </xdr:pic>
    <xdr:clientData/>
  </xdr:twoCellAnchor>
  <xdr:twoCellAnchor editAs="oneCell">
    <xdr:from>
      <xdr:col>10</xdr:col>
      <xdr:colOff>0</xdr:colOff>
      <xdr:row>0</xdr:row>
      <xdr:rowOff>0</xdr:rowOff>
    </xdr:from>
    <xdr:to>
      <xdr:col>21</xdr:col>
      <xdr:colOff>456305</xdr:colOff>
      <xdr:row>43</xdr:row>
      <xdr:rowOff>174255</xdr:rowOff>
    </xdr:to>
    <xdr:pic>
      <xdr:nvPicPr>
        <xdr:cNvPr id="4" name="图片 3">
          <a:extLst>
            <a:ext uri="{FF2B5EF4-FFF2-40B4-BE49-F238E27FC236}">
              <a16:creationId xmlns:a16="http://schemas.microsoft.com/office/drawing/2014/main" id="{CC6110F2-9F7C-1230-A598-7BFB38E9825E}"/>
            </a:ext>
          </a:extLst>
        </xdr:cNvPr>
        <xdr:cNvPicPr>
          <a:picLocks noChangeAspect="1"/>
        </xdr:cNvPicPr>
      </xdr:nvPicPr>
      <xdr:blipFill>
        <a:blip xmlns:r="http://schemas.openxmlformats.org/officeDocument/2006/relationships" r:embed="rId3"/>
        <a:stretch>
          <a:fillRect/>
        </a:stretch>
      </xdr:blipFill>
      <xdr:spPr>
        <a:xfrm>
          <a:off x="6096000" y="0"/>
          <a:ext cx="7161905" cy="8038095"/>
        </a:xfrm>
        <a:prstGeom prst="rect">
          <a:avLst/>
        </a:prstGeom>
      </xdr:spPr>
    </xdr:pic>
    <xdr:clientData/>
  </xdr:twoCellAnchor>
  <xdr:twoCellAnchor editAs="oneCell">
    <xdr:from>
      <xdr:col>10</xdr:col>
      <xdr:colOff>0</xdr:colOff>
      <xdr:row>45</xdr:row>
      <xdr:rowOff>0</xdr:rowOff>
    </xdr:from>
    <xdr:to>
      <xdr:col>21</xdr:col>
      <xdr:colOff>170590</xdr:colOff>
      <xdr:row>88</xdr:row>
      <xdr:rowOff>88541</xdr:rowOff>
    </xdr:to>
    <xdr:pic>
      <xdr:nvPicPr>
        <xdr:cNvPr id="5" name="图片 4">
          <a:extLst>
            <a:ext uri="{FF2B5EF4-FFF2-40B4-BE49-F238E27FC236}">
              <a16:creationId xmlns:a16="http://schemas.microsoft.com/office/drawing/2014/main" id="{A50486B3-FA56-21A9-BCA6-532B8AAB78E0}"/>
            </a:ext>
          </a:extLst>
        </xdr:cNvPr>
        <xdr:cNvPicPr>
          <a:picLocks noChangeAspect="1"/>
        </xdr:cNvPicPr>
      </xdr:nvPicPr>
      <xdr:blipFill>
        <a:blip xmlns:r="http://schemas.openxmlformats.org/officeDocument/2006/relationships" r:embed="rId4"/>
        <a:stretch>
          <a:fillRect/>
        </a:stretch>
      </xdr:blipFill>
      <xdr:spPr>
        <a:xfrm>
          <a:off x="6096000" y="8229600"/>
          <a:ext cx="6876190" cy="7952381"/>
        </a:xfrm>
        <a:prstGeom prst="rect">
          <a:avLst/>
        </a:prstGeom>
      </xdr:spPr>
    </xdr:pic>
    <xdr:clientData/>
  </xdr:twoCellAnchor>
  <xdr:twoCellAnchor editAs="oneCell">
    <xdr:from>
      <xdr:col>10</xdr:col>
      <xdr:colOff>0</xdr:colOff>
      <xdr:row>89</xdr:row>
      <xdr:rowOff>0</xdr:rowOff>
    </xdr:from>
    <xdr:to>
      <xdr:col>20</xdr:col>
      <xdr:colOff>580190</xdr:colOff>
      <xdr:row>125</xdr:row>
      <xdr:rowOff>178225</xdr:rowOff>
    </xdr:to>
    <xdr:pic>
      <xdr:nvPicPr>
        <xdr:cNvPr id="6" name="图片 5">
          <a:extLst>
            <a:ext uri="{FF2B5EF4-FFF2-40B4-BE49-F238E27FC236}">
              <a16:creationId xmlns:a16="http://schemas.microsoft.com/office/drawing/2014/main" id="{5A599DB2-C160-CDE8-A2DC-83D52E7E9C73}"/>
            </a:ext>
          </a:extLst>
        </xdr:cNvPr>
        <xdr:cNvPicPr>
          <a:picLocks noChangeAspect="1"/>
        </xdr:cNvPicPr>
      </xdr:nvPicPr>
      <xdr:blipFill>
        <a:blip xmlns:r="http://schemas.openxmlformats.org/officeDocument/2006/relationships" r:embed="rId5"/>
        <a:stretch>
          <a:fillRect/>
        </a:stretch>
      </xdr:blipFill>
      <xdr:spPr>
        <a:xfrm>
          <a:off x="6096000" y="16276320"/>
          <a:ext cx="6676190"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294019</xdr:colOff>
      <xdr:row>35</xdr:row>
      <xdr:rowOff>170629</xdr:rowOff>
    </xdr:to>
    <xdr:pic>
      <xdr:nvPicPr>
        <xdr:cNvPr id="2" name="图片 1">
          <a:extLst>
            <a:ext uri="{FF2B5EF4-FFF2-40B4-BE49-F238E27FC236}">
              <a16:creationId xmlns:a16="http://schemas.microsoft.com/office/drawing/2014/main" id="{A31596D8-D395-1EE2-C98F-B95CF909929D}"/>
            </a:ext>
          </a:extLst>
        </xdr:cNvPr>
        <xdr:cNvPicPr>
          <a:picLocks noChangeAspect="1"/>
        </xdr:cNvPicPr>
      </xdr:nvPicPr>
      <xdr:blipFill>
        <a:blip xmlns:r="http://schemas.openxmlformats.org/officeDocument/2006/relationships" r:embed="rId1"/>
        <a:stretch>
          <a:fillRect/>
        </a:stretch>
      </xdr:blipFill>
      <xdr:spPr>
        <a:xfrm>
          <a:off x="0" y="0"/>
          <a:ext cx="10047619" cy="6571429"/>
        </a:xfrm>
        <a:prstGeom prst="rect">
          <a:avLst/>
        </a:prstGeom>
      </xdr:spPr>
    </xdr:pic>
    <xdr:clientData/>
  </xdr:twoCellAnchor>
  <xdr:twoCellAnchor editAs="oneCell">
    <xdr:from>
      <xdr:col>0</xdr:col>
      <xdr:colOff>0</xdr:colOff>
      <xdr:row>37</xdr:row>
      <xdr:rowOff>0</xdr:rowOff>
    </xdr:from>
    <xdr:to>
      <xdr:col>16</xdr:col>
      <xdr:colOff>598781</xdr:colOff>
      <xdr:row>80</xdr:row>
      <xdr:rowOff>31398</xdr:rowOff>
    </xdr:to>
    <xdr:pic>
      <xdr:nvPicPr>
        <xdr:cNvPr id="3" name="图片 2">
          <a:extLst>
            <a:ext uri="{FF2B5EF4-FFF2-40B4-BE49-F238E27FC236}">
              <a16:creationId xmlns:a16="http://schemas.microsoft.com/office/drawing/2014/main" id="{443A6300-B80A-0FBF-C32D-DBC66F75DC38}"/>
            </a:ext>
          </a:extLst>
        </xdr:cNvPr>
        <xdr:cNvPicPr>
          <a:picLocks noChangeAspect="1"/>
        </xdr:cNvPicPr>
      </xdr:nvPicPr>
      <xdr:blipFill>
        <a:blip xmlns:r="http://schemas.openxmlformats.org/officeDocument/2006/relationships" r:embed="rId2"/>
        <a:stretch>
          <a:fillRect/>
        </a:stretch>
      </xdr:blipFill>
      <xdr:spPr>
        <a:xfrm>
          <a:off x="0" y="6766560"/>
          <a:ext cx="10352381" cy="7895238"/>
        </a:xfrm>
        <a:prstGeom prst="rect">
          <a:avLst/>
        </a:prstGeom>
      </xdr:spPr>
    </xdr:pic>
    <xdr:clientData/>
  </xdr:twoCellAnchor>
  <xdr:twoCellAnchor editAs="oneCell">
    <xdr:from>
      <xdr:col>0</xdr:col>
      <xdr:colOff>0</xdr:colOff>
      <xdr:row>83</xdr:row>
      <xdr:rowOff>0</xdr:rowOff>
    </xdr:from>
    <xdr:to>
      <xdr:col>16</xdr:col>
      <xdr:colOff>313067</xdr:colOff>
      <xdr:row>125</xdr:row>
      <xdr:rowOff>99992</xdr:rowOff>
    </xdr:to>
    <xdr:pic>
      <xdr:nvPicPr>
        <xdr:cNvPr id="4" name="图片 3">
          <a:extLst>
            <a:ext uri="{FF2B5EF4-FFF2-40B4-BE49-F238E27FC236}">
              <a16:creationId xmlns:a16="http://schemas.microsoft.com/office/drawing/2014/main" id="{0B31E1D4-F7A8-69E6-820C-9D13C18D3D6D}"/>
            </a:ext>
          </a:extLst>
        </xdr:cNvPr>
        <xdr:cNvPicPr>
          <a:picLocks noChangeAspect="1"/>
        </xdr:cNvPicPr>
      </xdr:nvPicPr>
      <xdr:blipFill>
        <a:blip xmlns:r="http://schemas.openxmlformats.org/officeDocument/2006/relationships" r:embed="rId3"/>
        <a:stretch>
          <a:fillRect/>
        </a:stretch>
      </xdr:blipFill>
      <xdr:spPr>
        <a:xfrm>
          <a:off x="0" y="15179040"/>
          <a:ext cx="10066667" cy="7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北京市朝阳区天畅园1号楼1层1-109预评估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受贵公司委托，我公司对北京市朝阳区天畅园1号楼1层1-109进行了预评估。</v>
      </c>
    </row>
    <row r="7" spans="1:2">
      <c r="A7" s="1119" t="s">
        <v>566</v>
      </c>
      <c r="B7" s="1120" t="str">
        <f>'预评函-1'!A7</f>
        <v>估价对象为北京市朝阳区天畅园1号楼1层1-109房地产，为严丽所有。根据《国有土地使用证》[]，估价对象（分摊）出让国有建设用地使用权面积为0平方米，建筑面积为108.03平方米。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天畅园1号楼1层1-109房地产,属严丽开发建设的商业项目，该项目尚在开发建设中。根据《国有土地使用证》[]，估价对象（分摊）出让国有建设用地使用权面积为0平方米，规划建筑面积为108.03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329</v>
      </c>
    </row>
    <row r="21" spans="1:2">
      <c r="A21" s="1119" t="s">
        <v>537</v>
      </c>
      <c r="B21" s="1120">
        <f ca="1">'预评函-2'!D7</f>
        <v>30452</v>
      </c>
    </row>
    <row r="22" spans="1:2">
      <c r="A22" s="1119" t="s">
        <v>538</v>
      </c>
      <c r="B22" s="1120" t="str">
        <f ca="1">'预评函-2'!D6</f>
        <v>叁佰贰拾玖万元整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329</v>
      </c>
    </row>
    <row r="31" spans="1:2">
      <c r="A31" s="1119" t="s">
        <v>576</v>
      </c>
      <c r="B31" s="1120">
        <f ca="1">'预评函-2'!D15</f>
        <v>30452</v>
      </c>
    </row>
    <row r="32" spans="1:2">
      <c r="A32" s="1119" t="s">
        <v>543</v>
      </c>
      <c r="B32" s="1120" t="str">
        <f ca="1">'预评函-2'!D14</f>
        <v>叁佰贰拾玖万元整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北京市朝阳区天畅园1号楼1层1-109房地产</v>
      </c>
    </row>
    <row r="42" spans="1:2" ht="31.2">
      <c r="A42" s="1119" t="s">
        <v>590</v>
      </c>
      <c r="B42" s="1120" t="str">
        <f>'预评函-3'!B2</f>
        <v>建筑面积</v>
      </c>
    </row>
    <row r="43" spans="1:2">
      <c r="A43" s="1119" t="s">
        <v>591</v>
      </c>
      <c r="B43" s="1120">
        <f>'预评函-3'!B4</f>
        <v>108.03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5" t="s">
        <v>2580</v>
      </c>
      <c r="J2" s="3215"/>
      <c r="K2" s="3215"/>
      <c r="L2" s="3215"/>
      <c r="M2" s="3215"/>
      <c r="N2" s="3215"/>
      <c r="O2" s="3215"/>
      <c r="P2" s="3215"/>
      <c r="Q2" s="3215"/>
      <c r="R2" s="3215"/>
    </row>
    <row r="3" spans="1:18">
      <c r="A3" s="2761" t="s">
        <v>2501</v>
      </c>
      <c r="B3" s="2762">
        <f>项目基本情况!D3</f>
        <v>45786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1.61</v>
      </c>
      <c r="D5" s="2766">
        <f>IF(ISERROR(ROUND(POWER(1+E5,A5-C5)*(POWER(1+E5,C5)-1)/(POWER(1+E5,A5)-1),3)),0,ROUND(POWER(1+E5,A5-C5)*(POWER(1+E5,C5)-1)/(POWER(1+E5,A5)-1),4))</f>
        <v>7.7299999999999994E-2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11.62</v>
      </c>
      <c r="D6" s="2766">
        <f>IF(ISERROR(ROUND(POWER(1+E6,A6-C6)*(POWER(1+E6,C6)-1)/(POWER(1+E6,A6)-1),3)),0,ROUND(POWER(1+E6,A6-C6)*(POWER(1+E6,C6)-1)/(POWER(1+E6,A6)-1),4))</f>
        <v>0.42599999999999999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31.63</v>
      </c>
      <c r="D7" s="2766">
        <f>IF(ISERROR(ROUND(POWER(1+E7,A7-C7)*(POWER(1+E7,C7)-1)/(POWER(1+E7,A7)-1),3)),0,ROUND(POWER(1+E7,A7-C7)*(POWER(1+E7,C7)-1)/(POWER(1+E7,A7)-1),4))</f>
        <v>0.75960000000000005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6" sqref="G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3" t="str">
        <f>IF(B10="北京市","北京市",C10)&amp;F10&amp;IF(结果表!G1="在建","出让国有建设用地使用权及在建建筑物",IF(结果表!G1="土地","出让国有建设用地使用权",))&amp;B9&amp;"预评估"</f>
        <v>北京市朝阳区天畅园1号楼1层1-109预评估</v>
      </c>
      <c r="C1" s="3224"/>
      <c r="D1" s="3224"/>
      <c r="E1" s="3224"/>
      <c r="F1" s="3224"/>
      <c r="G1" s="3224"/>
      <c r="H1" s="3224"/>
      <c r="I1" s="322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北京市朝阳区天畅园1号楼1层1-109</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北京市朝阳区天畅园1号楼1层1-109房地产</v>
      </c>
      <c r="T2" s="1618"/>
      <c r="U2" s="1618"/>
      <c r="V2" s="1618"/>
      <c r="W2" s="1618"/>
      <c r="X2" s="1618"/>
      <c r="Y2" s="1618"/>
      <c r="Z2" s="1618"/>
      <c r="AA2" s="1618"/>
      <c r="AB2" s="1618"/>
    </row>
    <row r="3" spans="1:30">
      <c r="A3" s="294" t="s">
        <v>2170</v>
      </c>
      <c r="B3" s="2185"/>
      <c r="C3" s="2186" t="s">
        <v>2171</v>
      </c>
      <c r="D3" s="2185">
        <v>45786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26" t="s">
        <v>2177</v>
      </c>
      <c r="E8" s="2202"/>
      <c r="F8" s="2203"/>
      <c r="G8" s="2441"/>
      <c r="H8" s="2441"/>
      <c r="I8" s="2441"/>
      <c r="J8" s="2244"/>
      <c r="K8" s="2399"/>
      <c r="L8" s="2398"/>
      <c r="M8" s="2398"/>
      <c r="N8" s="2244"/>
      <c r="O8" s="1670"/>
      <c r="P8" s="2244"/>
      <c r="Q8" s="2244"/>
      <c r="R8" s="2244"/>
    </row>
    <row r="9" spans="1:30" ht="13.8" thickBot="1">
      <c r="A9" s="2204" t="s">
        <v>2178</v>
      </c>
      <c r="B9" s="2205"/>
      <c r="C9" s="2206"/>
      <c r="D9" s="3227"/>
      <c r="E9" s="2205"/>
      <c r="F9" s="2207"/>
      <c r="G9" s="2442"/>
      <c r="H9" s="2442"/>
      <c r="I9" s="2442"/>
      <c r="J9" s="2244"/>
      <c r="K9" s="2401"/>
      <c r="L9" s="2398"/>
      <c r="M9" s="2398"/>
      <c r="N9" s="2244"/>
      <c r="O9" s="1670"/>
      <c r="P9" s="2244"/>
      <c r="Q9" s="2244"/>
      <c r="R9" s="2244"/>
    </row>
    <row r="10" spans="1:30" ht="13.8" thickTop="1">
      <c r="A10" s="2208" t="s">
        <v>2179</v>
      </c>
      <c r="B10" s="2209" t="s">
        <v>3412</v>
      </c>
      <c r="C10" s="2210"/>
      <c r="D10" s="2193"/>
      <c r="E10" s="2211" t="s">
        <v>2180</v>
      </c>
      <c r="F10" s="3161" t="s">
        <v>3413</v>
      </c>
      <c r="G10" s="2443"/>
      <c r="H10" s="2444"/>
      <c r="I10" s="2445"/>
      <c r="J10" s="2244"/>
      <c r="K10" s="2401"/>
      <c r="L10" s="2398"/>
      <c r="M10" s="2398"/>
      <c r="N10" s="2244"/>
      <c r="O10" s="1670"/>
      <c r="P10" s="2244"/>
      <c r="Q10" s="2244"/>
      <c r="R10" s="2244"/>
    </row>
    <row r="11" spans="1:30">
      <c r="A11" s="2212" t="s">
        <v>2181</v>
      </c>
      <c r="B11" s="2213" t="s">
        <v>3414</v>
      </c>
      <c r="C11" s="3162" t="s">
        <v>3415</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52837</v>
      </c>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19.309999999999999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3"/>
      <c r="C16" s="3234"/>
      <c r="D16" s="3235"/>
      <c r="E16" s="2221" t="s">
        <v>2194</v>
      </c>
      <c r="F16" s="3236"/>
      <c r="G16" s="3237"/>
      <c r="H16" s="3237"/>
      <c r="I16" s="3238"/>
      <c r="J16" s="2244"/>
      <c r="K16" s="2402"/>
      <c r="L16" s="1670"/>
      <c r="M16" s="1670"/>
      <c r="N16" s="2244"/>
      <c r="O16" s="1670"/>
      <c r="P16" s="2244"/>
      <c r="Q16" s="2244"/>
      <c r="R16" s="2244"/>
    </row>
    <row r="17" spans="1:28">
      <c r="A17" s="305" t="s">
        <v>2195</v>
      </c>
      <c r="B17" s="294" t="s">
        <v>2196</v>
      </c>
      <c r="C17" s="8">
        <f>'数据-汇总表'!E3</f>
        <v>108.03</v>
      </c>
      <c r="D17" s="1256" t="s">
        <v>2197</v>
      </c>
      <c r="E17" s="3239" t="s">
        <v>2198</v>
      </c>
      <c r="F17" s="3240"/>
      <c r="G17" s="3240"/>
      <c r="H17" s="3240"/>
      <c r="I17" s="3241"/>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42" t="s">
        <v>2202</v>
      </c>
      <c r="F18" s="3243"/>
      <c r="G18" s="3243"/>
      <c r="H18" s="3243"/>
      <c r="I18" s="3244"/>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3418</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9" t="s">
        <v>2206</v>
      </c>
      <c r="C20" s="3230"/>
      <c r="D20" s="3231" t="s">
        <v>2207</v>
      </c>
      <c r="E20" s="3232"/>
      <c r="F20" s="2429" t="s">
        <v>1056</v>
      </c>
      <c r="G20" s="2441"/>
      <c r="H20" s="2441"/>
      <c r="I20" s="2441"/>
      <c r="J20" s="2244"/>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7" t="s">
        <v>2214</v>
      </c>
      <c r="B27" s="312" t="s">
        <v>2215</v>
      </c>
      <c r="C27" s="2224" t="s">
        <v>3416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8"/>
      <c r="B30" s="294" t="s">
        <v>2218</v>
      </c>
      <c r="C30" s="3219"/>
      <c r="D30" s="3220"/>
      <c r="E30" s="2441"/>
      <c r="F30" s="2441"/>
      <c r="G30" s="2441"/>
      <c r="H30" s="2441"/>
      <c r="I30" s="2441"/>
      <c r="J30" s="2244"/>
      <c r="K30" s="2401"/>
      <c r="L30" s="2398"/>
      <c r="M30" s="2398"/>
      <c r="N30" s="2244"/>
      <c r="O30" s="1670"/>
      <c r="P30" s="2244"/>
      <c r="Q30" s="2244"/>
      <c r="R30" s="2244"/>
      <c r="S30" s="2244"/>
      <c r="T30" s="2244"/>
      <c r="U30" s="2244"/>
      <c r="V30" s="2244"/>
    </row>
    <row r="31" spans="1:28">
      <c r="A31" s="3221" t="s">
        <v>2219</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303</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2983</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108.03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108.03</v>
      </c>
      <c r="H5" s="13">
        <f t="shared" ref="H5:AT5" si="0">SUM(H13:H656)</f>
        <v>108.03</v>
      </c>
      <c r="I5" s="13">
        <f t="shared" si="0"/>
        <v>108.03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108.03</v>
      </c>
      <c r="BA5" s="15">
        <f t="shared" si="1"/>
        <v>108.03</v>
      </c>
      <c r="BB5" s="15">
        <f t="shared" si="1"/>
        <v>108.03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3421</v>
      </c>
      <c r="D13" s="1513" t="s">
        <v>3418</v>
      </c>
      <c r="E13" s="13">
        <f>IF($C$3="是",ROUND($A$3*G13/$B$3,2),ROUND($A$3*(G13-AT13)/$B$3,2))</f>
        <v>0</v>
      </c>
      <c r="F13" s="29"/>
      <c r="G13" s="30">
        <f>H13+AC13+AT13</f>
        <v>108.03</v>
      </c>
      <c r="H13" s="17">
        <f>SUMIF(I$12:AB$12,"总值",I13:AB13)</f>
        <v>108.03</v>
      </c>
      <c r="I13" s="1514">
        <v>108.03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1-109</v>
      </c>
      <c r="AY13" s="1260">
        <f>ROUND($AY$6*AZ13/$AZ$5,2)</f>
        <v>0</v>
      </c>
      <c r="AZ13" s="13">
        <f>BA13+BL13</f>
        <v>108.03</v>
      </c>
      <c r="BA13" s="13">
        <f>SUM(BB13:BK13)</f>
        <v>108.03</v>
      </c>
      <c r="BB13" s="13">
        <f>IF($D13="是",I13-J13,0)</f>
        <v>108.03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3" t="s">
        <v>1108</v>
      </c>
      <c r="F2" s="2438"/>
      <c r="G2" s="2431"/>
      <c r="H2" s="2432"/>
      <c r="I2" s="2146" t="s">
        <v>1132</v>
      </c>
      <c r="J2" s="2438"/>
      <c r="K2" s="2438"/>
      <c r="L2" s="2438"/>
      <c r="M2" s="2438"/>
      <c r="N2" s="2439"/>
      <c r="O2" s="2438"/>
      <c r="P2" s="2438"/>
    </row>
    <row r="3" spans="1:16" ht="15" thickBot="1">
      <c r="A3" s="3255" t="s">
        <v>1105</v>
      </c>
      <c r="B3" s="3255"/>
      <c r="C3" s="3255"/>
      <c r="D3" s="41">
        <f>'数据-基础表'!AY6</f>
        <v>0</v>
      </c>
      <c r="E3" s="41">
        <f>'数据-基础表'!AZ5</f>
        <v>108.03</v>
      </c>
      <c r="F3" s="2438"/>
      <c r="G3" s="42"/>
      <c r="H3" s="43" t="s">
        <v>1106</v>
      </c>
      <c r="I3" s="802" t="e">
        <f>ROUND('数据-基础表'!B3/'数据-基础表'!A3,2)</f>
        <v>#DIV/0!</v>
      </c>
      <c r="J3" s="2438"/>
      <c r="K3" s="2438"/>
      <c r="L3" s="2438"/>
      <c r="M3" s="2438"/>
      <c r="N3" s="2439"/>
      <c r="O3" s="2438"/>
      <c r="P3" s="2438"/>
    </row>
    <row r="4" spans="1:16" ht="14.4">
      <c r="A4" s="3256"/>
      <c r="B4" s="3257"/>
      <c r="C4" s="325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9" t="s">
        <v>1110</v>
      </c>
      <c r="C5" s="325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9" t="s">
        <v>1111</v>
      </c>
      <c r="C6" s="3259"/>
      <c r="D6" s="43">
        <f>ROUND($D$3*E6/$E$3,2)</f>
        <v>0</v>
      </c>
      <c r="E6" s="44">
        <f>E3-E5</f>
        <v>108.03</v>
      </c>
      <c r="F6" s="2438"/>
      <c r="G6" s="1529" t="s">
        <v>1112</v>
      </c>
      <c r="H6" s="45" t="s">
        <v>1113</v>
      </c>
      <c r="I6" s="2434" t="e">
        <f>ROUND(F31/D31,2)</f>
        <v>#DIV/0!</v>
      </c>
      <c r="J6" s="2438"/>
      <c r="K6" s="2438"/>
      <c r="L6" s="2438"/>
      <c r="M6" s="2438"/>
      <c r="N6" s="2438"/>
      <c r="O6" s="2438"/>
      <c r="P6" s="2438"/>
    </row>
    <row r="7" spans="1:16" ht="15" thickBot="1">
      <c r="A7" s="3251"/>
      <c r="B7" s="3252"/>
      <c r="C7" s="325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108.03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108.03</v>
      </c>
      <c r="F16" s="2438"/>
      <c r="G16" s="2438"/>
      <c r="H16" s="1531" t="s">
        <v>1135</v>
      </c>
      <c r="I16" s="1532"/>
      <c r="J16" s="1071"/>
      <c r="K16" s="3248" t="s">
        <v>1135</v>
      </c>
      <c r="L16" s="3249"/>
      <c r="M16" s="3249"/>
      <c r="N16" s="3249"/>
      <c r="O16" s="3249"/>
      <c r="P16" s="3250"/>
    </row>
    <row r="17" spans="1:19" ht="14.4">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3420</v>
      </c>
      <c r="D19" s="43">
        <f>ROUND($D$3*E19/$E$3,2)</f>
        <v>0</v>
      </c>
      <c r="E19" s="51">
        <f t="shared" ref="E19:E26" si="1">SUM(F19:G19)</f>
        <v>108.03</v>
      </c>
      <c r="F19" s="2556">
        <f>'数据-基础表'!G13</f>
        <v>108.03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108.03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108.03</v>
      </c>
      <c r="F27" s="1072">
        <f>IF(SUM(F19:F26)=E8,SUM(F19:F26),"地上面积有误")</f>
        <v>108.03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108.03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108.03</v>
      </c>
      <c r="F31" s="644">
        <f>F27+F30</f>
        <v>108.03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52837</v>
      </c>
      <c r="F6" s="61">
        <f>SUMIF(项目基本情况!C$12:I$12,C6,项目基本情况!C$15:I$15)</f>
        <v>19.309999999999999</v>
      </c>
      <c r="G6" s="62">
        <f>IF(ISERROR(ROUND(POWER(1+H6,D6-F6)*(POWER(1+H6,F6)-1)/(POWER(1+H6,D6)-1),3)),0,ROUND(POWER(1+H6,D6-F6)*(POWER(1+H6,F6)-1)/(POWER(1+H6,D6)-1),3))</f>
        <v>0</v>
      </c>
      <c r="H6" s="691">
        <v>0.05</v>
      </c>
      <c r="I6" s="691">
        <v>5.5E-2</v>
      </c>
      <c r="J6" s="63">
        <v>7.0000000000000007E-2</v>
      </c>
      <c r="K6" s="970">
        <f>SUMIF('数据-汇总表'!C$19:C$33,A6,'数据-汇总表'!E$19:E$33)</f>
        <v>108.03</v>
      </c>
      <c r="L6" s="692">
        <v>4000</v>
      </c>
      <c r="M6" s="64">
        <f t="shared" ref="M6:M14" si="0">ROUND(K6*L6/10000,0)</f>
        <v>43</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0.02</v>
      </c>
      <c r="W6" s="67">
        <v>0.1</v>
      </c>
      <c r="X6" s="979"/>
      <c r="Y6" s="68">
        <f>N6</f>
        <v>0.73</v>
      </c>
      <c r="Z6" s="69"/>
      <c r="AA6" s="63"/>
      <c r="AB6" s="63"/>
      <c r="AC6" s="979"/>
      <c r="AD6" s="70"/>
      <c r="AE6" s="980">
        <f ca="1">IF(AN6="",0,SUMIF(INDIRECT("'"&amp;AN6&amp;"'"&amp;"!E:E"),$AE$5,INDIRECT("'"&amp;AN6&amp;"'"&amp;"!F:F")))</f>
        <v>19.309999999999999</v>
      </c>
      <c r="AF6" s="74"/>
      <c r="AG6" s="130">
        <f>IF(AF6="",0,AE6-AF6)</f>
        <v>0</v>
      </c>
      <c r="AH6" s="71"/>
      <c r="AI6" s="73">
        <v>365</v>
      </c>
      <c r="AJ6" s="74"/>
      <c r="AK6" s="75">
        <v>5.0000000000000001E-3</v>
      </c>
      <c r="AL6" s="76">
        <v>1E-3</v>
      </c>
      <c r="AM6" s="77">
        <v>5.0000000000000001E-3</v>
      </c>
      <c r="AN6" s="1589" t="s">
        <v>3426</v>
      </c>
      <c r="AO6" s="50">
        <f ca="1">SUMIF(INDIRECT("'"&amp;AN6&amp;"'"&amp;"!A:A"),"总价",INDIRECT("'"&amp;AN6&amp;"'"&amp;"!B:B"))</f>
        <v>181.78739999999999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108.03</v>
      </c>
      <c r="L16" s="87">
        <f>ROUND(M16*10000/SUM(K6:K14),0)</f>
        <v>3980</v>
      </c>
      <c r="M16" s="87">
        <f>SUM(M6:M14)</f>
        <v>43</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4" t="s">
        <v>3424</v>
      </c>
      <c r="N18" s="2447">
        <v>2008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64" t="s">
        <v>3425</v>
      </c>
      <c r="N19" s="2447">
        <f>ROUND(1-(1-0)*(2024-N18)/60,2)</f>
        <v>0.73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164"/>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64"/>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3385</v>
      </c>
      <c r="D44" s="3163"/>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3163" t="s">
        <v>3422</v>
      </c>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E23" sqref="E2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108.03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45786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378</v>
      </c>
      <c r="C5" s="2299">
        <f ca="1">IF(B5=D14,结果表!H102,ROUND(B5*10000/$B$1,0))</f>
        <v>30452</v>
      </c>
      <c r="D5" s="2299" t="e">
        <f>ROUND(B5*10000/$B$2,0)</f>
        <v>#DIV/0!</v>
      </c>
      <c r="E5" s="2460"/>
      <c r="F5" s="2461"/>
      <c r="G5" s="2461"/>
      <c r="H5" s="2461"/>
      <c r="I5" s="2461"/>
      <c r="J5" s="2461"/>
      <c r="K5" s="2461"/>
    </row>
    <row r="6" spans="1:11" ht="15.6">
      <c r="A6" s="2299" t="s">
        <v>656</v>
      </c>
      <c r="B6" s="2299">
        <f>SUM(G14:G23)</f>
        <v>378</v>
      </c>
      <c r="C6" s="2299">
        <f ca="1">IF(B6=G14,结果表!H108,ROUND(B6*10000/$B$1,0))</f>
        <v>30452</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108.03</v>
      </c>
      <c r="C14" s="2305"/>
      <c r="D14" s="2305">
        <f>结果表!H26</f>
        <v>378</v>
      </c>
      <c r="E14" s="2305">
        <f>结果表!H27</f>
        <v>35000</v>
      </c>
      <c r="F14" s="2305" t="e">
        <f>ROUND(D14*10000/C14,0)</f>
        <v>#DIV/0!</v>
      </c>
      <c r="G14" s="2305">
        <f>D14</f>
        <v>378</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J28" sqref="J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7" ht="21.75" customHeight="1" thickBot="1">
      <c r="A1" s="1521" t="s">
        <v>1262</v>
      </c>
      <c r="B1" s="646"/>
      <c r="C1" s="1620" t="s">
        <v>673</v>
      </c>
      <c r="D1" s="646"/>
      <c r="E1" s="646"/>
      <c r="F1" s="1621" t="s">
        <v>1263</v>
      </c>
      <c r="G1" s="1453" t="s">
        <v>3417</v>
      </c>
      <c r="H1" s="1621" t="str">
        <f>IF(G1="现房","——","估价对象范围")</f>
        <v>——</v>
      </c>
      <c r="I1" s="1622"/>
    </row>
    <row r="2" spans="1:17" ht="21.75" customHeight="1" thickBot="1">
      <c r="A2" s="3296" t="str">
        <f>项目基本情况!S2</f>
        <v>北京市朝阳区天畅园1号楼1层1-109房地产</v>
      </c>
      <c r="B2" s="3297"/>
      <c r="C2" s="3297"/>
      <c r="D2" s="3297"/>
      <c r="E2" s="3297"/>
      <c r="F2" s="3297"/>
      <c r="G2" s="3297"/>
      <c r="H2" s="3297"/>
      <c r="I2" s="3298"/>
    </row>
    <row r="3" spans="1:17" ht="13.2">
      <c r="A3" s="3300" t="s">
        <v>1264</v>
      </c>
      <c r="B3" s="3301"/>
      <c r="C3" s="3301"/>
      <c r="D3" s="3301"/>
      <c r="E3" s="3301"/>
      <c r="F3" s="3301"/>
      <c r="G3" s="3301"/>
      <c r="H3" s="3301"/>
      <c r="I3" s="3301"/>
    </row>
    <row r="4" spans="1:17" ht="14.4">
      <c r="A4" s="1624" t="s">
        <v>1265</v>
      </c>
      <c r="B4" s="1625" t="s">
        <v>1266</v>
      </c>
      <c r="C4" s="1626" t="s">
        <v>3432</v>
      </c>
      <c r="D4" s="1626" t="s">
        <v>3426</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7" ht="13.2">
      <c r="A5" s="3276" t="s">
        <v>1268</v>
      </c>
      <c r="B5" s="3263">
        <v>25</v>
      </c>
      <c r="C5" s="3279"/>
      <c r="D5" s="3299"/>
      <c r="E5" s="123" t="s">
        <v>1269</v>
      </c>
      <c r="F5" s="1627"/>
      <c r="G5" s="1627"/>
      <c r="H5" s="1627"/>
      <c r="I5" s="1281"/>
    </row>
    <row r="6" spans="1:17" ht="13.2">
      <c r="A6" s="3276"/>
      <c r="B6" s="3263"/>
      <c r="C6" s="3280"/>
      <c r="D6" s="3299"/>
      <c r="E6" s="123" t="s">
        <v>1270</v>
      </c>
      <c r="F6" s="1627"/>
      <c r="G6" s="1627"/>
      <c r="H6" s="1627"/>
      <c r="I6" s="1281"/>
      <c r="J6" s="3168"/>
      <c r="K6" s="3168"/>
      <c r="L6" s="3168"/>
      <c r="M6" s="3168"/>
      <c r="N6" s="3168"/>
      <c r="O6" s="3168"/>
      <c r="P6" s="3168"/>
    </row>
    <row r="7" spans="1:17" ht="13.2">
      <c r="A7" s="3276"/>
      <c r="B7" s="3263"/>
      <c r="C7" s="3281"/>
      <c r="D7" s="3299"/>
      <c r="E7" s="123" t="s">
        <v>1271</v>
      </c>
      <c r="F7" s="1627"/>
      <c r="G7" s="1627"/>
      <c r="H7" s="1627"/>
      <c r="I7" s="1281"/>
      <c r="J7" s="3169"/>
      <c r="K7" s="3170" t="s">
        <v>3456</v>
      </c>
      <c r="L7" s="3170" t="s">
        <v>3457</v>
      </c>
      <c r="M7" s="3169"/>
      <c r="N7" s="3169"/>
      <c r="O7" s="3169"/>
      <c r="P7" s="3169"/>
      <c r="Q7" s="3167"/>
    </row>
    <row r="8" spans="1:17" ht="13.2">
      <c r="A8" s="3276" t="s">
        <v>1272</v>
      </c>
      <c r="B8" s="3263">
        <v>15</v>
      </c>
      <c r="C8" s="3279"/>
      <c r="D8" s="3299"/>
      <c r="E8" s="123" t="s">
        <v>1273</v>
      </c>
      <c r="F8" s="1627"/>
      <c r="G8" s="1627"/>
      <c r="H8" s="1627"/>
      <c r="I8" s="1281"/>
      <c r="J8" s="3170" t="s">
        <v>3458</v>
      </c>
      <c r="K8" s="3169">
        <f ca="1">C20</f>
        <v>36291</v>
      </c>
      <c r="L8" s="3169">
        <f ca="1">'成本法 (元)'!B3</f>
        <v>28304</v>
      </c>
      <c r="M8" s="3169"/>
      <c r="N8" s="3170" t="s">
        <v>3461</v>
      </c>
      <c r="O8" s="3169">
        <f ca="1">ROUND(O9*'数据-汇总表'!E19/10000,0)</f>
        <v>349</v>
      </c>
      <c r="P8" s="3170" t="s">
        <v>3462</v>
      </c>
      <c r="Q8" s="3167"/>
    </row>
    <row r="9" spans="1:17" ht="13.2">
      <c r="A9" s="3276"/>
      <c r="B9" s="3263"/>
      <c r="C9" s="3281"/>
      <c r="D9" s="3299"/>
      <c r="E9" s="123" t="s">
        <v>1274</v>
      </c>
      <c r="F9" s="1627"/>
      <c r="G9" s="1627"/>
      <c r="H9" s="1627"/>
      <c r="I9" s="1281"/>
      <c r="J9" s="3170" t="s">
        <v>3459</v>
      </c>
      <c r="K9" s="3169">
        <v>0.5</v>
      </c>
      <c r="L9" s="3169">
        <v>0.5</v>
      </c>
      <c r="M9" s="3169"/>
      <c r="N9" s="3170" t="s">
        <v>3460</v>
      </c>
      <c r="O9" s="3169">
        <f ca="1">ROUND(K8*K9+L8*L9,0)</f>
        <v>32298</v>
      </c>
      <c r="P9" s="3171" t="s">
        <v>3463</v>
      </c>
      <c r="Q9" s="3167"/>
    </row>
    <row r="10" spans="1:17" ht="13.2">
      <c r="A10" s="3276" t="s">
        <v>1275</v>
      </c>
      <c r="B10" s="3263">
        <v>15</v>
      </c>
      <c r="C10" s="3279"/>
      <c r="D10" s="3299"/>
      <c r="E10" s="123" t="s">
        <v>1276</v>
      </c>
      <c r="F10" s="1627"/>
      <c r="G10" s="1627"/>
      <c r="H10" s="1627"/>
      <c r="I10" s="1281"/>
      <c r="J10" s="3169"/>
      <c r="K10" s="3169"/>
      <c r="L10" s="3169">
        <f ca="1">(K8-L8)/K8</f>
        <v>0.22008211402276046</v>
      </c>
      <c r="M10" s="3169"/>
      <c r="N10" s="3169"/>
      <c r="O10" s="3169"/>
      <c r="P10" s="3169"/>
      <c r="Q10" s="3167"/>
    </row>
    <row r="11" spans="1:17" ht="13.2">
      <c r="A11" s="3276"/>
      <c r="B11" s="3263"/>
      <c r="C11" s="3281"/>
      <c r="D11" s="3299"/>
      <c r="E11" s="123" t="s">
        <v>1277</v>
      </c>
      <c r="F11" s="1627"/>
      <c r="G11" s="1627"/>
      <c r="H11" s="1627"/>
      <c r="I11" s="1281"/>
      <c r="J11" s="3167"/>
      <c r="K11" s="3167"/>
      <c r="L11" s="3167"/>
      <c r="M11" s="3167"/>
      <c r="N11" s="3167"/>
      <c r="O11" s="3167"/>
      <c r="P11" s="3167"/>
      <c r="Q11" s="3167"/>
    </row>
    <row r="12" spans="1:17" ht="13.2">
      <c r="A12" s="3276" t="s">
        <v>1278</v>
      </c>
      <c r="B12" s="3263">
        <v>15</v>
      </c>
      <c r="C12" s="3279"/>
      <c r="D12" s="3299"/>
      <c r="E12" s="123" t="s">
        <v>1279</v>
      </c>
      <c r="F12" s="1627"/>
      <c r="G12" s="1627"/>
      <c r="H12" s="1627"/>
      <c r="I12" s="1281"/>
    </row>
    <row r="13" spans="1:17" ht="13.2">
      <c r="A13" s="3276"/>
      <c r="B13" s="3263"/>
      <c r="C13" s="3281"/>
      <c r="D13" s="3299"/>
      <c r="E13" s="123" t="s">
        <v>1280</v>
      </c>
      <c r="F13" s="1627"/>
      <c r="G13" s="1627"/>
      <c r="H13" s="1627"/>
      <c r="I13" s="1281"/>
    </row>
    <row r="14" spans="1:17" ht="13.2">
      <c r="A14" s="3276" t="s">
        <v>1281</v>
      </c>
      <c r="B14" s="3263">
        <v>30</v>
      </c>
      <c r="C14" s="3279">
        <v>7</v>
      </c>
      <c r="D14" s="3299">
        <v>3</v>
      </c>
      <c r="E14" s="123" t="s">
        <v>1282</v>
      </c>
      <c r="F14" s="1627"/>
      <c r="G14" s="1627"/>
      <c r="H14" s="1627"/>
      <c r="I14" s="1281"/>
    </row>
    <row r="15" spans="1:17" ht="13.2">
      <c r="A15" s="3276"/>
      <c r="B15" s="3263"/>
      <c r="C15" s="3280"/>
      <c r="D15" s="3299"/>
      <c r="E15" s="123" t="s">
        <v>1283</v>
      </c>
      <c r="F15" s="1627"/>
      <c r="G15" s="1627"/>
      <c r="H15" s="1627"/>
      <c r="I15" s="1281"/>
    </row>
    <row r="16" spans="1:17" ht="13.2">
      <c r="A16" s="3276"/>
      <c r="B16" s="3263"/>
      <c r="C16" s="3281"/>
      <c r="D16" s="329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6" t="s">
        <v>2131</v>
      </c>
      <c r="F18" s="3287"/>
      <c r="G18" s="3287"/>
      <c r="H18" s="3287"/>
      <c r="I18" s="3287"/>
      <c r="K18" s="294" t="s">
        <v>1289</v>
      </c>
      <c r="L18" s="294">
        <f>IF(C1="",'数据-汇总表'!E3,SUMIF(项目类型,C1,'数据-汇总表'!E17:E26)+SUMIF(项目类型,C1,'数据-汇总表'!I17:I26))</f>
        <v>108.03</v>
      </c>
      <c r="M18" s="294">
        <f>IF(C1="",'数据-汇总表'!E3,SUMIF(项目类型,C1,'数据-汇总表'!E17:E26))</f>
        <v>108.03</v>
      </c>
    </row>
    <row r="19" spans="1:36" ht="14.4">
      <c r="A19" s="1630" t="s">
        <v>1290</v>
      </c>
      <c r="B19" s="1631" t="s">
        <v>1291</v>
      </c>
      <c r="C19" s="126">
        <f ca="1">SUMIF(INDIRECT("'"&amp;C4&amp;"'"&amp;"!A:A"),结果表!B19,INDIRECT("'"&amp;C4&amp;"'"&amp;"!B:B"))</f>
        <v>392.05169999999998</v>
      </c>
      <c r="D19" s="127">
        <f ca="1">SUMIF(INDIRECT("'"&amp;D4&amp;"'"&amp;"!A:A"),结果表!B19,INDIRECT("'"&amp;D4&amp;"'"&amp;"!B:B"))</f>
        <v>181.78739999999999</v>
      </c>
      <c r="E19" s="1630" t="s">
        <v>1292</v>
      </c>
      <c r="F19" s="1631" t="s">
        <v>1291</v>
      </c>
      <c r="G19" s="128">
        <f ca="1">ROUND(C19*$C$18+D19*$D$18,0)</f>
        <v>329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36291</v>
      </c>
      <c r="D20" s="130">
        <f ca="1">SUMIF(INDIRECT("'"&amp;D4&amp;"'"&amp;"!A:A"),结果表!B20,INDIRECT("'"&amp;D4&amp;"'"&amp;"!B:B"))</f>
        <v>16827</v>
      </c>
      <c r="E20" s="1633"/>
      <c r="F20" s="43" t="s">
        <v>1295</v>
      </c>
      <c r="G20" s="131">
        <f ca="1">ROUND(C20*$C$18+D20*$D$18,0)</f>
        <v>30452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1.1566494707553989</v>
      </c>
      <c r="E22" s="121"/>
      <c r="F22" s="121"/>
      <c r="G22" s="121"/>
      <c r="H22" s="121"/>
      <c r="I22" s="121"/>
    </row>
    <row r="23" spans="1:36" ht="13.8" thickBot="1">
      <c r="A23" s="646"/>
      <c r="B23" s="646"/>
      <c r="C23" s="646"/>
      <c r="D23" s="646"/>
      <c r="E23" s="121"/>
      <c r="F23" s="3172" t="s">
        <v>3469</v>
      </c>
      <c r="G23" s="3172" t="s">
        <v>3464</v>
      </c>
      <c r="H23" s="1346">
        <v>385.46</v>
      </c>
      <c r="I23" s="3172" t="s">
        <v>3466</v>
      </c>
    </row>
    <row r="24" spans="1:36" ht="14.4">
      <c r="A24" s="3270" t="s">
        <v>1299</v>
      </c>
      <c r="B24" s="1631" t="s">
        <v>1291</v>
      </c>
      <c r="C24" s="128">
        <f>IF(B30=0,0,D30)</f>
        <v>0</v>
      </c>
      <c r="D24" s="1637"/>
      <c r="E24" s="121"/>
      <c r="F24" s="1346"/>
      <c r="G24" s="3172" t="s">
        <v>3465</v>
      </c>
      <c r="H24" s="1346">
        <v>35681</v>
      </c>
      <c r="I24" s="3173" t="s">
        <v>3468</v>
      </c>
    </row>
    <row r="25" spans="1:36" ht="14.4">
      <c r="A25" s="3271"/>
      <c r="B25" s="43" t="s">
        <v>1295</v>
      </c>
      <c r="C25" s="133">
        <f>IF(B30=0,0,C30)</f>
        <v>0</v>
      </c>
      <c r="D25" s="1638"/>
      <c r="E25" s="121"/>
      <c r="F25" s="1346"/>
      <c r="G25" s="1346"/>
      <c r="H25" s="1346"/>
      <c r="I25" s="1346"/>
    </row>
    <row r="26" spans="1:36" ht="13.5" customHeight="1">
      <c r="A26" s="1639" t="s">
        <v>1300</v>
      </c>
      <c r="B26" s="134" t="s">
        <v>1301</v>
      </c>
      <c r="C26" s="134" t="s">
        <v>1302</v>
      </c>
      <c r="D26" s="135" t="s">
        <v>1303</v>
      </c>
      <c r="E26" s="121"/>
      <c r="F26" s="3172" t="s">
        <v>3467</v>
      </c>
      <c r="G26" s="3172" t="s">
        <v>3464</v>
      </c>
      <c r="H26" s="1346">
        <f>ROUND(H27*'数据-汇总表'!E19/10000,0)</f>
        <v>378</v>
      </c>
      <c r="I26" s="3172" t="s">
        <v>3466</v>
      </c>
      <c r="J26" s="684">
        <f>1-(H23-H26)/H23</f>
        <v>0.98064650028537337</v>
      </c>
    </row>
    <row r="27" spans="1:36" ht="13.8">
      <c r="A27" s="1639"/>
      <c r="B27" s="134">
        <v>0</v>
      </c>
      <c r="C27" s="134">
        <v>0</v>
      </c>
      <c r="D27" s="135">
        <f>ROUND(C27*B27/10000,0)</f>
        <v>0</v>
      </c>
      <c r="E27" s="121"/>
      <c r="F27" s="1346"/>
      <c r="G27" s="3172" t="s">
        <v>3465</v>
      </c>
      <c r="H27" s="1346">
        <v>35000</v>
      </c>
      <c r="I27" s="3173" t="s">
        <v>3468</v>
      </c>
      <c r="J27" s="684">
        <f>1-(H24-H27)/H24</f>
        <v>0.98091421204562657</v>
      </c>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30452</v>
      </c>
      <c r="D32" s="1641" t="s">
        <v>3446</v>
      </c>
      <c r="E32" s="121"/>
      <c r="F32" s="121"/>
      <c r="G32" s="121"/>
      <c r="H32" s="121"/>
      <c r="I32" s="121"/>
    </row>
    <row r="33" spans="1:15" ht="14.4">
      <c r="A33" s="740" t="s">
        <v>1306</v>
      </c>
      <c r="B33" s="123"/>
      <c r="C33" s="1642" t="s">
        <v>3447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0" t="s">
        <v>1312</v>
      </c>
      <c r="B36" s="1652" t="s">
        <v>1313</v>
      </c>
      <c r="C36" s="137"/>
      <c r="D36" s="1653"/>
      <c r="E36" s="1567"/>
      <c r="F36" s="1654"/>
      <c r="G36" s="121"/>
      <c r="H36" s="121"/>
      <c r="I36" s="121"/>
    </row>
    <row r="37" spans="1:15" ht="15" thickBot="1">
      <c r="A37" s="3291"/>
      <c r="B37" s="1555" t="s">
        <v>1314</v>
      </c>
      <c r="C37" s="139"/>
      <c r="D37" s="1071"/>
      <c r="E37" s="1071"/>
      <c r="F37" s="1654"/>
      <c r="G37" s="121"/>
      <c r="H37" s="121"/>
      <c r="I37" s="121"/>
    </row>
    <row r="38" spans="1:15" ht="15" thickBot="1">
      <c r="A38" s="329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f ca="1">ROUND(H101*F45,0)</f>
        <v>329</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09">
        <v>1</v>
      </c>
      <c r="K46" s="3326" t="s">
        <v>1331</v>
      </c>
      <c r="L46" s="3326"/>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26" t="s">
        <v>1337</v>
      </c>
      <c r="L47" s="3326"/>
      <c r="M47" s="3347">
        <f>'数据-取费表'!B2</f>
        <v>45786</v>
      </c>
      <c r="N47" s="3347"/>
      <c r="O47" s="3347"/>
    </row>
    <row r="48" spans="1:15" ht="26.4">
      <c r="A48" s="3295" t="s">
        <v>1338</v>
      </c>
      <c r="B48" s="3278"/>
      <c r="C48" s="327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6" t="s">
        <v>1340</v>
      </c>
      <c r="L48" s="3326"/>
      <c r="M48" s="3348">
        <f ca="1">H101</f>
        <v>329</v>
      </c>
      <c r="N48" s="3348"/>
      <c r="O48" s="3348"/>
    </row>
    <row r="49" spans="1:35" ht="25.5" customHeight="1">
      <c r="A49" s="2152" t="s">
        <v>1341</v>
      </c>
      <c r="B49" s="3262" t="s">
        <v>1342</v>
      </c>
      <c r="C49" s="3262"/>
      <c r="D49" s="1478">
        <v>0</v>
      </c>
      <c r="E49" s="316" t="s">
        <v>1343</v>
      </c>
      <c r="F49" s="2232" t="s">
        <v>28</v>
      </c>
      <c r="G49" s="3332"/>
      <c r="H49" s="2134" t="s">
        <v>2134</v>
      </c>
      <c r="I49" s="2135"/>
      <c r="J49" s="2309">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2337"/>
      <c r="B50" s="3262" t="s">
        <v>1344</v>
      </c>
      <c r="C50" s="3262"/>
      <c r="D50" s="2189"/>
      <c r="E50" s="323"/>
      <c r="F50" s="2232"/>
      <c r="G50" s="3333"/>
      <c r="H50" s="2136" t="s">
        <v>2135</v>
      </c>
      <c r="I50" s="2135"/>
      <c r="J50" s="3345" t="s">
        <v>1345</v>
      </c>
      <c r="K50" s="3345"/>
      <c r="L50" s="3345"/>
      <c r="M50" s="3345"/>
      <c r="N50" s="3345"/>
      <c r="O50" s="3345"/>
    </row>
    <row r="51" spans="1:35" ht="20.399999999999999" customHeight="1">
      <c r="A51" s="2338"/>
      <c r="B51" s="3262" t="s">
        <v>1346</v>
      </c>
      <c r="C51" s="3262"/>
      <c r="D51" s="1024"/>
      <c r="E51" s="319"/>
      <c r="F51" s="2232"/>
      <c r="G51" s="3334"/>
      <c r="H51" s="2136" t="s">
        <v>2136</v>
      </c>
      <c r="I51" s="2135"/>
      <c r="J51" s="2310" t="s">
        <v>1347</v>
      </c>
      <c r="K51" s="3326" t="s">
        <v>1348</v>
      </c>
      <c r="L51" s="3326"/>
      <c r="M51" s="2310" t="s">
        <v>1349</v>
      </c>
      <c r="N51" s="2310" t="s">
        <v>1350</v>
      </c>
      <c r="O51" s="2310" t="s">
        <v>1351</v>
      </c>
    </row>
    <row r="52" spans="1:35" ht="24" customHeight="1">
      <c r="A52" s="2153" t="s">
        <v>1352</v>
      </c>
      <c r="B52" s="3262" t="s">
        <v>1353</v>
      </c>
      <c r="C52" s="3262"/>
      <c r="D52" s="1024">
        <f ca="1">ROUND(D45*'数据-取费表'!B41/(1+'数据-取费表'!C42),0)</f>
        <v>18</v>
      </c>
      <c r="E52" s="1256" t="s">
        <v>1354</v>
      </c>
      <c r="F52" s="2339">
        <f>'数据-取费表'!B41</f>
        <v>5.6000000000000001E-2</v>
      </c>
      <c r="G52" s="2340"/>
      <c r="H52" s="2330"/>
      <c r="I52" s="1669"/>
      <c r="J52" s="2309">
        <v>1</v>
      </c>
      <c r="K52" s="3327" t="s">
        <v>1355</v>
      </c>
      <c r="L52" s="3327"/>
      <c r="M52" s="2311" t="b">
        <f>D48</f>
        <v>0</v>
      </c>
      <c r="N52" s="2309" t="str">
        <f>E48</f>
        <v>销售额×税（费）率</v>
      </c>
      <c r="O52" s="2312">
        <f>F48</f>
        <v>5.6000000000000001E-2</v>
      </c>
    </row>
    <row r="53" spans="1:35" ht="12" customHeight="1">
      <c r="A53" s="2153" t="s">
        <v>1356</v>
      </c>
      <c r="B53" s="3288" t="s">
        <v>2291</v>
      </c>
      <c r="C53" s="3289"/>
      <c r="D53" s="1024">
        <f ca="1">ROUND(D45*'数据-取费表'!B41/(1+'数据-取费表'!C42),0)</f>
        <v>18</v>
      </c>
      <c r="E53" s="1256" t="s">
        <v>1354</v>
      </c>
      <c r="F53" s="2339">
        <f>'数据-取费表'!B41</f>
        <v>5.6000000000000001E-2</v>
      </c>
      <c r="G53" s="2340"/>
      <c r="H53" s="2330"/>
      <c r="I53" s="1669"/>
      <c r="J53" s="2309">
        <v>2</v>
      </c>
      <c r="K53" s="3327" t="s">
        <v>1357</v>
      </c>
      <c r="L53" s="3327"/>
      <c r="M53" s="2311">
        <f t="shared" ref="M53:O54" ca="1" si="0">D55</f>
        <v>0</v>
      </c>
      <c r="N53" s="2309" t="str">
        <f t="shared" si="0"/>
        <v>销售额×税（费）率</v>
      </c>
      <c r="O53" s="2312" t="str">
        <f t="shared" si="0"/>
        <v>免征</v>
      </c>
    </row>
    <row r="54" spans="1:35" ht="12" customHeight="1">
      <c r="A54" s="2153" t="s">
        <v>1358</v>
      </c>
      <c r="B54" s="3288" t="s">
        <v>2292</v>
      </c>
      <c r="C54" s="3289"/>
      <c r="D54" s="1024">
        <f ca="1">C68</f>
        <v>18</v>
      </c>
      <c r="E54" s="319" t="s">
        <v>1359</v>
      </c>
      <c r="F54" s="2339">
        <f>'数据-取费表'!B41</f>
        <v>5.6000000000000001E-2</v>
      </c>
      <c r="G54" s="2340"/>
      <c r="H54" s="2341"/>
      <c r="I54" s="1669"/>
      <c r="J54" s="2309">
        <v>3</v>
      </c>
      <c r="K54" s="3327" t="s">
        <v>1360</v>
      </c>
      <c r="L54" s="3327"/>
      <c r="M54" s="2311">
        <f t="shared" ca="1" si="0"/>
        <v>186</v>
      </c>
      <c r="N54" s="2309" t="str">
        <f t="shared" si="0"/>
        <v>增值额×税（费）率</v>
      </c>
      <c r="O54" s="2313" t="str">
        <f t="shared" si="0"/>
        <v>免征</v>
      </c>
    </row>
    <row r="55" spans="1:35" ht="24" customHeight="1">
      <c r="A55" s="3277" t="s">
        <v>1361</v>
      </c>
      <c r="B55" s="3278"/>
      <c r="C55" s="3278"/>
      <c r="D55" s="12">
        <f ca="1">IF(H55="个人住宅",0,ROUND(D45*I55,0))</f>
        <v>0</v>
      </c>
      <c r="E55" s="1256" t="s">
        <v>1362</v>
      </c>
      <c r="F55" s="2339" t="str">
        <f>IF(H55="正常",I55,"免征")</f>
        <v>免征</v>
      </c>
      <c r="G55" s="2340"/>
      <c r="H55" s="2336"/>
      <c r="I55" s="157">
        <f>'数据-取费表'!B49</f>
        <v>5.0000000000000001E-4</v>
      </c>
      <c r="J55" s="2309">
        <f>IF(H59="非个人房产","",4)</f>
        <v>4</v>
      </c>
      <c r="K55" s="3327" t="str">
        <f>IF(H59="非个人房产","——","个人所得税")</f>
        <v>个人所得税</v>
      </c>
      <c r="L55" s="3327"/>
      <c r="M55" s="2314">
        <f ca="1">D59</f>
        <v>3</v>
      </c>
      <c r="N55" s="1883" t="str">
        <f>E59</f>
        <v>差额计税</v>
      </c>
      <c r="O55" s="2315">
        <f>F59</f>
        <v>0.01</v>
      </c>
    </row>
    <row r="56" spans="1:35" ht="25.2">
      <c r="A56" s="3277" t="s">
        <v>1363</v>
      </c>
      <c r="B56" s="3278"/>
      <c r="C56" s="3278"/>
      <c r="D56" s="12">
        <f ca="1">IF(H56="个人住宅",D57,D58)</f>
        <v>186</v>
      </c>
      <c r="E56" s="1256" t="s">
        <v>1364</v>
      </c>
      <c r="F56" s="2339" t="str">
        <f>IF(H56="正常",F58,"免征")</f>
        <v>免征</v>
      </c>
      <c r="G56" s="2342" t="s">
        <v>1365</v>
      </c>
      <c r="H56" s="2343"/>
      <c r="I56" s="1670"/>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3.2">
      <c r="A57" s="2153" t="s">
        <v>1341</v>
      </c>
      <c r="B57" s="3288" t="s">
        <v>1366</v>
      </c>
      <c r="C57" s="3289"/>
      <c r="D57" s="1478">
        <v>0</v>
      </c>
      <c r="E57" s="316" t="s">
        <v>1343</v>
      </c>
      <c r="F57" s="294"/>
      <c r="G57" s="2340"/>
      <c r="H57" s="2344"/>
      <c r="I57" s="1670"/>
      <c r="J57" s="3327">
        <f>IF(AND(J55="",J56=""),4,IF(项目基本情况!K6="上海银行",结果表!J56+1,结果表!J55+1))</f>
        <v>5</v>
      </c>
      <c r="K57" s="3327" t="s">
        <v>1367</v>
      </c>
      <c r="L57" s="2316" t="s">
        <v>1368</v>
      </c>
      <c r="M57" s="2317"/>
      <c r="N57" s="2318">
        <f ca="1">SUMIF(M52:M56,"&lt;9e307")</f>
        <v>189</v>
      </c>
      <c r="O57" s="2319"/>
      <c r="P57" s="2463" t="e">
        <f ca="1">N57/M49</f>
        <v>#VALUE!</v>
      </c>
    </row>
    <row r="58" spans="1:35" ht="25.2">
      <c r="A58" s="2153" t="s">
        <v>1352</v>
      </c>
      <c r="B58" s="3288" t="s">
        <v>1369</v>
      </c>
      <c r="C58" s="3262"/>
      <c r="D58" s="12">
        <f ca="1">IF(H58="转让取得",C81,C97)</f>
        <v>186</v>
      </c>
      <c r="E58" s="1256" t="s">
        <v>1364</v>
      </c>
      <c r="F58" s="294" t="s">
        <v>28</v>
      </c>
      <c r="G58" s="2340"/>
      <c r="H58" s="2343"/>
      <c r="I58" s="1670"/>
      <c r="J58" s="3327"/>
      <c r="K58" s="3327"/>
      <c r="L58" s="2316" t="s">
        <v>1370</v>
      </c>
      <c r="M58" s="2320"/>
      <c r="N58" s="2321" t="str">
        <f ca="1">NUMBERSTRING(INT(N57*10000),2)&amp;"元整"</f>
        <v>壹佰捌拾玖万元整</v>
      </c>
      <c r="O58" s="2322"/>
    </row>
    <row r="59" spans="1:35" ht="24.6" thickBot="1">
      <c r="A59" s="3330" t="s">
        <v>1371</v>
      </c>
      <c r="B59" s="3331"/>
      <c r="C59" s="3331"/>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8">
        <f>J57+1</f>
        <v>6</v>
      </c>
      <c r="K59" s="3327" t="s">
        <v>1372</v>
      </c>
      <c r="L59" s="2309" t="s">
        <v>1368</v>
      </c>
      <c r="M59" s="2323"/>
      <c r="N59" s="2324" t="e">
        <f ca="1">M49-N57</f>
        <v>#VALUE!</v>
      </c>
      <c r="O59" s="2325"/>
    </row>
    <row r="60" spans="1:35" ht="12" customHeight="1">
      <c r="A60" s="1671"/>
      <c r="B60" s="646"/>
      <c r="C60" s="646"/>
      <c r="D60" s="646"/>
      <c r="E60" s="1466"/>
      <c r="F60" s="1670"/>
      <c r="G60" s="1670"/>
      <c r="H60" s="151"/>
      <c r="I60" s="121"/>
      <c r="J60" s="3329"/>
      <c r="K60" s="3327"/>
      <c r="L60" s="2316" t="s">
        <v>1370</v>
      </c>
      <c r="M60" s="2320"/>
      <c r="N60" s="2321" t="e">
        <f ca="1">NUMBERSTRING(INT(N59*10000),2)&amp;"元整"</f>
        <v>#VALUE!</v>
      </c>
      <c r="O60" s="2322"/>
    </row>
    <row r="61" spans="1:35" ht="13.8" thickBot="1">
      <c r="A61" s="3275" t="s">
        <v>1373</v>
      </c>
      <c r="B61" s="3275"/>
      <c r="C61" s="3275"/>
      <c r="D61" s="3275"/>
      <c r="E61" s="3275"/>
      <c r="F61" s="1670"/>
      <c r="G61" s="1670"/>
      <c r="H61" s="151"/>
      <c r="I61" s="121"/>
      <c r="J61" s="2309">
        <f>J59+1</f>
        <v>7</v>
      </c>
      <c r="K61" s="3327" t="s">
        <v>1374</v>
      </c>
      <c r="L61" s="3327"/>
      <c r="M61" s="2326"/>
      <c r="N61" s="2327" t="e">
        <f ca="1">ROUND(N59*10000/'数据-汇总表'!E3,0)</f>
        <v>#VALUE!</v>
      </c>
      <c r="O61" s="2328"/>
    </row>
    <row r="62" spans="1:35" ht="13.2">
      <c r="A62" s="3293" t="s">
        <v>1375</v>
      </c>
      <c r="B62" s="3294"/>
      <c r="C62" s="1865"/>
      <c r="D62" s="1865" t="s">
        <v>1376</v>
      </c>
      <c r="E62" s="158" t="s">
        <v>1377</v>
      </c>
      <c r="F62" s="1670"/>
      <c r="G62" s="1670"/>
      <c r="H62" s="151"/>
      <c r="I62" s="121"/>
    </row>
    <row r="63" spans="1:35" ht="13.2">
      <c r="A63" s="165" t="s">
        <v>330</v>
      </c>
      <c r="B63" s="159" t="s">
        <v>1378</v>
      </c>
      <c r="C63" s="2349">
        <f ca="1">ROUND((C64+C65)/(1+'数据-取费表'!C42),0)</f>
        <v>313</v>
      </c>
      <c r="D63" s="159"/>
      <c r="E63" s="160"/>
      <c r="F63" s="1670"/>
      <c r="G63" s="1670"/>
      <c r="H63" s="151"/>
      <c r="I63" s="121"/>
      <c r="J63" s="335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329</v>
      </c>
      <c r="D64" s="162" t="s">
        <v>26</v>
      </c>
      <c r="E64" s="164"/>
      <c r="F64" s="1670"/>
      <c r="G64" s="1670"/>
      <c r="H64" s="151"/>
      <c r="I64" s="121"/>
      <c r="J64" s="335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2"/>
      <c r="K66" s="1245" t="s">
        <v>1387</v>
      </c>
      <c r="L66" s="1245" t="e">
        <f>M49*0.5%</f>
        <v>#VALUE!</v>
      </c>
      <c r="M66" s="294" t="e">
        <f>IF(L66&gt;0.5,0.5,ROUND(L66,0))</f>
        <v>#VALUE!</v>
      </c>
      <c r="N66" s="2330" t="s">
        <v>1388</v>
      </c>
      <c r="Z66" s="1623"/>
      <c r="AI66" s="1561"/>
    </row>
    <row r="67" spans="1:35" ht="14.25" customHeight="1">
      <c r="A67" s="165" t="s">
        <v>328</v>
      </c>
      <c r="B67" s="166" t="s">
        <v>1389</v>
      </c>
      <c r="C67" s="2353">
        <f ca="1">C63-C66</f>
        <v>313</v>
      </c>
      <c r="D67" s="162" t="s">
        <v>26</v>
      </c>
      <c r="E67" s="164"/>
      <c r="F67" s="1670"/>
      <c r="G67" s="1670"/>
      <c r="H67" s="151"/>
      <c r="I67" s="121"/>
      <c r="J67" s="335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18</v>
      </c>
      <c r="D68" s="2355">
        <f>'数据-取费表'!B41</f>
        <v>5.6000000000000001E-2</v>
      </c>
      <c r="E68" s="170"/>
      <c r="F68" s="1670"/>
      <c r="G68" s="1670"/>
      <c r="H68" s="151"/>
      <c r="I68" s="121"/>
      <c r="J68" s="335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2"/>
      <c r="K69" s="1245" t="s">
        <v>1393</v>
      </c>
      <c r="L69" s="1245"/>
      <c r="M69" s="294" t="e">
        <f>ROUND(SUM(M63:M68),0)</f>
        <v>#VALUE!</v>
      </c>
      <c r="N69" s="2331" t="e">
        <f>M69/M49</f>
        <v>#VALUE!</v>
      </c>
      <c r="Z69" s="1623"/>
      <c r="AI69" s="1561"/>
    </row>
    <row r="70" spans="1:35" s="642" customFormat="1" ht="14.4"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186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4" t="s">
        <v>2129</v>
      </c>
      <c r="H90" s="335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2" t="s">
        <v>1422</v>
      </c>
      <c r="F92" s="3273"/>
      <c r="G92" s="3273"/>
      <c r="H92" s="328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186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0" t="str">
        <f>C4</f>
        <v>比较法-商业</v>
      </c>
      <c r="D101" s="2371" t="str">
        <f>D4</f>
        <v>收益法 (元)</v>
      </c>
      <c r="E101" s="3349" t="s">
        <v>1431</v>
      </c>
      <c r="F101" s="3306"/>
      <c r="G101" s="1687" t="s">
        <v>1432</v>
      </c>
      <c r="H101" s="2380">
        <f ca="1">H118</f>
        <v>329</v>
      </c>
      <c r="I101" s="121"/>
    </row>
    <row r="102" spans="1:35" ht="18.75" customHeight="1">
      <c r="A102" s="3308" t="s">
        <v>1433</v>
      </c>
      <c r="B102" s="2369" t="s">
        <v>1432</v>
      </c>
      <c r="C102" s="2370">
        <f ca="1">IF(D32="楼面单价",ROUND(C19,0),C19)</f>
        <v>392</v>
      </c>
      <c r="D102" s="2371">
        <f ca="1">IF(D32="楼面单价",ROUND(D19,0),D19)</f>
        <v>182</v>
      </c>
      <c r="E102" s="3349"/>
      <c r="F102" s="3306"/>
      <c r="G102" s="1687" t="s">
        <v>1434</v>
      </c>
      <c r="H102" s="2340">
        <f ca="1">I118</f>
        <v>30452</v>
      </c>
      <c r="I102" s="121"/>
    </row>
    <row r="103" spans="1:35" ht="42.75" customHeight="1">
      <c r="A103" s="3308"/>
      <c r="B103" s="2369" t="s">
        <v>1434</v>
      </c>
      <c r="C103" s="2372">
        <f ca="1">C20</f>
        <v>36291</v>
      </c>
      <c r="D103" s="2373">
        <f ca="1">D20</f>
        <v>16827</v>
      </c>
      <c r="E103" s="3343" t="s">
        <v>1435</v>
      </c>
      <c r="F103" s="3344"/>
      <c r="G103" s="1688" t="s">
        <v>1436</v>
      </c>
      <c r="H103" s="2380">
        <f>IF(D36="正常操作",H104+H105+H106,H105+H106)</f>
        <v>0</v>
      </c>
      <c r="I103" s="121"/>
    </row>
    <row r="104" spans="1:35" ht="18.75" customHeight="1">
      <c r="A104" s="3308" t="s">
        <v>1437</v>
      </c>
      <c r="B104" s="2374" t="s">
        <v>1432</v>
      </c>
      <c r="C104" s="2375">
        <f ca="1">H118</f>
        <v>329</v>
      </c>
      <c r="D104" s="2376"/>
      <c r="E104" s="1555" t="s">
        <v>1438</v>
      </c>
      <c r="F104" s="1548"/>
      <c r="G104" s="1688" t="s">
        <v>1436</v>
      </c>
      <c r="H104" s="2381">
        <f>IF(D36="同一抵押权人同一抵押物续贷",C36&amp;"（续贷，未扣减，详见特别提示）",C36)</f>
        <v>0</v>
      </c>
      <c r="I104" s="121"/>
    </row>
    <row r="105" spans="1:35" ht="18.75" customHeight="1" thickBot="1">
      <c r="A105" s="3309"/>
      <c r="B105" s="2377" t="s">
        <v>1434</v>
      </c>
      <c r="C105" s="2378">
        <f ca="1">I118</f>
        <v>30452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306"/>
      <c r="G107" s="1687" t="s">
        <v>1432</v>
      </c>
      <c r="H107" s="2380">
        <f ca="1">IF(E107="——","——",H101-H103)</f>
        <v>329</v>
      </c>
      <c r="I107" s="121"/>
    </row>
    <row r="108" spans="1:35" ht="18.75" customHeight="1">
      <c r="A108" s="121"/>
      <c r="B108" s="121"/>
      <c r="C108" s="121"/>
      <c r="D108" s="121"/>
      <c r="E108" s="3305"/>
      <c r="F108" s="3306"/>
      <c r="G108" s="1687" t="s">
        <v>1434</v>
      </c>
      <c r="H108" s="2340">
        <f ca="1">IF(H107=H101,H102,ROUND(H107*10000/'数据-汇总表'!E3,0))</f>
        <v>30452</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3" t="str">
        <f>IF(E109="——","——",H101-H105-H106)</f>
        <v>——</v>
      </c>
      <c r="I109" s="121"/>
    </row>
    <row r="110" spans="1:35" ht="18.75" customHeight="1">
      <c r="A110" s="121"/>
      <c r="B110" s="121"/>
      <c r="C110" s="121"/>
      <c r="D110" s="121"/>
      <c r="E110" s="3305"/>
      <c r="F110" s="3306"/>
      <c r="G110" s="1687" t="s">
        <v>1434</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80" t="str">
        <f>IF(E111="——","——",N59)</f>
        <v>——</v>
      </c>
      <c r="I111" s="121"/>
    </row>
    <row r="112" spans="1:35" ht="18.75" customHeight="1" thickBot="1">
      <c r="A112" s="121"/>
      <c r="B112" s="121"/>
      <c r="C112" s="121"/>
      <c r="D112" s="121"/>
      <c r="E112" s="3338"/>
      <c r="F112" s="3339"/>
      <c r="G112" s="1690"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50" t="s">
        <v>1449</v>
      </c>
      <c r="E117" s="2150" t="s">
        <v>1450</v>
      </c>
      <c r="F117" s="2150" t="s">
        <v>1449</v>
      </c>
      <c r="G117" s="2150" t="s">
        <v>1451</v>
      </c>
      <c r="H117" s="2150" t="s">
        <v>1449</v>
      </c>
      <c r="I117" s="2150" t="s">
        <v>1451</v>
      </c>
    </row>
    <row r="118" spans="1:27" ht="24.75" customHeight="1">
      <c r="A118" s="2385" t="str">
        <f>项目基本情况!S2</f>
        <v>北京市朝阳区天畅园1号楼1层1-109房地产</v>
      </c>
      <c r="B118" s="2150">
        <f>M18</f>
        <v>108.03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329</v>
      </c>
      <c r="I118" s="2150">
        <f ca="1">ROUND(IF(D32="楼面单价",C32,H118*10000/B118),0)</f>
        <v>30452</v>
      </c>
    </row>
    <row r="119" spans="1:27" ht="18.75" customHeight="1">
      <c r="A119" s="3276" t="s">
        <v>1452</v>
      </c>
      <c r="B119" s="3276"/>
      <c r="C119" s="3276"/>
      <c r="D119" s="3316" t="str">
        <f>NUMBERSTRING(INT(D118*10000),2)&amp;"元整"</f>
        <v>零元整</v>
      </c>
      <c r="E119" s="3318"/>
      <c r="F119" s="3316" t="str">
        <f>NUMBERSTRING(INT(F118*10000),2)&amp;"元整"</f>
        <v>零元整</v>
      </c>
      <c r="G119" s="3318"/>
      <c r="H119" s="3316" t="str">
        <f ca="1">NUMBERSTRING(INT(H118*10000),2)&amp;"元整"</f>
        <v>叁佰贰拾玖万元整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329</v>
      </c>
      <c r="E122" s="3341"/>
      <c r="F122" s="3341"/>
      <c r="G122" s="3341"/>
      <c r="H122" s="3341"/>
      <c r="I122" s="3342"/>
      <c r="AA122" s="684"/>
    </row>
    <row r="123" spans="1:27" ht="18.75" customHeight="1">
      <c r="A123" s="3276" t="s">
        <v>1452</v>
      </c>
      <c r="B123" s="3276"/>
      <c r="C123" s="3276"/>
      <c r="D123" s="3316" t="str">
        <f ca="1">NUMBERSTRING(INT(D122*10000),2)&amp;"元整"</f>
        <v>叁佰贰拾玖万元整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60" zoomScaleNormal="70" workbookViewId="0">
      <selection activeCell="D63" sqref="D6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3436</v>
      </c>
      <c r="F1" s="1735" t="s">
        <v>3437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392.05169999999998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36291</v>
      </c>
      <c r="C3" s="344" t="s">
        <v>1768</v>
      </c>
      <c r="D3" s="343">
        <f>IF(D1="",'数据-汇总表'!E3,SUMIF('数据-汇总表'!$C19:$C33,D1,'数据-汇总表'!$E19:$E33))</f>
        <v>108.03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4" t="s">
        <v>1770</v>
      </c>
      <c r="D4" s="3375"/>
      <c r="E4" s="3376" t="s">
        <v>1771</v>
      </c>
      <c r="F4" s="3377"/>
      <c r="G4" s="3374" t="s">
        <v>1772</v>
      </c>
      <c r="H4" s="3375"/>
      <c r="I4" s="3374" t="s">
        <v>1773</v>
      </c>
      <c r="J4" s="3375"/>
      <c r="K4" s="537" t="s">
        <v>1774</v>
      </c>
      <c r="L4" s="2485"/>
      <c r="M4" s="2486"/>
      <c r="N4" s="2486"/>
      <c r="O4" s="2486"/>
      <c r="P4" s="3378" t="s">
        <v>1775</v>
      </c>
      <c r="Q4" s="3379"/>
      <c r="R4" s="3384" t="s">
        <v>1771</v>
      </c>
      <c r="S4" s="3385"/>
      <c r="T4" s="3384" t="s">
        <v>1772</v>
      </c>
      <c r="U4" s="3385"/>
      <c r="V4" s="3357" t="s">
        <v>1773</v>
      </c>
      <c r="W4" s="3357"/>
      <c r="X4" s="1265"/>
      <c r="Y4" s="3384" t="s">
        <v>1775</v>
      </c>
      <c r="Z4" s="3385"/>
      <c r="AA4" s="3371" t="s">
        <v>1771</v>
      </c>
      <c r="AB4" s="3357" t="s">
        <v>1772</v>
      </c>
      <c r="AC4" s="3371" t="s">
        <v>1773</v>
      </c>
    </row>
    <row r="5" spans="1:29" ht="13.8" customHeight="1">
      <c r="A5" s="348"/>
      <c r="B5" s="349"/>
      <c r="C5" s="3392" t="s">
        <v>3435</v>
      </c>
      <c r="D5" s="3393"/>
      <c r="E5" s="3392" t="s">
        <v>3435</v>
      </c>
      <c r="F5" s="3393"/>
      <c r="G5" s="3392" t="s">
        <v>3435</v>
      </c>
      <c r="H5" s="3393"/>
      <c r="I5" s="3392" t="s">
        <v>3435</v>
      </c>
      <c r="J5" s="3393"/>
      <c r="K5" s="537"/>
      <c r="L5" s="2485"/>
      <c r="M5" s="2486"/>
      <c r="N5" s="2486"/>
      <c r="O5" s="2486"/>
      <c r="P5" s="3380"/>
      <c r="Q5" s="3381"/>
      <c r="R5" s="3386"/>
      <c r="S5" s="3387"/>
      <c r="T5" s="3386"/>
      <c r="U5" s="3387"/>
      <c r="V5" s="3357"/>
      <c r="W5" s="3357"/>
      <c r="X5" s="1265"/>
      <c r="Y5" s="3386"/>
      <c r="Z5" s="3387"/>
      <c r="AA5" s="3372"/>
      <c r="AB5" s="3357"/>
      <c r="AC5" s="3372"/>
    </row>
    <row r="6" spans="1:29" ht="15" thickBot="1">
      <c r="A6" s="350"/>
      <c r="B6" s="351"/>
      <c r="C6" s="3390" t="s">
        <v>1677</v>
      </c>
      <c r="D6" s="3391"/>
      <c r="E6" s="3397" t="s">
        <v>1677</v>
      </c>
      <c r="F6" s="3398"/>
      <c r="G6" s="3390" t="s">
        <v>1677</v>
      </c>
      <c r="H6" s="3391"/>
      <c r="I6" s="3390" t="s">
        <v>1677</v>
      </c>
      <c r="J6" s="3391"/>
      <c r="K6" s="537" t="s">
        <v>1678</v>
      </c>
      <c r="L6" s="2485"/>
      <c r="M6" s="2486"/>
      <c r="N6" s="2486"/>
      <c r="O6" s="2486"/>
      <c r="P6" s="3382"/>
      <c r="Q6" s="3383"/>
      <c r="R6" s="3386"/>
      <c r="S6" s="3387"/>
      <c r="T6" s="3388"/>
      <c r="U6" s="3389"/>
      <c r="V6" s="3357"/>
      <c r="W6" s="3357"/>
      <c r="X6" s="1265"/>
      <c r="Y6" s="3388"/>
      <c r="Z6" s="3389"/>
      <c r="AA6" s="3373"/>
      <c r="AB6" s="3357"/>
      <c r="AC6" s="3373"/>
    </row>
    <row r="7" spans="1:29" s="102" customFormat="1" ht="15" thickBot="1">
      <c r="A7" s="352" t="s">
        <v>1679</v>
      </c>
      <c r="B7" s="353"/>
      <c r="C7" s="354">
        <f>'数据-取费表'!B2</f>
        <v>45786</v>
      </c>
      <c r="D7" s="355">
        <v>100</v>
      </c>
      <c r="E7" s="356">
        <f>C7</f>
        <v>45786</v>
      </c>
      <c r="F7" s="357">
        <f>SUMIF(58:58,YEAR(E7)&amp;"-"&amp;MONTH(E7),59:59)</f>
        <v>100</v>
      </c>
      <c r="G7" s="356">
        <f>C7</f>
        <v>45786</v>
      </c>
      <c r="H7" s="355">
        <f>SUMIF(58:58,YEAR(G7)&amp;"-"&amp;MONTH(G7),59:59)</f>
        <v>100</v>
      </c>
      <c r="I7" s="356">
        <f>C7</f>
        <v>45786</v>
      </c>
      <c r="J7" s="355">
        <f>SUMIF(58:58,YEAR(I7)&amp;"-"&amp;MONTH(I7),59:59)</f>
        <v>100</v>
      </c>
      <c r="K7" s="38"/>
      <c r="L7" s="2487"/>
      <c r="M7" s="2439"/>
      <c r="N7" s="2439"/>
      <c r="O7" s="2439"/>
      <c r="P7" s="3394" t="s">
        <v>1680</v>
      </c>
      <c r="Q7" s="3396"/>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50">
        <f>D7/J7</f>
        <v>1</v>
      </c>
    </row>
    <row r="8" spans="1:29" s="102" customFormat="1" ht="15" thickBot="1">
      <c r="A8" s="352" t="s">
        <v>1681</v>
      </c>
      <c r="B8" s="353"/>
      <c r="C8" s="358" t="s">
        <v>3438</v>
      </c>
      <c r="D8" s="355">
        <v>100</v>
      </c>
      <c r="E8" s="358" t="s">
        <v>3433</v>
      </c>
      <c r="F8" s="357">
        <f>SUMIF(61:61,E8,62:62)-SUMIF(61:61,C8,62:62)+100</f>
        <v>101</v>
      </c>
      <c r="G8" s="358" t="s">
        <v>3433</v>
      </c>
      <c r="H8" s="355">
        <f>SUMIF(61:61,G8,62:62)-SUMIF(61:61,C8,62:62)+100</f>
        <v>101</v>
      </c>
      <c r="I8" s="358" t="s">
        <v>3433</v>
      </c>
      <c r="J8" s="355">
        <f>SUMIF(61:61,I8,62:62)-SUMIF(61:61,C8,62:62)+100</f>
        <v>101</v>
      </c>
      <c r="K8" s="38"/>
      <c r="L8" s="2487"/>
      <c r="M8" s="2439"/>
      <c r="N8" s="2439"/>
      <c r="O8" s="2439"/>
      <c r="P8" s="3394" t="s">
        <v>1683</v>
      </c>
      <c r="Q8" s="3395"/>
      <c r="R8" s="664" t="s">
        <v>14</v>
      </c>
      <c r="S8" s="665">
        <f t="shared" si="0"/>
        <v>101</v>
      </c>
      <c r="T8" s="664" t="s">
        <v>14</v>
      </c>
      <c r="U8" s="665">
        <f t="shared" si="1"/>
        <v>101</v>
      </c>
      <c r="V8" s="664" t="s">
        <v>14</v>
      </c>
      <c r="W8" s="665">
        <f t="shared" si="2"/>
        <v>101</v>
      </c>
      <c r="X8" s="666"/>
      <c r="Y8" s="3394" t="s">
        <v>1683</v>
      </c>
      <c r="Z8" s="3395"/>
      <c r="AA8" s="50">
        <f t="shared" ref="AA8:AA46" si="3">D8/F8</f>
        <v>0.99009900990099009</v>
      </c>
      <c r="AB8" s="50">
        <f t="shared" ref="AB8:AB46" si="4">D8/H8</f>
        <v>0.99009900990099009</v>
      </c>
      <c r="AC8" s="50">
        <f t="shared" ref="AC8:AC46" si="5">D8/J8</f>
        <v>0.99009900990099009</v>
      </c>
    </row>
    <row r="9" spans="1:29" s="102" customFormat="1" ht="14.4">
      <c r="A9" s="359" t="s">
        <v>1684</v>
      </c>
      <c r="B9" s="60" t="s">
        <v>1685</v>
      </c>
      <c r="C9" s="3166" t="s">
        <v>3439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0"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1" t="s">
        <v>3440</v>
      </c>
      <c r="D10" s="119">
        <v>100</v>
      </c>
      <c r="E10" s="3131" t="s">
        <v>3440</v>
      </c>
      <c r="F10" s="364">
        <f>SUMIF(65:65,E10,66:66)-SUMIF(65:65,C10,66:66)+100</f>
        <v>100</v>
      </c>
      <c r="G10" s="3131" t="s">
        <v>3440</v>
      </c>
      <c r="H10" s="119">
        <f>SUMIF(65:65,G10,66:66)-SUMIF(65:65,C10,66:66)+100</f>
        <v>100</v>
      </c>
      <c r="I10" s="3131" t="s">
        <v>3440</v>
      </c>
      <c r="J10" s="119">
        <f>SUMIF(65:65,I10,66:66)-SUMIF(65:65,C10,66:66)+100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0"/>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61" t="s">
        <v>1691</v>
      </c>
      <c r="Q15" s="1263" t="str">
        <f t="shared" si="6"/>
        <v>商业繁华度</v>
      </c>
      <c r="R15" s="667" t="s">
        <v>14</v>
      </c>
      <c r="S15" s="668">
        <f t="shared" si="0"/>
        <v>100</v>
      </c>
      <c r="T15" s="667" t="s">
        <v>14</v>
      </c>
      <c r="U15" s="668">
        <f t="shared" si="1"/>
        <v>100</v>
      </c>
      <c r="V15" s="667" t="s">
        <v>14</v>
      </c>
      <c r="W15" s="668">
        <f t="shared" si="2"/>
        <v>100</v>
      </c>
      <c r="X15" s="1265"/>
      <c r="Y15" s="3363" t="s">
        <v>1691</v>
      </c>
      <c r="Z15" s="1264" t="str">
        <f t="shared" si="7"/>
        <v>商业繁华度</v>
      </c>
      <c r="AA15" s="1264">
        <f t="shared" si="3"/>
        <v>1</v>
      </c>
      <c r="AB15" s="1264">
        <f t="shared" si="4"/>
        <v>1</v>
      </c>
      <c r="AC15" s="1264">
        <f t="shared" si="5"/>
        <v>1</v>
      </c>
    </row>
    <row r="16" spans="1:29" ht="15">
      <c r="A16" s="367"/>
      <c r="B16" s="385"/>
      <c r="C16" s="386" t="s">
        <v>3441</v>
      </c>
      <c r="D16" s="387"/>
      <c r="E16" s="386" t="s">
        <v>3441</v>
      </c>
      <c r="F16" s="388"/>
      <c r="G16" s="386" t="s">
        <v>3441</v>
      </c>
      <c r="H16" s="389"/>
      <c r="I16" s="386" t="s">
        <v>3441</v>
      </c>
      <c r="J16" s="387"/>
      <c r="K16" s="541"/>
      <c r="L16" s="2491"/>
      <c r="M16" s="2486"/>
      <c r="N16" s="2486"/>
      <c r="O16" s="2486"/>
      <c r="P16" s="3362"/>
      <c r="Q16" s="1263"/>
      <c r="R16" s="667"/>
      <c r="S16" s="668"/>
      <c r="T16" s="667"/>
      <c r="U16" s="668"/>
      <c r="V16" s="667"/>
      <c r="W16" s="668"/>
      <c r="X16" s="1265"/>
      <c r="Y16" s="336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7" t="s">
        <v>3442</v>
      </c>
      <c r="D18" s="389"/>
      <c r="E18" s="1757" t="s">
        <v>3442</v>
      </c>
      <c r="F18" s="392"/>
      <c r="G18" s="1757" t="s">
        <v>3442</v>
      </c>
      <c r="H18" s="387"/>
      <c r="I18" s="1757" t="s">
        <v>3442</v>
      </c>
      <c r="J18" s="387"/>
      <c r="K18" s="541"/>
      <c r="L18" s="2491"/>
      <c r="M18" s="2486"/>
      <c r="N18" s="2486"/>
      <c r="O18" s="2486"/>
      <c r="P18" s="3362"/>
      <c r="Q18" s="1263"/>
      <c r="R18" s="667"/>
      <c r="S18" s="668"/>
      <c r="T18" s="667"/>
      <c r="U18" s="668"/>
      <c r="V18" s="667"/>
      <c r="W18" s="668"/>
      <c r="X18" s="1265"/>
      <c r="Y18" s="336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1757" t="s">
        <v>3442</v>
      </c>
      <c r="D20" s="387"/>
      <c r="E20" s="1757" t="s">
        <v>3442</v>
      </c>
      <c r="F20" s="388"/>
      <c r="G20" s="1757" t="s">
        <v>3442</v>
      </c>
      <c r="H20" s="387"/>
      <c r="I20" s="1757" t="s">
        <v>3442</v>
      </c>
      <c r="J20" s="387"/>
      <c r="K20" s="541"/>
      <c r="L20" s="2491"/>
      <c r="M20" s="2486"/>
      <c r="N20" s="2486"/>
      <c r="O20" s="2486"/>
      <c r="P20" s="3362"/>
      <c r="Q20" s="1263"/>
      <c r="R20" s="667"/>
      <c r="S20" s="668"/>
      <c r="T20" s="667"/>
      <c r="U20" s="668"/>
      <c r="V20" s="667"/>
      <c r="W20" s="668"/>
      <c r="X20" s="1265"/>
      <c r="Y20" s="336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7" t="s">
        <v>3442</v>
      </c>
      <c r="D22" s="387"/>
      <c r="E22" s="1757" t="s">
        <v>3442</v>
      </c>
      <c r="F22" s="388"/>
      <c r="G22" s="1757" t="s">
        <v>3442</v>
      </c>
      <c r="H22" s="387"/>
      <c r="I22" s="1757" t="s">
        <v>3442</v>
      </c>
      <c r="J22" s="387"/>
      <c r="K22" s="1064"/>
      <c r="L22" s="2491"/>
      <c r="M22" s="2486"/>
      <c r="N22" s="2486"/>
      <c r="O22" s="2486"/>
      <c r="P22" s="3362"/>
      <c r="Q22" s="1263"/>
      <c r="R22" s="667"/>
      <c r="S22" s="668"/>
      <c r="T22" s="667"/>
      <c r="U22" s="668"/>
      <c r="V22" s="667"/>
      <c r="W22" s="668"/>
      <c r="X22" s="1265"/>
      <c r="Y22" s="336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62"/>
      <c r="Q23" s="1263" t="str">
        <f>B23</f>
        <v>自然及人文环境</v>
      </c>
      <c r="R23" s="667" t="s">
        <v>14</v>
      </c>
      <c r="S23" s="668">
        <f>F23</f>
        <v>100</v>
      </c>
      <c r="T23" s="667" t="s">
        <v>14</v>
      </c>
      <c r="U23" s="668">
        <f>H23</f>
        <v>100</v>
      </c>
      <c r="V23" s="667" t="s">
        <v>14</v>
      </c>
      <c r="W23" s="668">
        <f>J23</f>
        <v>100</v>
      </c>
      <c r="X23" s="1265"/>
      <c r="Y23" s="3364"/>
      <c r="Z23" s="1264" t="str">
        <f>Q23</f>
        <v>自然及人文环境</v>
      </c>
      <c r="AA23" s="1264">
        <f t="shared" si="3"/>
        <v>1</v>
      </c>
      <c r="AB23" s="1264">
        <f t="shared" si="4"/>
        <v>1</v>
      </c>
      <c r="AC23" s="1264">
        <f t="shared" si="5"/>
        <v>1</v>
      </c>
    </row>
    <row r="24" spans="1:29" ht="15">
      <c r="A24" s="367"/>
      <c r="B24" s="395"/>
      <c r="C24" s="1757" t="s">
        <v>3442</v>
      </c>
      <c r="D24" s="387"/>
      <c r="E24" s="1757" t="s">
        <v>3442</v>
      </c>
      <c r="F24" s="388"/>
      <c r="G24" s="1757" t="s">
        <v>3442</v>
      </c>
      <c r="H24" s="387"/>
      <c r="I24" s="1757" t="s">
        <v>3442</v>
      </c>
      <c r="J24" s="387"/>
      <c r="K24" s="541"/>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2"/>
      <c r="Q25" s="1263" t="str">
        <f t="shared" ref="Q25:Q46" si="11">B25</f>
        <v>临街状况</v>
      </c>
      <c r="R25" s="667" t="s">
        <v>14</v>
      </c>
      <c r="S25" s="668">
        <f>F25</f>
        <v>100</v>
      </c>
      <c r="T25" s="667" t="s">
        <v>14</v>
      </c>
      <c r="U25" s="668">
        <f>H25</f>
        <v>100</v>
      </c>
      <c r="V25" s="667" t="s">
        <v>14</v>
      </c>
      <c r="W25" s="668">
        <f>J25</f>
        <v>100</v>
      </c>
      <c r="X25" s="1265"/>
      <c r="Y25" s="336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2"/>
      <c r="Q26" s="1263" t="str">
        <f t="shared" si="11"/>
        <v>平面位置/可视性</v>
      </c>
      <c r="R26" s="667" t="s">
        <v>14</v>
      </c>
      <c r="S26" s="668">
        <f>F26</f>
        <v>100</v>
      </c>
      <c r="T26" s="667" t="s">
        <v>14</v>
      </c>
      <c r="U26" s="668">
        <f>H26</f>
        <v>100</v>
      </c>
      <c r="V26" s="667" t="s">
        <v>14</v>
      </c>
      <c r="W26" s="668">
        <f>J26</f>
        <v>100</v>
      </c>
      <c r="X26" s="1265"/>
      <c r="Y26" s="336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2"/>
      <c r="Q27" s="530" t="str">
        <f t="shared" si="11"/>
        <v>人流量</v>
      </c>
      <c r="R27" s="664" t="s">
        <v>14</v>
      </c>
      <c r="S27" s="665">
        <f>F27</f>
        <v>100</v>
      </c>
      <c r="T27" s="664" t="s">
        <v>14</v>
      </c>
      <c r="U27" s="665">
        <f>H27</f>
        <v>100</v>
      </c>
      <c r="V27" s="664" t="s">
        <v>14</v>
      </c>
      <c r="W27" s="665">
        <f>J27</f>
        <v>100</v>
      </c>
      <c r="X27" s="666"/>
      <c r="Y27" s="3364"/>
      <c r="Z27" s="50" t="str">
        <f>Q27</f>
        <v>人流量</v>
      </c>
      <c r="AA27" s="1264">
        <f>D27/F27</f>
        <v>1</v>
      </c>
      <c r="AB27" s="1264">
        <f>D27/H27</f>
        <v>1</v>
      </c>
      <c r="AC27" s="1264">
        <f>D27/J27</f>
        <v>1</v>
      </c>
    </row>
    <row r="28" spans="1:29" ht="15">
      <c r="A28" s="367"/>
      <c r="B28" s="364" t="s">
        <v>1783</v>
      </c>
      <c r="C28" s="542" t="s">
        <v>3444</v>
      </c>
      <c r="D28" s="374">
        <v>100</v>
      </c>
      <c r="E28" s="542" t="s">
        <v>3444</v>
      </c>
      <c r="F28" s="400">
        <f>SUMIF(92:92,E28,93:93)-SUMIF(92:92,C28,93:93)+100</f>
        <v>100</v>
      </c>
      <c r="G28" s="542" t="s">
        <v>3444</v>
      </c>
      <c r="H28" s="374">
        <f>SUMIF(92:92,G28,93:93)-SUMIF(92:92,C28,93:93)+100</f>
        <v>100</v>
      </c>
      <c r="I28" s="542" t="s">
        <v>3444</v>
      </c>
      <c r="J28" s="374">
        <f>SUMIF(92:92,I28,93:93)-SUMIF(92:92,C28,93:93)+100</f>
        <v>100</v>
      </c>
      <c r="K28" s="539"/>
      <c r="L28" s="2491"/>
      <c r="M28" s="2486"/>
      <c r="N28" s="2486"/>
      <c r="O28" s="2486"/>
      <c r="P28" s="336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2"/>
      <c r="Q29" s="1263">
        <f t="shared" si="11"/>
        <v>111</v>
      </c>
      <c r="R29" s="667" t="s">
        <v>14</v>
      </c>
      <c r="S29" s="668">
        <f t="shared" si="12"/>
        <v>100</v>
      </c>
      <c r="T29" s="667" t="s">
        <v>14</v>
      </c>
      <c r="U29" s="668">
        <f t="shared" si="13"/>
        <v>100</v>
      </c>
      <c r="V29" s="667" t="s">
        <v>14</v>
      </c>
      <c r="W29" s="668">
        <f t="shared" si="14"/>
        <v>100</v>
      </c>
      <c r="X29" s="1265"/>
      <c r="Y29" s="336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65" t="s">
        <v>1696</v>
      </c>
      <c r="Q32" s="1263" t="str">
        <f t="shared" si="11"/>
        <v>商业类型</v>
      </c>
      <c r="R32" s="667" t="s">
        <v>14</v>
      </c>
      <c r="S32" s="668">
        <f t="shared" si="12"/>
        <v>100</v>
      </c>
      <c r="T32" s="667" t="s">
        <v>14</v>
      </c>
      <c r="U32" s="668">
        <f t="shared" si="13"/>
        <v>100</v>
      </c>
      <c r="V32" s="667" t="s">
        <v>14</v>
      </c>
      <c r="W32" s="668">
        <f t="shared" si="14"/>
        <v>100</v>
      </c>
      <c r="X32" s="1265"/>
      <c r="Y32" s="336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108.03</v>
      </c>
      <c r="D33" s="119">
        <v>100</v>
      </c>
      <c r="E33" s="369">
        <v>51.76</v>
      </c>
      <c r="F33" s="364">
        <f>LOOKUP(E33,103:103,104:104)-LOOKUP(C33,103:103,104:104)+100</f>
        <v>101</v>
      </c>
      <c r="G33" s="368">
        <v>164.61</v>
      </c>
      <c r="H33" s="119">
        <f>LOOKUP(G33,103:103,104:104)-LOOKUP(C33,103:103,104:104)+100</f>
        <v>99</v>
      </c>
      <c r="I33" s="368">
        <v>55.92</v>
      </c>
      <c r="J33" s="119">
        <f>LOOKUP(I33,103:103,104:104)-LOOKUP(C33,103:103,104:104)+100</f>
        <v>101</v>
      </c>
      <c r="K33" s="539"/>
      <c r="L33" s="2490"/>
      <c r="M33" s="2492"/>
      <c r="N33" s="2492"/>
      <c r="O33" s="2492"/>
      <c r="P33" s="3366"/>
      <c r="Q33" s="531" t="str">
        <f t="shared" si="11"/>
        <v>项目建筑规模</v>
      </c>
      <c r="R33" s="669" t="s">
        <v>14</v>
      </c>
      <c r="S33" s="670">
        <f t="shared" si="12"/>
        <v>101</v>
      </c>
      <c r="T33" s="669" t="s">
        <v>14</v>
      </c>
      <c r="U33" s="670">
        <f t="shared" si="13"/>
        <v>99</v>
      </c>
      <c r="V33" s="669" t="s">
        <v>14</v>
      </c>
      <c r="W33" s="670">
        <f t="shared" si="14"/>
        <v>101</v>
      </c>
      <c r="X33" s="671"/>
      <c r="Y33" s="3368"/>
      <c r="Z33" s="672" t="str">
        <f t="shared" si="15"/>
        <v>项目建筑规模</v>
      </c>
      <c r="AA33" s="1264">
        <f t="shared" si="3"/>
        <v>0.99009900990099009</v>
      </c>
      <c r="AB33" s="1264">
        <f t="shared" si="4"/>
        <v>1.0101010101010102</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6"/>
      <c r="Q34" s="1263" t="str">
        <f t="shared" si="11"/>
        <v>建筑结构</v>
      </c>
      <c r="R34" s="667" t="s">
        <v>14</v>
      </c>
      <c r="S34" s="668">
        <f t="shared" si="12"/>
        <v>100</v>
      </c>
      <c r="T34" s="667" t="s">
        <v>14</v>
      </c>
      <c r="U34" s="668">
        <f t="shared" si="13"/>
        <v>100</v>
      </c>
      <c r="V34" s="667" t="s">
        <v>14</v>
      </c>
      <c r="W34" s="668">
        <f t="shared" si="14"/>
        <v>100</v>
      </c>
      <c r="X34" s="1265"/>
      <c r="Y34" s="336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6"/>
      <c r="Q35" s="1263" t="str">
        <f t="shared" si="11"/>
        <v>公共部分装修</v>
      </c>
      <c r="R35" s="667" t="s">
        <v>14</v>
      </c>
      <c r="S35" s="668">
        <f t="shared" si="12"/>
        <v>100</v>
      </c>
      <c r="T35" s="667" t="s">
        <v>14</v>
      </c>
      <c r="U35" s="668">
        <f t="shared" si="13"/>
        <v>100</v>
      </c>
      <c r="V35" s="667" t="s">
        <v>14</v>
      </c>
      <c r="W35" s="668">
        <f t="shared" si="14"/>
        <v>100</v>
      </c>
      <c r="X35" s="1265"/>
      <c r="Y35" s="3368"/>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f>C36</f>
        <v>0.73</v>
      </c>
      <c r="F36" s="400">
        <f>LOOKUP(E36,110:110,111:111)-LOOKUP(C36,110:110,111:111)+100</f>
        <v>100</v>
      </c>
      <c r="G36" s="411">
        <f>C36</f>
        <v>0.73</v>
      </c>
      <c r="H36" s="400">
        <f>LOOKUP(G36,110:110,111:111)-LOOKUP(C36,110:110,111:111)+100</f>
        <v>100</v>
      </c>
      <c r="I36" s="411">
        <f>C36</f>
        <v>0.73</v>
      </c>
      <c r="J36" s="374">
        <f>LOOKUP(I36,110:110,111:111)-LOOKUP(C36,110:110,111:111)+100</f>
        <v>100</v>
      </c>
      <c r="K36" s="538">
        <v>1</v>
      </c>
      <c r="L36" s="2491"/>
      <c r="M36" s="2486"/>
      <c r="N36" s="2486"/>
      <c r="O36" s="2486"/>
      <c r="P36" s="3366"/>
      <c r="Q36" s="1263" t="str">
        <f t="shared" si="11"/>
        <v>成新度</v>
      </c>
      <c r="R36" s="667" t="s">
        <v>14</v>
      </c>
      <c r="S36" s="668">
        <f t="shared" si="12"/>
        <v>100</v>
      </c>
      <c r="T36" s="667" t="s">
        <v>14</v>
      </c>
      <c r="U36" s="668">
        <f t="shared" si="13"/>
        <v>100</v>
      </c>
      <c r="V36" s="667" t="s">
        <v>14</v>
      </c>
      <c r="W36" s="668">
        <f t="shared" si="14"/>
        <v>100</v>
      </c>
      <c r="X36" s="1265"/>
      <c r="Y36" s="336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66"/>
      <c r="Q37" s="530" t="str">
        <f t="shared" si="11"/>
        <v>市政基础设施</v>
      </c>
      <c r="R37" s="664" t="s">
        <v>14</v>
      </c>
      <c r="S37" s="665">
        <f t="shared" si="12"/>
        <v>100</v>
      </c>
      <c r="T37" s="664" t="s">
        <v>14</v>
      </c>
      <c r="U37" s="665">
        <f t="shared" si="13"/>
        <v>100</v>
      </c>
      <c r="V37" s="664" t="s">
        <v>14</v>
      </c>
      <c r="W37" s="665">
        <f t="shared" si="14"/>
        <v>100</v>
      </c>
      <c r="X37" s="666"/>
      <c r="Y37" s="336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66" t="s">
        <v>1696</v>
      </c>
      <c r="Q38" s="1263" t="str">
        <f t="shared" si="11"/>
        <v>业态</v>
      </c>
      <c r="R38" s="667" t="s">
        <v>14</v>
      </c>
      <c r="S38" s="668">
        <f t="shared" si="12"/>
        <v>100</v>
      </c>
      <c r="T38" s="667" t="s">
        <v>14</v>
      </c>
      <c r="U38" s="668">
        <f t="shared" si="13"/>
        <v>100</v>
      </c>
      <c r="V38" s="667" t="s">
        <v>14</v>
      </c>
      <c r="W38" s="668">
        <f t="shared" si="14"/>
        <v>100</v>
      </c>
      <c r="X38" s="1265"/>
      <c r="Y38" s="336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66"/>
      <c r="Q39" s="1263" t="str">
        <f t="shared" si="11"/>
        <v>层高</v>
      </c>
      <c r="R39" s="667" t="s">
        <v>14</v>
      </c>
      <c r="S39" s="668">
        <f t="shared" si="12"/>
        <v>100</v>
      </c>
      <c r="T39" s="667" t="s">
        <v>14</v>
      </c>
      <c r="U39" s="668">
        <f t="shared" si="13"/>
        <v>100</v>
      </c>
      <c r="V39" s="667" t="s">
        <v>14</v>
      </c>
      <c r="W39" s="668">
        <f t="shared" si="14"/>
        <v>100</v>
      </c>
      <c r="X39" s="1265"/>
      <c r="Y39" s="336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6"/>
      <c r="Q40" s="1263" t="str">
        <f t="shared" si="11"/>
        <v>单套建筑面积</v>
      </c>
      <c r="R40" s="667" t="s">
        <v>14</v>
      </c>
      <c r="S40" s="668">
        <f t="shared" si="12"/>
        <v>100</v>
      </c>
      <c r="T40" s="667" t="s">
        <v>14</v>
      </c>
      <c r="U40" s="668">
        <f t="shared" si="13"/>
        <v>100</v>
      </c>
      <c r="V40" s="667" t="s">
        <v>14</v>
      </c>
      <c r="W40" s="668">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66"/>
      <c r="Q42" s="1263" t="str">
        <f t="shared" si="11"/>
        <v>内部装修</v>
      </c>
      <c r="R42" s="667" t="s">
        <v>14</v>
      </c>
      <c r="S42" s="668">
        <f t="shared" si="12"/>
        <v>100</v>
      </c>
      <c r="T42" s="667" t="s">
        <v>14</v>
      </c>
      <c r="U42" s="668">
        <f t="shared" si="13"/>
        <v>100</v>
      </c>
      <c r="V42" s="667" t="s">
        <v>14</v>
      </c>
      <c r="W42" s="668">
        <f t="shared" si="14"/>
        <v>100</v>
      </c>
      <c r="X42" s="1265"/>
      <c r="Y42" s="336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66"/>
      <c r="Q43" s="1263" t="str">
        <f t="shared" si="11"/>
        <v>内部装修维护情况</v>
      </c>
      <c r="R43" s="667" t="s">
        <v>14</v>
      </c>
      <c r="S43" s="668">
        <f t="shared" si="12"/>
        <v>100</v>
      </c>
      <c r="T43" s="667" t="s">
        <v>14</v>
      </c>
      <c r="U43" s="668">
        <f t="shared" si="13"/>
        <v>100</v>
      </c>
      <c r="V43" s="667" t="s">
        <v>14</v>
      </c>
      <c r="W43" s="668">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6"/>
      <c r="Q45" s="1263">
        <f t="shared" si="11"/>
        <v>111</v>
      </c>
      <c r="R45" s="667" t="s">
        <v>14</v>
      </c>
      <c r="S45" s="668">
        <f t="shared" si="12"/>
        <v>100</v>
      </c>
      <c r="T45" s="667" t="s">
        <v>14</v>
      </c>
      <c r="U45" s="668">
        <f t="shared" si="13"/>
        <v>100</v>
      </c>
      <c r="V45" s="667" t="s">
        <v>14</v>
      </c>
      <c r="W45" s="668">
        <f t="shared" si="14"/>
        <v>100</v>
      </c>
      <c r="X45" s="1265"/>
      <c r="Y45" s="336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264">
        <f t="shared" si="5"/>
        <v>1</v>
      </c>
    </row>
    <row r="47" spans="1:29" ht="14.4">
      <c r="A47" s="416" t="s">
        <v>1708</v>
      </c>
      <c r="B47" s="417"/>
      <c r="C47" s="1081" t="s">
        <v>0</v>
      </c>
      <c r="D47" s="418"/>
      <c r="E47" s="419">
        <v>36322</v>
      </c>
      <c r="F47" s="420"/>
      <c r="G47" s="421">
        <v>36450</v>
      </c>
      <c r="H47" s="422"/>
      <c r="I47" s="419">
        <v>37554</v>
      </c>
      <c r="J47" s="422"/>
      <c r="K47" s="674"/>
      <c r="L47" s="2493"/>
      <c r="M47" s="2486"/>
      <c r="N47" s="2486"/>
      <c r="O47" s="2486"/>
      <c r="P47" s="3356" t="str">
        <f>A47</f>
        <v>成交单价（元/平方米）</v>
      </c>
      <c r="Q47" s="3356"/>
      <c r="R47" s="3357">
        <f>E47</f>
        <v>36322</v>
      </c>
      <c r="S47" s="3357"/>
      <c r="T47" s="3357">
        <f>G47</f>
        <v>36450</v>
      </c>
      <c r="U47" s="3357"/>
      <c r="V47" s="3357">
        <f>I47</f>
        <v>37554</v>
      </c>
      <c r="W47" s="3357"/>
      <c r="X47" s="385"/>
      <c r="Y47" s="673"/>
      <c r="Z47" s="385"/>
      <c r="AA47" s="385"/>
      <c r="AB47" s="385"/>
      <c r="AC47" s="385"/>
    </row>
    <row r="48" spans="1:29" ht="15" thickBot="1">
      <c r="A48" s="423" t="s">
        <v>1793</v>
      </c>
      <c r="B48" s="424"/>
      <c r="C48" s="1082">
        <f>R49</f>
        <v>36291</v>
      </c>
      <c r="D48" s="2141" t="s">
        <v>2138</v>
      </c>
      <c r="E48" s="1083">
        <f>R48</f>
        <v>35606</v>
      </c>
      <c r="F48" s="2142"/>
      <c r="G48" s="1082">
        <f>T48</f>
        <v>36454</v>
      </c>
      <c r="H48" s="2142"/>
      <c r="I48" s="1083">
        <f>V48</f>
        <v>36814</v>
      </c>
      <c r="J48" s="2142"/>
      <c r="K48" s="2144">
        <f>F48+H48+J48</f>
        <v>0</v>
      </c>
      <c r="L48" s="2493"/>
      <c r="M48" s="2486"/>
      <c r="N48" s="2486"/>
      <c r="O48" s="2486"/>
      <c r="P48" s="3356" t="str">
        <f>A48</f>
        <v>比较价值（元/平方米）</v>
      </c>
      <c r="Q48" s="3356"/>
      <c r="R48" s="3357">
        <f>IF(F1="售价",ROUND(PRODUCT(R47,AA7:AA46),0),ROUND(PRODUCT(R47,AA7:AA46),1))</f>
        <v>35606</v>
      </c>
      <c r="S48" s="3357"/>
      <c r="T48" s="3357">
        <f>IF(F1="售价",ROUND(PRODUCT(T47,AB7:AB46),0),ROUND(PRODUCT(T47,AB7:AB46),1))</f>
        <v>36454</v>
      </c>
      <c r="U48" s="3357"/>
      <c r="V48" s="3357">
        <f>IF(F1="售价",ROUND(PRODUCT(V47,AC7:AC46),0),ROUND(PRODUCT(V47,AC7:AC46),1))</f>
        <v>36814</v>
      </c>
      <c r="W48" s="3357"/>
      <c r="X48" s="385"/>
      <c r="Y48" s="385"/>
      <c r="Z48" s="385"/>
      <c r="AA48" s="385"/>
      <c r="AB48" s="385"/>
      <c r="AC48" s="385"/>
    </row>
    <row r="49" spans="1:29" ht="15" thickBot="1">
      <c r="A49" s="427" t="s">
        <v>1794</v>
      </c>
      <c r="B49" s="428"/>
      <c r="C49" s="351">
        <f>R49</f>
        <v>36291</v>
      </c>
      <c r="D49" s="351"/>
      <c r="E49" s="351"/>
      <c r="F49" s="351"/>
      <c r="G49" s="351"/>
      <c r="H49" s="351"/>
      <c r="I49" s="351"/>
      <c r="J49" s="351"/>
      <c r="K49" s="675"/>
      <c r="L49" s="2493"/>
      <c r="M49" s="2486"/>
      <c r="N49" s="2486"/>
      <c r="O49" s="2486"/>
      <c r="P49" s="3358" t="str">
        <f>A49</f>
        <v>估价对象XX用房的比较价值（楼面单价，元/平方米）</v>
      </c>
      <c r="Q49" s="3359"/>
      <c r="R49" s="3360">
        <f>IF(F1="售价",ROUND(IF(D48="简单平均",AVERAGE(R48:V48),R48*F48+T48*H48+V48*J48),0),ROUND(IF(D48="简单平均",AVERAGE(R48:V48),R48*F48+T48*H48+V48*J48),1))</f>
        <v>36291</v>
      </c>
      <c r="S49" s="3360"/>
      <c r="T49" s="3360"/>
      <c r="U49" s="3360"/>
      <c r="V49" s="3360"/>
      <c r="W49" s="336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2.010897039824755E-2</v>
      </c>
      <c r="F52" s="435" t="str">
        <f>IF(OR(E52&gt;=0.3,E52&lt;=-0.3),"超过30%","")</f>
        <v/>
      </c>
      <c r="G52" s="434">
        <f>IF(G47&lt;G48,G48/G47-1,G47/G48-1)</f>
        <v>1.0973936899860703E-4</v>
      </c>
      <c r="H52" s="435" t="str">
        <f>IF(OR(G52&gt;=0.3,G52&lt;=-0.3),"超过30%","")</f>
        <v/>
      </c>
      <c r="I52" s="434">
        <f>IF(I47&lt;I48,I48/I47-1,I47/I48-1)</f>
        <v>2.0101048514152176E-2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2.3816210750996936E-2</v>
      </c>
      <c r="F53" s="435" t="str">
        <f>IF(OR(E53&gt;=0.2,E53&lt;=-0.2),"超过20%","")</f>
        <v/>
      </c>
      <c r="G53" s="434">
        <f>IF(G48&lt;I48,I48/G48-1,G48/I48-1)</f>
        <v>9.8754594831842457E-3</v>
      </c>
      <c r="H53" s="435" t="str">
        <f>IF(OR(G53&gt;=0.2,G53&lt;=-0.2),"超过20%","")</f>
        <v/>
      </c>
      <c r="I53" s="434">
        <f>IF(I48&lt;E48,E48/I48-1,I48/E48-1)</f>
        <v>3.3926866258495725E-2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3.5240350200980153E-3</v>
      </c>
      <c r="F54" s="435" t="str">
        <f>IF(OR(E54&gt;=0.3,E54&lt;=-0.3),"超过30%","")</f>
        <v/>
      </c>
      <c r="G54" s="434">
        <f>IF(G47&lt;I47,I47/G47-1,G47/I47-1)</f>
        <v>3.0288065843621315E-2</v>
      </c>
      <c r="H54" s="435" t="str">
        <f>IF(OR(G54&gt;=0.3,G54&lt;=-0.3),"超过30%","")</f>
        <v/>
      </c>
      <c r="I54" s="434">
        <f>IF(I47&lt;E47,E47/I47-1,I47/E47-1)</f>
        <v>3.3918837068443342E-2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65" t="s">
        <v>3434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101</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3443</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0(含)-50</v>
      </c>
      <c r="D102" s="509" t="str">
        <f t="shared" ref="D102:L102" si="23">D103&amp;"(含)"&amp;"-"&amp;E103</f>
        <v>50(含)-100</v>
      </c>
      <c r="E102" s="509" t="str">
        <f t="shared" si="23"/>
        <v>100(含)-150</v>
      </c>
      <c r="F102" s="509" t="str">
        <f t="shared" si="23"/>
        <v>150(含)-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150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F104" si="24">D104-1</f>
        <v>98</v>
      </c>
      <c r="F104" s="467">
        <f t="shared" si="24"/>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北京市朝阳区天畅园1号楼1层1-109预评估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4351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108.03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108.03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108.03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99" t="s">
        <v>1544</v>
      </c>
    </row>
    <row r="43" spans="1:7" ht="13.5" customHeight="1">
      <c r="A43" s="734" t="s">
        <v>347</v>
      </c>
      <c r="B43" s="207" t="s">
        <v>1545</v>
      </c>
      <c r="C43" s="230">
        <f ca="1">ROUND(IF('数据-取费表'!B22&lt;=1,C39*F22*'数据-取费表'!B21/2,C39*(POWER((1+F22),'数据-取费表'!B21/2)-1)),0)</f>
        <v>0</v>
      </c>
      <c r="D43" s="230"/>
      <c r="E43" s="230"/>
      <c r="F43" s="231"/>
      <c r="G43" s="3400"/>
    </row>
    <row r="44" spans="1:7" ht="13.5" customHeight="1">
      <c r="A44" s="734" t="s">
        <v>348</v>
      </c>
      <c r="B44" s="207" t="s">
        <v>1546</v>
      </c>
      <c r="C44" s="230">
        <f ca="1">ROUND(IF('数据-取费表'!B22&lt;=1,C40*F22*'数据-取费表'!B21/2,C40*(POWER((1+F22),'数据-取费表'!B21/2)-1)),4)</f>
        <v>5.9999999999999995E-4</v>
      </c>
      <c r="D44" s="230"/>
      <c r="E44" s="230"/>
      <c r="F44" s="231"/>
      <c r="G44" s="3401"/>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45</v>
      </c>
      <c r="D51" s="224"/>
      <c r="E51" s="224"/>
      <c r="F51" s="256"/>
      <c r="G51" s="226" t="s">
        <v>1560</v>
      </c>
    </row>
    <row r="52" spans="1:7" s="200" customFormat="1" ht="16.8" thickBot="1">
      <c r="A52" s="257" t="s">
        <v>1561</v>
      </c>
      <c r="B52" s="258"/>
      <c r="C52" s="259">
        <f ca="1">C31+C51</f>
        <v>47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108.03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108.03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108.03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4" t="s">
        <v>694</v>
      </c>
      <c r="C6" s="1011">
        <f ca="1">ROUND(F6*F8*F7*(1-F9)/10000,0)</f>
        <v>0</v>
      </c>
      <c r="D6" s="147" t="s">
        <v>2109</v>
      </c>
      <c r="E6" s="294" t="s">
        <v>696</v>
      </c>
      <c r="F6" s="295">
        <f ca="1">INDIRECT("'数据-取费表'!u"&amp;$G$1)</f>
        <v>0</v>
      </c>
      <c r="G6" s="1292"/>
      <c r="H6" s="1006" t="s">
        <v>398</v>
      </c>
      <c r="I6" s="3404" t="s">
        <v>694</v>
      </c>
      <c r="J6" s="293">
        <f ca="1">ROUND(M6*M8*M7*(1-M9)/10000,0)</f>
        <v>0</v>
      </c>
      <c r="K6" s="147" t="s">
        <v>2108</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0</v>
      </c>
      <c r="G7" s="1292"/>
      <c r="H7" s="296"/>
      <c r="I7" s="3405"/>
      <c r="J7" s="298"/>
      <c r="K7" s="299"/>
      <c r="L7" s="294" t="s">
        <v>697</v>
      </c>
      <c r="M7" s="295">
        <f ca="1">F7</f>
        <v>0</v>
      </c>
    </row>
    <row r="8" spans="1:37" ht="18" customHeight="1">
      <c r="A8" s="296"/>
      <c r="B8" s="3405"/>
      <c r="C8" s="298"/>
      <c r="D8" s="299"/>
      <c r="E8" s="294" t="s">
        <v>698</v>
      </c>
      <c r="F8" s="295">
        <f ca="1">INDIRECT("'数据-取费表'!ai"&amp;$G$1)</f>
        <v>0</v>
      </c>
      <c r="G8" s="1292"/>
      <c r="H8" s="296"/>
      <c r="I8" s="3405"/>
      <c r="J8" s="298"/>
      <c r="K8" s="299"/>
      <c r="L8" s="294" t="s">
        <v>698</v>
      </c>
      <c r="M8" s="295">
        <f ca="1">INDIRECT("'数据-取费表'!ai"&amp;$G$1)</f>
        <v>0</v>
      </c>
    </row>
    <row r="9" spans="1:37" ht="18" customHeight="1">
      <c r="A9" s="296"/>
      <c r="B9" s="3406"/>
      <c r="C9" s="298"/>
      <c r="D9" s="299"/>
      <c r="E9" s="294" t="s">
        <v>699</v>
      </c>
      <c r="F9" s="304">
        <f ca="1">INDIRECT("'数据-取费表'!w"&amp;$G$1)</f>
        <v>0</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2" t="s">
        <v>837</v>
      </c>
      <c r="L53" s="340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19.309999999999999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181.78739999999999</v>
      </c>
      <c r="C2" s="1289" t="s">
        <v>879</v>
      </c>
      <c r="D2" s="1375">
        <f ca="1">C40+J29+L46</f>
        <v>1817874</v>
      </c>
      <c r="E2" s="1295" t="s">
        <v>880</v>
      </c>
      <c r="F2" s="1296"/>
      <c r="G2" s="2477"/>
      <c r="H2" s="2467"/>
      <c r="I2" s="2467"/>
      <c r="J2" s="2467"/>
      <c r="K2" s="2468"/>
      <c r="L2" s="2467"/>
      <c r="M2" s="2467"/>
    </row>
    <row r="3" spans="1:37" ht="18" customHeight="1" thickBot="1">
      <c r="A3" s="1297" t="s">
        <v>881</v>
      </c>
      <c r="B3" s="1298">
        <f ca="1">IF(ISERROR(D2/F43),0,ROUND(D2/F43,0))</f>
        <v>16827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142128</v>
      </c>
      <c r="D5" s="1273" t="s">
        <v>889</v>
      </c>
      <c r="E5" s="1008"/>
      <c r="F5" s="1009"/>
      <c r="G5" s="1292"/>
      <c r="H5" s="291">
        <v>1</v>
      </c>
      <c r="I5" s="292" t="s">
        <v>888</v>
      </c>
      <c r="J5" s="1007">
        <f ca="1">J6+J10+J12</f>
        <v>0</v>
      </c>
      <c r="K5" s="1273" t="s">
        <v>889</v>
      </c>
      <c r="L5" s="1008"/>
      <c r="M5" s="1009"/>
    </row>
    <row r="6" spans="1:37" ht="18" customHeight="1">
      <c r="A6" s="1006" t="s">
        <v>398</v>
      </c>
      <c r="B6" s="3404" t="s">
        <v>694</v>
      </c>
      <c r="C6" s="1011">
        <f ca="1">ROUND(F6*F8*F7*(1-F9),0)</f>
        <v>141951</v>
      </c>
      <c r="D6" s="147" t="s">
        <v>2106</v>
      </c>
      <c r="E6" s="294" t="s">
        <v>696</v>
      </c>
      <c r="F6" s="295">
        <f ca="1">INDIRECT("'数据-取费表'!u"&amp;$G$1)</f>
        <v>4</v>
      </c>
      <c r="G6" s="1292"/>
      <c r="H6" s="1006" t="s">
        <v>398</v>
      </c>
      <c r="I6" s="3404" t="s">
        <v>694</v>
      </c>
      <c r="J6" s="293">
        <f ca="1">ROUND(M6*M8*M7*(1-M9),0)</f>
        <v>0</v>
      </c>
      <c r="K6" s="1284" t="s">
        <v>2107</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108.03</v>
      </c>
      <c r="G7" s="1292"/>
      <c r="H7" s="296"/>
      <c r="I7" s="3405"/>
      <c r="J7" s="298"/>
      <c r="K7" s="299"/>
      <c r="L7" s="294" t="s">
        <v>697</v>
      </c>
      <c r="M7" s="295">
        <f ca="1">F7</f>
        <v>108.03</v>
      </c>
    </row>
    <row r="8" spans="1:37" ht="18" customHeight="1">
      <c r="A8" s="296"/>
      <c r="B8" s="3405"/>
      <c r="C8" s="298"/>
      <c r="D8" s="299"/>
      <c r="E8" s="294" t="s">
        <v>698</v>
      </c>
      <c r="F8" s="295">
        <f ca="1">INDIRECT("'数据-取费表'!ai"&amp;$G$1)</f>
        <v>365</v>
      </c>
      <c r="G8" s="1292"/>
      <c r="H8" s="296"/>
      <c r="I8" s="3405"/>
      <c r="J8" s="298"/>
      <c r="K8" s="299"/>
      <c r="L8" s="294" t="s">
        <v>698</v>
      </c>
      <c r="M8" s="295">
        <f ca="1">INDIRECT("'数据-取费表'!ai"&amp;$G$1)</f>
        <v>365</v>
      </c>
    </row>
    <row r="9" spans="1:37" ht="18" customHeight="1">
      <c r="A9" s="296"/>
      <c r="B9" s="3406"/>
      <c r="C9" s="298"/>
      <c r="D9" s="299"/>
      <c r="E9" s="294" t="s">
        <v>699</v>
      </c>
      <c r="F9" s="304">
        <f ca="1">INDIRECT("'数据-取费表'!w"&amp;$G$1)</f>
        <v>0.1</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177</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461048</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432120</v>
      </c>
      <c r="D14" s="1257" t="s">
        <v>708</v>
      </c>
      <c r="E14" s="1255"/>
      <c r="F14" s="311"/>
      <c r="G14" s="1292"/>
      <c r="H14" s="928" t="s">
        <v>398</v>
      </c>
      <c r="I14" s="294" t="s">
        <v>709</v>
      </c>
      <c r="J14" s="21">
        <f ca="1">C29</f>
        <v>631572</v>
      </c>
      <c r="K14" s="12"/>
      <c r="L14" s="759"/>
      <c r="M14" s="760"/>
    </row>
    <row r="15" spans="1:37" s="1304" customFormat="1" ht="18" customHeight="1" thickBot="1">
      <c r="A15" s="928" t="s">
        <v>399</v>
      </c>
      <c r="B15" s="294" t="s">
        <v>710</v>
      </c>
      <c r="C15" s="21">
        <f ca="1">ROUND(C14*F15,0)</f>
        <v>21606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3158</v>
      </c>
      <c r="K16" s="1024" t="s">
        <v>715</v>
      </c>
      <c r="L16" s="1025"/>
      <c r="M16" s="1009"/>
    </row>
    <row r="17" spans="1:37" s="1304" customFormat="1" ht="18" customHeight="1">
      <c r="A17" s="928" t="s">
        <v>681</v>
      </c>
      <c r="B17" s="294" t="s">
        <v>716</v>
      </c>
      <c r="C17" s="21">
        <f ca="1">ROUND(F17*(F43+INDIRECT("'数据-取费表'!S"&amp;$G$1)),0)</f>
        <v>21606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8642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483974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9679</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3158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15303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-3158</v>
      </c>
      <c r="K25" s="1032" t="s">
        <v>753</v>
      </c>
      <c r="L25" s="1033"/>
      <c r="M25" s="1034"/>
    </row>
    <row r="26" spans="1:37" ht="18" customHeight="1">
      <c r="A26" s="928" t="s">
        <v>397</v>
      </c>
      <c r="B26" s="294" t="s">
        <v>754</v>
      </c>
      <c r="C26" s="21">
        <f ca="1">ROUND((C19+C20)*F26,0)</f>
        <v>74048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631572</v>
      </c>
      <c r="D29" s="1029"/>
      <c r="E29" s="1027"/>
      <c r="F29" s="1030"/>
      <c r="G29" s="1303"/>
      <c r="H29" s="325" t="s">
        <v>396</v>
      </c>
      <c r="I29" s="326" t="s">
        <v>768</v>
      </c>
      <c r="J29" s="327">
        <f ca="1">ROUND(J26/(1+F40)^F41,0)</f>
        <v>0</v>
      </c>
      <c r="K29" s="328" t="s">
        <v>769</v>
      </c>
      <c r="L29" s="329"/>
      <c r="M29" s="330">
        <f ca="1">INDIRECT("'数据-取费表'!k"&amp;$G$1)</f>
        <v>108.03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13793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9463</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3158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461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711</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128335</v>
      </c>
      <c r="D39" s="1032" t="s">
        <v>773</v>
      </c>
      <c r="E39" s="1033"/>
      <c r="F39" s="1034"/>
      <c r="G39" s="1292"/>
      <c r="H39" s="2472"/>
      <c r="I39" s="1305"/>
      <c r="J39" s="1306"/>
      <c r="K39" s="2470"/>
      <c r="L39" s="2472"/>
      <c r="M39" s="2472"/>
    </row>
    <row r="40" spans="1:18" ht="18" customHeight="1">
      <c r="A40" s="291" t="s">
        <v>395</v>
      </c>
      <c r="B40" s="292" t="s">
        <v>774</v>
      </c>
      <c r="C40" s="293">
        <f ca="1">ROUND(C39*(1-((1+F42)/(1+F40))^F41)/(F40-F42),0)</f>
        <v>1755359</v>
      </c>
      <c r="D40" s="316" t="s">
        <v>758</v>
      </c>
      <c r="E40" s="294" t="s">
        <v>759</v>
      </c>
      <c r="F40" s="304">
        <f ca="1">INDIRECT("'数据-取费表'!I"&amp;$G$1)</f>
        <v>5.5E-2</v>
      </c>
      <c r="G40" s="1292"/>
      <c r="H40" s="1366">
        <f ca="1">C39/C5</f>
        <v>0.90295367556005857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19.309999999999999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16249</v>
      </c>
      <c r="D43" s="328" t="s">
        <v>777</v>
      </c>
      <c r="E43" s="329" t="s">
        <v>778</v>
      </c>
      <c r="F43" s="330">
        <f ca="1">INDIRECT("'数据-取费表'!k"&amp;$G$1)</f>
        <v>108.03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-179.77590000000001</v>
      </c>
      <c r="D45" s="3129" t="s">
        <v>3352</v>
      </c>
      <c r="E45" s="1307"/>
      <c r="F45" s="1307"/>
      <c r="O45" s="1310" t="s">
        <v>808</v>
      </c>
      <c r="P45" s="1366"/>
      <c r="Q45" s="1366"/>
      <c r="R45" s="1366"/>
    </row>
    <row r="46" spans="1:18" s="1292" customFormat="1" ht="13.8" thickBot="1">
      <c r="A46" s="1311" t="s">
        <v>809</v>
      </c>
      <c r="C46" s="1312">
        <f ca="1">ROUND(C45,0)</f>
        <v>-180</v>
      </c>
      <c r="D46" s="1313" t="str">
        <f>C2</f>
        <v>万元</v>
      </c>
      <c r="I46" s="1314" t="s">
        <v>810</v>
      </c>
      <c r="J46" s="1315"/>
      <c r="K46" s="1316"/>
      <c r="L46" s="1317">
        <f ca="1">IF(M47="住宅",0,IF(L48&gt;J51,L60,J60))</f>
        <v>62515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3429</v>
      </c>
      <c r="K47" s="1323" t="s">
        <v>816</v>
      </c>
      <c r="L47" s="1324">
        <f ca="1">INDIRECT("'数据-取费表'!d"&amp;$G$1)</f>
        <v>0</v>
      </c>
      <c r="M47" s="1288" t="str">
        <f>IF(ISNUMBER(FIND("住宅",C1)),"住宅","非住宅")</f>
        <v>非住宅</v>
      </c>
      <c r="O47" s="1325" t="s">
        <v>403</v>
      </c>
      <c r="P47" s="1326" t="s">
        <v>817</v>
      </c>
      <c r="Q47" s="1327">
        <f ca="1">C40+J29</f>
        <v>1755359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3430</v>
      </c>
      <c r="K48" s="1330" t="s">
        <v>820</v>
      </c>
      <c r="L48" s="1331">
        <f ca="1">INDIRECT("'数据-取费表'!f"&amp;$G$1)</f>
        <v>19.309999999999999</v>
      </c>
      <c r="O48" s="1325" t="s">
        <v>404</v>
      </c>
      <c r="P48" s="1326" t="s">
        <v>821</v>
      </c>
      <c r="Q48" s="1327">
        <f ca="1">J60</f>
        <v>62515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631572</v>
      </c>
      <c r="R49" s="1327" t="s">
        <v>818</v>
      </c>
    </row>
    <row r="50" spans="1:18" s="1292" customFormat="1" ht="13.8" thickBot="1">
      <c r="A50" s="922"/>
      <c r="B50" s="925"/>
      <c r="C50" s="926"/>
      <c r="D50" s="899"/>
      <c r="E50" s="993" t="s">
        <v>697</v>
      </c>
      <c r="F50" s="994">
        <f ca="1">F7</f>
        <v>108.03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1685489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19.309999999999999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19.309999999999999</v>
      </c>
      <c r="K53" s="3402" t="s">
        <v>837</v>
      </c>
      <c r="L53" s="3403"/>
      <c r="O53" s="1325" t="s">
        <v>409</v>
      </c>
      <c r="P53" s="1326" t="s">
        <v>838</v>
      </c>
      <c r="Q53" s="1327">
        <f ca="1">Q47+Q48</f>
        <v>1817874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0.39500000000000002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461048</v>
      </c>
      <c r="D56" s="1352"/>
      <c r="E56" s="1353"/>
      <c r="F56" s="1345"/>
      <c r="I56" s="1354" t="s">
        <v>842</v>
      </c>
      <c r="J56" s="1355" t="s">
        <v>3431</v>
      </c>
      <c r="K56" s="1328" t="s">
        <v>843</v>
      </c>
      <c r="L56" s="1331" t="str">
        <f ca="1">IF(L48&lt;J51,"——",L48-J51)</f>
        <v>——</v>
      </c>
      <c r="O56" s="1325" t="s">
        <v>403</v>
      </c>
      <c r="P56" s="1326" t="s">
        <v>817</v>
      </c>
      <c r="Q56" s="1327">
        <f ca="1">C40+J29</f>
        <v>1755359</v>
      </c>
      <c r="R56" s="1327" t="s">
        <v>818</v>
      </c>
    </row>
    <row r="57" spans="1:18" s="1292" customFormat="1" ht="24.6" thickBot="1">
      <c r="A57" s="1356"/>
      <c r="B57" s="896" t="s">
        <v>767</v>
      </c>
      <c r="C57" s="230">
        <f ca="1">C29</f>
        <v>631572</v>
      </c>
      <c r="D57" s="1357"/>
      <c r="E57" s="1358"/>
      <c r="F57" s="1359"/>
      <c r="I57" s="1360" t="s">
        <v>844</v>
      </c>
      <c r="J57" s="1361">
        <f ca="1">IF(OR(M47="住宅",J51&lt;L48,J56="是"),"——",J51-L48)</f>
        <v>23.69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3619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252629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62515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1755359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3158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461</v>
      </c>
      <c r="D65" s="910" t="s">
        <v>743</v>
      </c>
      <c r="E65" s="896" t="s">
        <v>744</v>
      </c>
      <c r="F65" s="321">
        <f t="shared" ca="1" si="0"/>
        <v>1E-3</v>
      </c>
      <c r="I65" s="1367" t="s">
        <v>867</v>
      </c>
      <c r="J65" s="610">
        <v>40</v>
      </c>
      <c r="K65" s="610">
        <v>30</v>
      </c>
      <c r="L65" s="610">
        <v>50</v>
      </c>
      <c r="M65" s="1369">
        <v>0.02</v>
      </c>
      <c r="O65" s="1325" t="s">
        <v>403</v>
      </c>
      <c r="P65" s="1326" t="s">
        <v>868</v>
      </c>
      <c r="Q65" s="1327">
        <f ca="1">C40+J29</f>
        <v>1755359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-3619</v>
      </c>
      <c r="D67" s="909" t="s">
        <v>753</v>
      </c>
      <c r="E67" s="914"/>
      <c r="F67" s="915"/>
      <c r="O67" s="1334" t="s">
        <v>405</v>
      </c>
      <c r="P67" s="1326" t="s">
        <v>850</v>
      </c>
      <c r="Q67" s="1370">
        <f ca="1">L51</f>
        <v>1685489</v>
      </c>
      <c r="R67" s="1327" t="s">
        <v>870</v>
      </c>
    </row>
    <row r="68" spans="1:18" s="1292" customFormat="1" ht="16.2" thickBot="1">
      <c r="A68" s="893" t="s">
        <v>395</v>
      </c>
      <c r="B68" s="894" t="s">
        <v>774</v>
      </c>
      <c r="C68" s="293">
        <f ca="1">ROUND(C67*(1-((1+F70)/(1+F68))^F69)/(F68-F70),0)</f>
        <v>-42400</v>
      </c>
      <c r="D68" s="911" t="s">
        <v>758</v>
      </c>
      <c r="E68" s="896" t="s">
        <v>759</v>
      </c>
      <c r="F68" s="304">
        <f ca="1">F40</f>
        <v>5.5E-2</v>
      </c>
      <c r="O68" s="1334" t="s">
        <v>406</v>
      </c>
      <c r="P68" s="1371" t="s">
        <v>871</v>
      </c>
      <c r="Q68" s="1327">
        <f ca="1">ROUND(Q69-Q70*Q71,0)</f>
        <v>96062</v>
      </c>
      <c r="R68" s="1327" t="s">
        <v>414</v>
      </c>
    </row>
    <row r="69" spans="1:18" s="1292" customFormat="1" ht="13.8" thickBot="1">
      <c r="A69" s="897"/>
      <c r="B69" s="898"/>
      <c r="C69" s="298"/>
      <c r="D69" s="916" t="s">
        <v>762</v>
      </c>
      <c r="E69" s="896" t="s">
        <v>763</v>
      </c>
      <c r="F69" s="324">
        <f ca="1">F41</f>
        <v>19.309999999999999</v>
      </c>
      <c r="O69" s="1334" t="s">
        <v>411</v>
      </c>
      <c r="P69" s="1371" t="s">
        <v>872</v>
      </c>
      <c r="Q69" s="1327">
        <f ca="1">C39</f>
        <v>128335</v>
      </c>
      <c r="R69" s="1327" t="s">
        <v>818</v>
      </c>
    </row>
    <row r="70" spans="1:18" s="1292" customFormat="1" ht="13.8" thickBot="1">
      <c r="A70" s="900"/>
      <c r="B70" s="901"/>
      <c r="C70" s="302"/>
      <c r="D70" s="912"/>
      <c r="E70" s="896" t="s">
        <v>766</v>
      </c>
      <c r="F70" s="991"/>
      <c r="O70" s="1334" t="s">
        <v>412</v>
      </c>
      <c r="P70" s="1371" t="s">
        <v>873</v>
      </c>
      <c r="Q70" s="1327">
        <f ca="1">C13</f>
        <v>461048</v>
      </c>
      <c r="R70" s="1327" t="s">
        <v>818</v>
      </c>
    </row>
    <row r="71" spans="1:18" s="1292" customFormat="1" ht="13.8" thickBot="1">
      <c r="A71" s="917" t="s">
        <v>396</v>
      </c>
      <c r="B71" s="918" t="s">
        <v>776</v>
      </c>
      <c r="C71" s="327">
        <f ca="1">ROUND(C68/F71,0)</f>
        <v>-392</v>
      </c>
      <c r="D71" s="919" t="s">
        <v>777</v>
      </c>
      <c r="E71" s="920" t="s">
        <v>778</v>
      </c>
      <c r="F71" s="330">
        <f ca="1">F43</f>
        <v>108.03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32273</v>
      </c>
      <c r="D75" s="1292"/>
      <c r="E75" s="1292"/>
      <c r="F75" s="1292"/>
      <c r="K75" s="1309"/>
      <c r="L75" s="1292"/>
      <c r="O75" s="1325" t="s">
        <v>409</v>
      </c>
      <c r="P75" s="1326" t="s">
        <v>838</v>
      </c>
      <c r="Q75" s="1327">
        <f ca="1">Q65+Q66</f>
        <v>1755359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0.749</v>
      </c>
    </row>
    <row r="80" spans="1:18">
      <c r="B80" s="331" t="s">
        <v>800</v>
      </c>
      <c r="C80" s="266">
        <f ca="1">ROUND(C75/C39,3)</f>
        <v>0.251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E0F7-7037-4F05-95E6-7FE536E5F81C}">
  <sheetPr>
    <tabColor rgb="FF7030A0"/>
  </sheetPr>
  <dimension ref="A1"/>
  <sheetViews>
    <sheetView workbookViewId="0">
      <selection activeCell="O7" sqref="O7"/>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4DD2C-7931-4D50-BD2E-C110E85C4AC7}">
  <sheetPr>
    <tabColor rgb="FF7030A0"/>
  </sheetPr>
  <dimension ref="A1"/>
  <sheetViews>
    <sheetView workbookViewId="0">
      <selection activeCell="K90" sqref="K90"/>
    </sheetView>
  </sheetViews>
  <sheetFormatPr defaultRowHeight="14.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D7C2-D3D0-4F7A-9EC1-BA68B758108C}">
  <sheetPr>
    <tabColor rgb="FF7030A0"/>
  </sheetPr>
  <dimension ref="R2:R5"/>
  <sheetViews>
    <sheetView topLeftCell="F1" workbookViewId="0">
      <selection activeCell="T8" sqref="T8"/>
    </sheetView>
  </sheetViews>
  <sheetFormatPr defaultRowHeight="14.4"/>
  <sheetData>
    <row r="2" spans="18:18">
      <c r="R2" s="1405" t="s">
        <v>3428</v>
      </c>
    </row>
    <row r="3" spans="18:18">
      <c r="R3" s="1405"/>
    </row>
    <row r="4" spans="18:18">
      <c r="R4" s="1405" t="s">
        <v>3445</v>
      </c>
    </row>
    <row r="5" spans="18:18">
      <c r="R5"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413" t="s">
        <v>2317</v>
      </c>
      <c r="K2" s="341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15" t="s">
        <v>2327</v>
      </c>
      <c r="K3" s="341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15" t="s">
        <v>2329</v>
      </c>
      <c r="K4" s="341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21" t="s">
        <v>2333</v>
      </c>
      <c r="B6" s="3422"/>
      <c r="C6" s="3423"/>
      <c r="D6" s="2620"/>
      <c r="E6" s="2621"/>
      <c r="F6" s="2622"/>
      <c r="G6" s="2623"/>
      <c r="H6" s="2598"/>
      <c r="I6" s="2599"/>
      <c r="J6" s="3407">
        <v>1</v>
      </c>
      <c r="K6" s="340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07"/>
      <c r="K7" s="340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24" t="s">
        <v>2347</v>
      </c>
      <c r="C8" s="3425"/>
      <c r="D8" s="2639" t="s">
        <v>2348</v>
      </c>
      <c r="E8" s="2640" t="s">
        <v>2349</v>
      </c>
      <c r="F8" s="2641" t="s">
        <v>2350</v>
      </c>
      <c r="G8" s="2642"/>
      <c r="H8" s="2598"/>
      <c r="I8" s="2599"/>
      <c r="J8" s="3407"/>
      <c r="K8" s="340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24" t="s">
        <v>2353</v>
      </c>
      <c r="C9" s="3425"/>
      <c r="D9" s="2639">
        <f>ROUND(D6*E9,0)</f>
        <v>0</v>
      </c>
      <c r="E9" s="2643"/>
      <c r="F9" s="2644" t="s">
        <v>2354</v>
      </c>
      <c r="G9" s="2623"/>
      <c r="H9" s="2598"/>
      <c r="I9" s="2599"/>
      <c r="J9" s="3407"/>
      <c r="K9" s="3409"/>
      <c r="L9" s="2633" t="s">
        <v>2355</v>
      </c>
      <c r="M9" s="2634"/>
      <c r="N9" s="2610"/>
      <c r="O9" s="2635"/>
      <c r="P9" s="2635"/>
      <c r="Q9" s="2636">
        <v>365</v>
      </c>
      <c r="R9" s="2637">
        <f t="shared" si="0"/>
        <v>0</v>
      </c>
      <c r="S9" s="2591"/>
      <c r="T9" s="2591"/>
      <c r="U9" s="2591"/>
      <c r="V9" s="2599"/>
    </row>
    <row r="10" spans="1:22" s="2603" customFormat="1" ht="13.2" customHeight="1">
      <c r="A10" s="2638">
        <v>2</v>
      </c>
      <c r="B10" s="3424" t="s">
        <v>2356</v>
      </c>
      <c r="C10" s="3425"/>
      <c r="D10" s="2639">
        <f>ROUND(D6*E10,0)</f>
        <v>0</v>
      </c>
      <c r="E10" s="2643"/>
      <c r="F10" s="2644" t="s">
        <v>2357</v>
      </c>
      <c r="G10" s="2623"/>
      <c r="H10" s="2598"/>
      <c r="I10" s="2599"/>
      <c r="J10" s="3407"/>
      <c r="K10" s="3409"/>
      <c r="L10" s="2633" t="s">
        <v>2358</v>
      </c>
      <c r="M10" s="2634"/>
      <c r="N10" s="2610"/>
      <c r="O10" s="2635"/>
      <c r="P10" s="2635"/>
      <c r="Q10" s="2636">
        <v>365</v>
      </c>
      <c r="R10" s="2637">
        <f t="shared" si="0"/>
        <v>0</v>
      </c>
      <c r="S10" s="2591"/>
      <c r="T10" s="2591"/>
      <c r="U10" s="2591"/>
      <c r="V10" s="2599"/>
    </row>
    <row r="11" spans="1:22" s="2603" customFormat="1" ht="13.2" customHeight="1">
      <c r="A11" s="2638">
        <v>3</v>
      </c>
      <c r="B11" s="3424" t="s">
        <v>2359</v>
      </c>
      <c r="C11" s="3425"/>
      <c r="D11" s="2639">
        <f>D12+D14+D15+D16</f>
        <v>0</v>
      </c>
      <c r="E11" s="2645" t="e">
        <f>D11/D6</f>
        <v>#DIV/0!</v>
      </c>
      <c r="F11" s="2641"/>
      <c r="G11" s="2642"/>
      <c r="H11" s="2598"/>
      <c r="I11" s="2599"/>
      <c r="J11" s="3407"/>
      <c r="K11" s="340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17" t="s">
        <v>2362</v>
      </c>
      <c r="C12" s="3418"/>
      <c r="D12" s="2647">
        <f>ROUND(D13*1.2%*(1-30%),0)</f>
        <v>0</v>
      </c>
      <c r="E12" s="2648">
        <v>1.2E-2</v>
      </c>
      <c r="F12" s="2641" t="s">
        <v>2363</v>
      </c>
      <c r="G12" s="2642"/>
      <c r="H12" s="2598"/>
      <c r="I12" s="2599"/>
      <c r="J12" s="3407"/>
      <c r="K12" s="340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07"/>
      <c r="K13" s="340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17" t="s">
        <v>2368</v>
      </c>
      <c r="C14" s="3418"/>
      <c r="D14" s="2647">
        <f>ROUND(E14*B5/10000,0)</f>
        <v>0</v>
      </c>
      <c r="E14" s="2636"/>
      <c r="F14" s="2641" t="s">
        <v>2369</v>
      </c>
      <c r="G14" s="2642"/>
      <c r="H14" s="2598"/>
      <c r="I14" s="2599"/>
      <c r="J14" s="3407"/>
      <c r="K14" s="341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17" t="s">
        <v>2372</v>
      </c>
      <c r="C15" s="3418"/>
      <c r="D15" s="2647">
        <f>ROUND(D6*E15,0)</f>
        <v>0</v>
      </c>
      <c r="E15" s="2648">
        <v>5.5E-2</v>
      </c>
      <c r="F15" s="2641" t="s">
        <v>2373</v>
      </c>
      <c r="G15" s="2623"/>
      <c r="H15" s="2598"/>
      <c r="I15" s="2599"/>
      <c r="J15" s="3407">
        <v>2</v>
      </c>
      <c r="K15" s="340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17" t="s">
        <v>2381</v>
      </c>
      <c r="C16" s="3418"/>
      <c r="D16" s="2658">
        <f>D6*E16</f>
        <v>0</v>
      </c>
      <c r="E16" s="2659"/>
      <c r="F16" s="2644" t="s">
        <v>2382</v>
      </c>
      <c r="G16" s="2623"/>
      <c r="H16" s="2598"/>
      <c r="I16" s="2599"/>
      <c r="J16" s="3407"/>
      <c r="K16" s="340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19" t="s">
        <v>2384</v>
      </c>
      <c r="C17" s="3420"/>
      <c r="D17" s="2661">
        <f>ROUND(D6*E17,0)</f>
        <v>0</v>
      </c>
      <c r="E17" s="2662"/>
      <c r="F17" s="2663" t="s">
        <v>2385</v>
      </c>
      <c r="G17" s="2623"/>
      <c r="H17" s="2598"/>
      <c r="I17" s="2599"/>
      <c r="J17" s="3407"/>
      <c r="K17" s="340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07"/>
      <c r="K18" s="340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07"/>
      <c r="K19" s="341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07">
        <v>3</v>
      </c>
      <c r="K20" s="340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07"/>
      <c r="K21" s="340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07"/>
      <c r="K22" s="340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07"/>
      <c r="K23" s="340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07"/>
      <c r="K24" s="341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1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1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13" t="s">
        <v>2317</v>
      </c>
      <c r="K32" s="341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15" t="s">
        <v>2327</v>
      </c>
      <c r="K33" s="341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15" t="s">
        <v>2329</v>
      </c>
      <c r="K34" s="341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07">
        <v>1</v>
      </c>
      <c r="K36" s="340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07"/>
      <c r="K37" s="340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07"/>
      <c r="K38" s="340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07"/>
      <c r="K39" s="340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07"/>
      <c r="K40" s="341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1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1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181.78739999999999</v>
      </c>
      <c r="C2" s="1729" t="s">
        <v>1651</v>
      </c>
      <c r="D2" s="1730" t="s">
        <v>1652</v>
      </c>
      <c r="E2" s="2392">
        <f>SUM(E6:E13)</f>
        <v>108.03</v>
      </c>
      <c r="F2" s="2478"/>
      <c r="G2" s="459"/>
      <c r="H2" s="459"/>
      <c r="I2" s="459"/>
      <c r="J2" s="459"/>
      <c r="K2" s="459"/>
      <c r="L2" s="459"/>
      <c r="M2" s="459"/>
      <c r="N2" s="459"/>
      <c r="O2" s="459"/>
      <c r="P2" s="459"/>
      <c r="Q2" s="459"/>
      <c r="R2" s="459"/>
      <c r="S2" s="459"/>
    </row>
    <row r="3" spans="1:22" ht="15.6">
      <c r="A3" s="1728" t="s">
        <v>686</v>
      </c>
      <c r="B3" s="2386">
        <f ca="1">ROUND(B2*10000/E2,0)</f>
        <v>16827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26" t="s">
        <v>1654</v>
      </c>
      <c r="C5" s="342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181.78739999999999</v>
      </c>
      <c r="C6" s="1729" t="s">
        <v>1651</v>
      </c>
      <c r="D6" s="2478"/>
      <c r="E6" s="2391">
        <f>IF(OR(A6=0,F6="否"),0,'数据-取费表'!K6+'数据-取费表'!S6)</f>
        <v>108.03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108.03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4" t="s">
        <v>1667</v>
      </c>
      <c r="D4" s="3375"/>
      <c r="E4" s="3376" t="s">
        <v>1668</v>
      </c>
      <c r="F4" s="3377"/>
      <c r="G4" s="3374" t="s">
        <v>1669</v>
      </c>
      <c r="H4" s="3375"/>
      <c r="I4" s="3374" t="s">
        <v>1670</v>
      </c>
      <c r="J4" s="3375"/>
      <c r="K4" s="1744" t="s">
        <v>1671</v>
      </c>
      <c r="L4" s="2485"/>
      <c r="M4" s="2486"/>
      <c r="N4" s="2486"/>
      <c r="O4" s="2486"/>
      <c r="P4" s="3378" t="s">
        <v>1672</v>
      </c>
      <c r="Q4" s="3379"/>
      <c r="R4" s="3384" t="s">
        <v>1668</v>
      </c>
      <c r="S4" s="3385"/>
      <c r="T4" s="3384" t="s">
        <v>1669</v>
      </c>
      <c r="U4" s="3385"/>
      <c r="V4" s="3357" t="s">
        <v>1670</v>
      </c>
      <c r="W4" s="3357"/>
      <c r="X4" s="1265"/>
      <c r="Y4" s="3384" t="s">
        <v>1672</v>
      </c>
      <c r="Z4" s="3385"/>
      <c r="AA4" s="3371" t="s">
        <v>1668</v>
      </c>
      <c r="AB4" s="3371" t="s">
        <v>1669</v>
      </c>
      <c r="AC4" s="3371" t="s">
        <v>1670</v>
      </c>
    </row>
    <row r="5" spans="1:29">
      <c r="A5" s="348"/>
      <c r="B5" s="349"/>
      <c r="C5" s="3428" t="s">
        <v>1673</v>
      </c>
      <c r="D5" s="3393"/>
      <c r="E5" s="3429" t="s">
        <v>1674</v>
      </c>
      <c r="F5" s="3430"/>
      <c r="G5" s="3428" t="s">
        <v>1675</v>
      </c>
      <c r="H5" s="3393"/>
      <c r="I5" s="3428" t="s">
        <v>1676</v>
      </c>
      <c r="J5" s="3393"/>
      <c r="K5" s="1745"/>
      <c r="L5" s="2485"/>
      <c r="M5" s="2486"/>
      <c r="N5" s="2486"/>
      <c r="O5" s="2486"/>
      <c r="P5" s="3380"/>
      <c r="Q5" s="3381"/>
      <c r="R5" s="3386"/>
      <c r="S5" s="3387"/>
      <c r="T5" s="3386"/>
      <c r="U5" s="3387"/>
      <c r="V5" s="3357"/>
      <c r="W5" s="3357"/>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1745" t="s">
        <v>1678</v>
      </c>
      <c r="L6" s="2485"/>
      <c r="M6" s="2486"/>
      <c r="N6" s="2486"/>
      <c r="O6" s="2486"/>
      <c r="P6" s="3382"/>
      <c r="Q6" s="3383"/>
      <c r="R6" s="3386"/>
      <c r="S6" s="3387"/>
      <c r="T6" s="3388"/>
      <c r="U6" s="3389"/>
      <c r="V6" s="3357"/>
      <c r="W6" s="3357"/>
      <c r="X6" s="1265"/>
      <c r="Y6" s="3388"/>
      <c r="Z6" s="3389"/>
      <c r="AA6" s="3373"/>
      <c r="AB6" s="3373"/>
      <c r="AC6" s="3373"/>
    </row>
    <row r="7" spans="1:29" s="102" customFormat="1" ht="15" thickBot="1">
      <c r="A7" s="352" t="s">
        <v>1679</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4" t="s">
        <v>1680</v>
      </c>
      <c r="Q7" s="3396"/>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0"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0"/>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0"/>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0"/>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0"/>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1" t="s">
        <v>1691</v>
      </c>
      <c r="Q15" s="1263" t="str">
        <f t="shared" si="6"/>
        <v>居住社区成熟度</v>
      </c>
      <c r="R15" s="667" t="s">
        <v>18</v>
      </c>
      <c r="S15" s="668">
        <f t="shared" si="0"/>
        <v>100</v>
      </c>
      <c r="T15" s="667" t="s">
        <v>18</v>
      </c>
      <c r="U15" s="668">
        <f t="shared" si="1"/>
        <v>100</v>
      </c>
      <c r="V15" s="667" t="s">
        <v>18</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2"/>
      <c r="Q16" s="1263"/>
      <c r="R16" s="667"/>
      <c r="S16" s="668"/>
      <c r="T16" s="667"/>
      <c r="U16" s="668"/>
      <c r="V16" s="667"/>
      <c r="W16" s="668"/>
      <c r="X16" s="1265"/>
      <c r="Y16" s="336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2"/>
      <c r="Q17" s="1263" t="str">
        <f>B17</f>
        <v>交通便捷度</v>
      </c>
      <c r="R17" s="667" t="s">
        <v>18</v>
      </c>
      <c r="S17" s="668">
        <f>F17</f>
        <v>100</v>
      </c>
      <c r="T17" s="667" t="s">
        <v>18</v>
      </c>
      <c r="U17" s="668">
        <f>H17</f>
        <v>100</v>
      </c>
      <c r="V17" s="667" t="s">
        <v>18</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2"/>
      <c r="Q18" s="1263"/>
      <c r="R18" s="667"/>
      <c r="S18" s="668"/>
      <c r="T18" s="667"/>
      <c r="U18" s="668"/>
      <c r="V18" s="667"/>
      <c r="W18" s="668"/>
      <c r="X18" s="1265"/>
      <c r="Y18" s="336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2"/>
      <c r="Q19" s="1263" t="str">
        <f>B19</f>
        <v>公共配套设施</v>
      </c>
      <c r="R19" s="667" t="s">
        <v>18</v>
      </c>
      <c r="S19" s="668">
        <f>F19</f>
        <v>100</v>
      </c>
      <c r="T19" s="667" t="s">
        <v>18</v>
      </c>
      <c r="U19" s="668">
        <f>H19</f>
        <v>100</v>
      </c>
      <c r="V19" s="667" t="s">
        <v>18</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2"/>
      <c r="Q20" s="1263"/>
      <c r="R20" s="667"/>
      <c r="S20" s="668"/>
      <c r="T20" s="667"/>
      <c r="U20" s="668"/>
      <c r="V20" s="667"/>
      <c r="W20" s="668"/>
      <c r="X20" s="1265"/>
      <c r="Y20" s="336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2"/>
      <c r="Q22" s="1263"/>
      <c r="R22" s="667"/>
      <c r="S22" s="668"/>
      <c r="T22" s="667"/>
      <c r="U22" s="668"/>
      <c r="V22" s="667"/>
      <c r="W22" s="668"/>
      <c r="X22" s="1265"/>
      <c r="Y22" s="336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2"/>
      <c r="Q23" s="1263" t="str">
        <f>B23</f>
        <v>自然及人文环境</v>
      </c>
      <c r="R23" s="667" t="s">
        <v>18</v>
      </c>
      <c r="S23" s="668">
        <f>F23</f>
        <v>100</v>
      </c>
      <c r="T23" s="667" t="s">
        <v>18</v>
      </c>
      <c r="U23" s="668">
        <f>H23</f>
        <v>100</v>
      </c>
      <c r="V23" s="667" t="s">
        <v>18</v>
      </c>
      <c r="W23" s="668">
        <f>J23</f>
        <v>100</v>
      </c>
      <c r="X23" s="1265"/>
      <c r="Y23" s="33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2"/>
      <c r="Q26" s="1263" t="str">
        <f t="shared" si="11"/>
        <v>朝向</v>
      </c>
      <c r="R26" s="667" t="s">
        <v>18</v>
      </c>
      <c r="S26" s="668">
        <f t="shared" si="12"/>
        <v>100</v>
      </c>
      <c r="T26" s="667" t="s">
        <v>18</v>
      </c>
      <c r="U26" s="668">
        <f t="shared" si="13"/>
        <v>100</v>
      </c>
      <c r="V26" s="667" t="s">
        <v>18</v>
      </c>
      <c r="W26" s="668">
        <f t="shared" si="14"/>
        <v>100</v>
      </c>
      <c r="X26" s="1265"/>
      <c r="Y26" s="33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2"/>
      <c r="Q27" s="530">
        <f t="shared" si="11"/>
        <v>111</v>
      </c>
      <c r="R27" s="664" t="s">
        <v>18</v>
      </c>
      <c r="S27" s="665">
        <f t="shared" si="12"/>
        <v>100</v>
      </c>
      <c r="T27" s="664" t="s">
        <v>18</v>
      </c>
      <c r="U27" s="665">
        <f t="shared" si="13"/>
        <v>100</v>
      </c>
      <c r="V27" s="664" t="s">
        <v>18</v>
      </c>
      <c r="W27" s="665">
        <f t="shared" si="14"/>
        <v>100</v>
      </c>
      <c r="X27" s="666"/>
      <c r="Y27" s="33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2"/>
      <c r="Q28" s="1263">
        <f t="shared" si="11"/>
        <v>111</v>
      </c>
      <c r="R28" s="667" t="s">
        <v>18</v>
      </c>
      <c r="S28" s="668">
        <f t="shared" si="12"/>
        <v>100</v>
      </c>
      <c r="T28" s="667" t="s">
        <v>18</v>
      </c>
      <c r="U28" s="668">
        <f t="shared" si="13"/>
        <v>100</v>
      </c>
      <c r="V28" s="667" t="s">
        <v>18</v>
      </c>
      <c r="W28" s="668">
        <f t="shared" si="14"/>
        <v>100</v>
      </c>
      <c r="X28" s="1265"/>
      <c r="Y28" s="33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2"/>
      <c r="Q29" s="1263">
        <f t="shared" si="11"/>
        <v>111</v>
      </c>
      <c r="R29" s="667" t="s">
        <v>18</v>
      </c>
      <c r="S29" s="668">
        <f t="shared" si="12"/>
        <v>100</v>
      </c>
      <c r="T29" s="667" t="s">
        <v>18</v>
      </c>
      <c r="U29" s="668">
        <f t="shared" si="13"/>
        <v>100</v>
      </c>
      <c r="V29" s="667" t="s">
        <v>18</v>
      </c>
      <c r="W29" s="668">
        <f t="shared" si="14"/>
        <v>100</v>
      </c>
      <c r="X29" s="1265"/>
      <c r="Y29" s="33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2"/>
      <c r="Q30" s="1263">
        <f t="shared" si="11"/>
        <v>111</v>
      </c>
      <c r="R30" s="667" t="s">
        <v>18</v>
      </c>
      <c r="S30" s="668">
        <f t="shared" si="12"/>
        <v>100</v>
      </c>
      <c r="T30" s="667" t="s">
        <v>18</v>
      </c>
      <c r="U30" s="668">
        <f t="shared" si="13"/>
        <v>100</v>
      </c>
      <c r="V30" s="667" t="s">
        <v>18</v>
      </c>
      <c r="W30" s="668">
        <f t="shared" si="14"/>
        <v>100</v>
      </c>
      <c r="X30" s="1265"/>
      <c r="Y30" s="336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2"/>
      <c r="Q31" s="1263">
        <f t="shared" si="11"/>
        <v>111</v>
      </c>
      <c r="R31" s="667" t="s">
        <v>18</v>
      </c>
      <c r="S31" s="668">
        <f t="shared" si="12"/>
        <v>100</v>
      </c>
      <c r="T31" s="667" t="s">
        <v>18</v>
      </c>
      <c r="U31" s="668">
        <f t="shared" si="13"/>
        <v>100</v>
      </c>
      <c r="V31" s="667" t="s">
        <v>18</v>
      </c>
      <c r="W31" s="668">
        <f t="shared" si="14"/>
        <v>100</v>
      </c>
      <c r="X31" s="1265"/>
      <c r="Y31" s="336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65" t="s">
        <v>1696</v>
      </c>
      <c r="Q32" s="1263" t="str">
        <f t="shared" si="11"/>
        <v>建筑类型</v>
      </c>
      <c r="R32" s="667" t="s">
        <v>18</v>
      </c>
      <c r="S32" s="668">
        <f t="shared" si="12"/>
        <v>100</v>
      </c>
      <c r="T32" s="667" t="s">
        <v>18</v>
      </c>
      <c r="U32" s="668">
        <f t="shared" si="13"/>
        <v>100</v>
      </c>
      <c r="V32" s="667" t="s">
        <v>18</v>
      </c>
      <c r="W32" s="668">
        <f t="shared" si="14"/>
        <v>100</v>
      </c>
      <c r="X32" s="1265"/>
      <c r="Y32" s="336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6"/>
      <c r="Q33" s="531" t="str">
        <f t="shared" si="11"/>
        <v>项目建筑规模</v>
      </c>
      <c r="R33" s="669" t="s">
        <v>18</v>
      </c>
      <c r="S33" s="670" t="e">
        <f t="shared" si="12"/>
        <v>#N/A</v>
      </c>
      <c r="T33" s="669" t="s">
        <v>18</v>
      </c>
      <c r="U33" s="670" t="e">
        <f t="shared" si="13"/>
        <v>#N/A</v>
      </c>
      <c r="V33" s="669" t="s">
        <v>18</v>
      </c>
      <c r="W33" s="670" t="e">
        <f t="shared" si="14"/>
        <v>#N/A</v>
      </c>
      <c r="X33" s="671"/>
      <c r="Y33" s="336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6"/>
      <c r="Q34" s="1263" t="str">
        <f t="shared" si="11"/>
        <v>建筑结构</v>
      </c>
      <c r="R34" s="667" t="s">
        <v>18</v>
      </c>
      <c r="S34" s="668">
        <f t="shared" si="12"/>
        <v>100</v>
      </c>
      <c r="T34" s="667" t="s">
        <v>18</v>
      </c>
      <c r="U34" s="668">
        <f t="shared" si="13"/>
        <v>100</v>
      </c>
      <c r="V34" s="667" t="s">
        <v>18</v>
      </c>
      <c r="W34" s="668">
        <f t="shared" si="14"/>
        <v>100</v>
      </c>
      <c r="X34" s="1265"/>
      <c r="Y34" s="336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6"/>
      <c r="Q35" s="1263" t="str">
        <f t="shared" si="11"/>
        <v>建筑品质</v>
      </c>
      <c r="R35" s="667" t="s">
        <v>18</v>
      </c>
      <c r="S35" s="668">
        <f t="shared" si="12"/>
        <v>100</v>
      </c>
      <c r="T35" s="667" t="s">
        <v>18</v>
      </c>
      <c r="U35" s="668">
        <f t="shared" si="13"/>
        <v>100</v>
      </c>
      <c r="V35" s="667" t="s">
        <v>18</v>
      </c>
      <c r="W35" s="668">
        <f t="shared" si="14"/>
        <v>100</v>
      </c>
      <c r="X35" s="1265"/>
      <c r="Y35" s="336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6"/>
      <c r="Q36" s="1263" t="str">
        <f t="shared" si="11"/>
        <v>公共部分装修</v>
      </c>
      <c r="R36" s="667" t="s">
        <v>18</v>
      </c>
      <c r="S36" s="668">
        <f t="shared" si="12"/>
        <v>100</v>
      </c>
      <c r="T36" s="667" t="s">
        <v>18</v>
      </c>
      <c r="U36" s="668">
        <f t="shared" si="13"/>
        <v>100</v>
      </c>
      <c r="V36" s="667" t="s">
        <v>18</v>
      </c>
      <c r="W36" s="668">
        <f t="shared" si="14"/>
        <v>100</v>
      </c>
      <c r="X36" s="1265"/>
      <c r="Y36" s="336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6"/>
      <c r="Q37" s="530" t="str">
        <f t="shared" si="11"/>
        <v>成新度</v>
      </c>
      <c r="R37" s="664" t="s">
        <v>18</v>
      </c>
      <c r="S37" s="665" t="e">
        <f t="shared" si="12"/>
        <v>#N/A</v>
      </c>
      <c r="T37" s="664" t="s">
        <v>18</v>
      </c>
      <c r="U37" s="665" t="e">
        <f t="shared" si="13"/>
        <v>#N/A</v>
      </c>
      <c r="V37" s="664" t="s">
        <v>18</v>
      </c>
      <c r="W37" s="665" t="e">
        <f t="shared" si="14"/>
        <v>#N/A</v>
      </c>
      <c r="X37" s="666"/>
      <c r="Y37" s="336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6" t="s">
        <v>1696</v>
      </c>
      <c r="Q38" s="1263" t="str">
        <f t="shared" si="11"/>
        <v>物业管理</v>
      </c>
      <c r="R38" s="667" t="s">
        <v>18</v>
      </c>
      <c r="S38" s="668">
        <f t="shared" si="12"/>
        <v>100</v>
      </c>
      <c r="T38" s="667" t="s">
        <v>18</v>
      </c>
      <c r="U38" s="668">
        <f t="shared" si="13"/>
        <v>100</v>
      </c>
      <c r="V38" s="667" t="s">
        <v>18</v>
      </c>
      <c r="W38" s="668">
        <f t="shared" si="14"/>
        <v>100</v>
      </c>
      <c r="X38" s="1265"/>
      <c r="Y38" s="336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6"/>
      <c r="Q39" s="1263" t="str">
        <f t="shared" si="11"/>
        <v>市政基础设施</v>
      </c>
      <c r="R39" s="667" t="s">
        <v>18</v>
      </c>
      <c r="S39" s="668">
        <f t="shared" si="12"/>
        <v>100</v>
      </c>
      <c r="T39" s="667" t="s">
        <v>18</v>
      </c>
      <c r="U39" s="668">
        <f t="shared" si="13"/>
        <v>100</v>
      </c>
      <c r="V39" s="667" t="s">
        <v>18</v>
      </c>
      <c r="W39" s="668">
        <f t="shared" si="14"/>
        <v>100</v>
      </c>
      <c r="X39" s="1265"/>
      <c r="Y39" s="336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6"/>
      <c r="Q40" s="1263" t="str">
        <f t="shared" si="11"/>
        <v>房型</v>
      </c>
      <c r="R40" s="667" t="s">
        <v>18</v>
      </c>
      <c r="S40" s="668">
        <f t="shared" si="12"/>
        <v>100</v>
      </c>
      <c r="T40" s="667" t="s">
        <v>18</v>
      </c>
      <c r="U40" s="668">
        <f t="shared" si="13"/>
        <v>100</v>
      </c>
      <c r="V40" s="667" t="s">
        <v>18</v>
      </c>
      <c r="W40" s="668">
        <f t="shared" si="14"/>
        <v>100</v>
      </c>
      <c r="X40" s="1265"/>
      <c r="Y40" s="336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6"/>
      <c r="Q41" s="531" t="str">
        <f t="shared" si="11"/>
        <v>单套/主力户型建筑面积</v>
      </c>
      <c r="R41" s="669" t="s">
        <v>18</v>
      </c>
      <c r="S41" s="670">
        <f t="shared" si="12"/>
        <v>100</v>
      </c>
      <c r="T41" s="669" t="s">
        <v>18</v>
      </c>
      <c r="U41" s="670">
        <f t="shared" si="13"/>
        <v>100</v>
      </c>
      <c r="V41" s="669" t="s">
        <v>18</v>
      </c>
      <c r="W41" s="670">
        <f t="shared" si="14"/>
        <v>100</v>
      </c>
      <c r="X41" s="671"/>
      <c r="Y41" s="336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6"/>
      <c r="Q42" s="1263" t="str">
        <f t="shared" si="11"/>
        <v>内部装修</v>
      </c>
      <c r="R42" s="667" t="s">
        <v>18</v>
      </c>
      <c r="S42" s="668">
        <f t="shared" si="12"/>
        <v>100</v>
      </c>
      <c r="T42" s="667" t="s">
        <v>18</v>
      </c>
      <c r="U42" s="668">
        <f t="shared" si="13"/>
        <v>100</v>
      </c>
      <c r="V42" s="667" t="s">
        <v>18</v>
      </c>
      <c r="W42" s="668">
        <f t="shared" si="14"/>
        <v>100</v>
      </c>
      <c r="X42" s="1265"/>
      <c r="Y42" s="336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6"/>
      <c r="Q43" s="1263" t="str">
        <f t="shared" si="11"/>
        <v>内部装修维护情况</v>
      </c>
      <c r="R43" s="667" t="s">
        <v>18</v>
      </c>
      <c r="S43" s="668">
        <f t="shared" si="12"/>
        <v>100</v>
      </c>
      <c r="T43" s="667" t="s">
        <v>18</v>
      </c>
      <c r="U43" s="668">
        <f t="shared" si="13"/>
        <v>100</v>
      </c>
      <c r="V43" s="667" t="s">
        <v>18</v>
      </c>
      <c r="W43" s="668">
        <f t="shared" si="14"/>
        <v>100</v>
      </c>
      <c r="X43" s="1265"/>
      <c r="Y43" s="33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6"/>
      <c r="Q44" s="530">
        <f t="shared" si="11"/>
        <v>111</v>
      </c>
      <c r="R44" s="664" t="s">
        <v>18</v>
      </c>
      <c r="S44" s="665">
        <f t="shared" si="12"/>
        <v>100</v>
      </c>
      <c r="T44" s="664" t="s">
        <v>18</v>
      </c>
      <c r="U44" s="665">
        <f t="shared" si="13"/>
        <v>100</v>
      </c>
      <c r="V44" s="664" t="s">
        <v>18</v>
      </c>
      <c r="W44" s="665">
        <f t="shared" si="14"/>
        <v>100</v>
      </c>
      <c r="X44" s="666"/>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6"/>
      <c r="Q45" s="1263">
        <f t="shared" si="11"/>
        <v>111</v>
      </c>
      <c r="R45" s="667" t="s">
        <v>18</v>
      </c>
      <c r="S45" s="668">
        <f t="shared" si="12"/>
        <v>100</v>
      </c>
      <c r="T45" s="667" t="s">
        <v>18</v>
      </c>
      <c r="U45" s="668">
        <f t="shared" si="13"/>
        <v>100</v>
      </c>
      <c r="V45" s="667" t="s">
        <v>18</v>
      </c>
      <c r="W45" s="668">
        <f t="shared" si="14"/>
        <v>100</v>
      </c>
      <c r="X45" s="1265"/>
      <c r="Y45" s="336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67"/>
      <c r="Q46" s="1263">
        <f t="shared" si="11"/>
        <v>111</v>
      </c>
      <c r="R46" s="667" t="s">
        <v>17</v>
      </c>
      <c r="S46" s="668">
        <f t="shared" si="12"/>
        <v>100</v>
      </c>
      <c r="T46" s="667" t="s">
        <v>17</v>
      </c>
      <c r="U46" s="668">
        <f t="shared" si="13"/>
        <v>100</v>
      </c>
      <c r="V46" s="667" t="s">
        <v>17</v>
      </c>
      <c r="W46" s="668">
        <f t="shared" si="14"/>
        <v>100</v>
      </c>
      <c r="X46" s="1265"/>
      <c r="Y46" s="336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受贵公司委托，我公司对北京市朝阳区天畅园1号楼1层1-109进行了预评估。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估价对象为北京市朝阳区天畅园1号楼1层1-109房地产，为严丽所有。根据《国有土地使用证》[]，估价对象（分摊）出让国有建设用地使用权面积为0平方米，建筑面积为108.03平方米。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1号楼1层1-109房地产,属严丽开发建设的商业项目，该项目尚在开发建设中。根据《国有土地使用证》[]，估价对象（分摊）出让国有建设用地使用权面积为0平方米，规划建筑面积为108.03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2025年5月9日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108.03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4" t="s">
        <v>1770</v>
      </c>
      <c r="D4" s="3375"/>
      <c r="E4" s="3376" t="s">
        <v>1771</v>
      </c>
      <c r="F4" s="3377"/>
      <c r="G4" s="3374" t="s">
        <v>1772</v>
      </c>
      <c r="H4" s="3375"/>
      <c r="I4" s="3374" t="s">
        <v>1773</v>
      </c>
      <c r="J4" s="3375"/>
      <c r="K4" s="537" t="s">
        <v>1774</v>
      </c>
      <c r="L4" s="2485"/>
      <c r="M4" s="2486"/>
      <c r="N4" s="2486"/>
      <c r="O4" s="2486"/>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c r="A5" s="348"/>
      <c r="B5" s="349"/>
      <c r="C5" s="3428" t="s">
        <v>1673</v>
      </c>
      <c r="D5" s="3393"/>
      <c r="E5" s="3429" t="s">
        <v>1674</v>
      </c>
      <c r="F5" s="3430"/>
      <c r="G5" s="3428" t="s">
        <v>1675</v>
      </c>
      <c r="H5" s="3393"/>
      <c r="I5" s="3428" t="s">
        <v>1676</v>
      </c>
      <c r="J5" s="3393"/>
      <c r="K5" s="537"/>
      <c r="L5" s="2485"/>
      <c r="M5" s="2486"/>
      <c r="N5" s="2486"/>
      <c r="O5" s="2486"/>
      <c r="P5" s="3439"/>
      <c r="Q5" s="3381"/>
      <c r="R5" s="3386"/>
      <c r="S5" s="3387"/>
      <c r="T5" s="3386"/>
      <c r="U5" s="3387"/>
      <c r="V5" s="3357"/>
      <c r="W5" s="3357"/>
      <c r="X5" s="1265"/>
      <c r="Y5" s="3386"/>
      <c r="Z5" s="3387"/>
      <c r="AA5" s="3372"/>
      <c r="AB5" s="3372"/>
      <c r="AC5" s="3435"/>
    </row>
    <row r="6" spans="1:29" ht="15" thickBot="1">
      <c r="A6" s="350"/>
      <c r="B6" s="351"/>
      <c r="C6" s="3390" t="s">
        <v>1677</v>
      </c>
      <c r="D6" s="3391"/>
      <c r="E6" s="3397" t="s">
        <v>1677</v>
      </c>
      <c r="F6" s="3398"/>
      <c r="G6" s="3390" t="s">
        <v>1677</v>
      </c>
      <c r="H6" s="3391"/>
      <c r="I6" s="3390" t="s">
        <v>1677</v>
      </c>
      <c r="J6" s="3391"/>
      <c r="K6" s="537" t="s">
        <v>1678</v>
      </c>
      <c r="L6" s="2485"/>
      <c r="M6" s="2486"/>
      <c r="N6" s="2486"/>
      <c r="O6" s="2486"/>
      <c r="P6" s="3440"/>
      <c r="Q6" s="3383"/>
      <c r="R6" s="3386"/>
      <c r="S6" s="3387"/>
      <c r="T6" s="3388"/>
      <c r="U6" s="3389"/>
      <c r="V6" s="3357"/>
      <c r="W6" s="3357"/>
      <c r="X6" s="1265"/>
      <c r="Y6" s="3388"/>
      <c r="Z6" s="3389"/>
      <c r="AA6" s="3373"/>
      <c r="AB6" s="3373"/>
      <c r="AC6" s="3436"/>
    </row>
    <row r="7" spans="1:29" s="102" customFormat="1" ht="15" thickBot="1">
      <c r="A7" s="352" t="s">
        <v>1679</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4"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0"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0"/>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61" t="s">
        <v>1691</v>
      </c>
      <c r="Q15" s="1263" t="str">
        <f t="shared" si="6"/>
        <v>办公集聚程度</v>
      </c>
      <c r="R15" s="667" t="s">
        <v>14</v>
      </c>
      <c r="S15" s="668">
        <f t="shared" si="0"/>
        <v>100</v>
      </c>
      <c r="T15" s="667" t="s">
        <v>14</v>
      </c>
      <c r="U15" s="668">
        <f t="shared" si="1"/>
        <v>100</v>
      </c>
      <c r="V15" s="667" t="s">
        <v>14</v>
      </c>
      <c r="W15" s="668">
        <f t="shared" si="2"/>
        <v>100</v>
      </c>
      <c r="X15" s="1265"/>
      <c r="Y15" s="336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62"/>
      <c r="Q16" s="1263"/>
      <c r="R16" s="667"/>
      <c r="S16" s="668"/>
      <c r="T16" s="667"/>
      <c r="U16" s="668"/>
      <c r="V16" s="667"/>
      <c r="W16" s="668"/>
      <c r="X16" s="1265"/>
      <c r="Y16" s="336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62"/>
      <c r="Q18" s="1263"/>
      <c r="R18" s="667"/>
      <c r="S18" s="668"/>
      <c r="T18" s="667"/>
      <c r="U18" s="668"/>
      <c r="V18" s="667"/>
      <c r="W18" s="668"/>
      <c r="X18" s="1265"/>
      <c r="Y18" s="336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62"/>
      <c r="Q20" s="1263"/>
      <c r="R20" s="667"/>
      <c r="S20" s="668"/>
      <c r="T20" s="667"/>
      <c r="U20" s="668"/>
      <c r="V20" s="667"/>
      <c r="W20" s="668"/>
      <c r="X20" s="1265"/>
      <c r="Y20" s="336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62"/>
      <c r="Q22" s="1263"/>
      <c r="R22" s="667"/>
      <c r="S22" s="668"/>
      <c r="T22" s="667"/>
      <c r="U22" s="668"/>
      <c r="V22" s="667"/>
      <c r="W22" s="668"/>
      <c r="X22" s="1265"/>
      <c r="Y22" s="336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62"/>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62"/>
      <c r="Q24" s="1263"/>
      <c r="R24" s="667"/>
      <c r="S24" s="668"/>
      <c r="T24" s="667"/>
      <c r="U24" s="668"/>
      <c r="V24" s="667"/>
      <c r="W24" s="668"/>
      <c r="X24" s="1265"/>
      <c r="Y24" s="336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62"/>
      <c r="Q25" s="1263" t="str">
        <f>B25</f>
        <v>毗邻道路的类型与等级</v>
      </c>
      <c r="R25" s="667" t="s">
        <v>14</v>
      </c>
      <c r="S25" s="668">
        <f>F25</f>
        <v>100</v>
      </c>
      <c r="T25" s="667" t="s">
        <v>14</v>
      </c>
      <c r="U25" s="668">
        <f>H25</f>
        <v>100</v>
      </c>
      <c r="V25" s="667" t="s">
        <v>14</v>
      </c>
      <c r="W25" s="668">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62"/>
      <c r="Q26" s="1263"/>
      <c r="R26" s="667"/>
      <c r="S26" s="668"/>
      <c r="T26" s="667"/>
      <c r="U26" s="668"/>
      <c r="V26" s="667"/>
      <c r="W26" s="668"/>
      <c r="X26" s="1265"/>
      <c r="Y26" s="336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2"/>
      <c r="Q27" s="1263" t="str">
        <f t="shared" ref="Q27:Q47" si="11">B27</f>
        <v>楼层</v>
      </c>
      <c r="R27" s="667" t="s">
        <v>14</v>
      </c>
      <c r="S27" s="668">
        <f>F27</f>
        <v>100</v>
      </c>
      <c r="T27" s="667" t="s">
        <v>14</v>
      </c>
      <c r="U27" s="668">
        <f>H27</f>
        <v>100</v>
      </c>
      <c r="V27" s="667" t="s">
        <v>14</v>
      </c>
      <c r="W27" s="668">
        <f>J27</f>
        <v>100</v>
      </c>
      <c r="X27" s="1265"/>
      <c r="Y27" s="336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2"/>
      <c r="Q28" s="530" t="str">
        <f t="shared" si="11"/>
        <v>朝向</v>
      </c>
      <c r="R28" s="664" t="s">
        <v>14</v>
      </c>
      <c r="S28" s="665">
        <f>F28</f>
        <v>100</v>
      </c>
      <c r="T28" s="664" t="s">
        <v>14</v>
      </c>
      <c r="U28" s="665">
        <f>H28</f>
        <v>100</v>
      </c>
      <c r="V28" s="664" t="s">
        <v>14</v>
      </c>
      <c r="W28" s="665">
        <f>J28</f>
        <v>100</v>
      </c>
      <c r="X28" s="666"/>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2"/>
      <c r="Q29" s="1263">
        <f t="shared" si="11"/>
        <v>111</v>
      </c>
      <c r="R29" s="667" t="s">
        <v>14</v>
      </c>
      <c r="S29" s="668">
        <f t="shared" ref="S29:S47" si="12">F29</f>
        <v>100</v>
      </c>
      <c r="T29" s="667" t="s">
        <v>14</v>
      </c>
      <c r="U29" s="668">
        <f t="shared" ref="U29:U47" si="13">H29</f>
        <v>100</v>
      </c>
      <c r="V29" s="667" t="s">
        <v>14</v>
      </c>
      <c r="W29" s="668">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2"/>
      <c r="Q32" s="1263">
        <f t="shared" si="11"/>
        <v>111</v>
      </c>
      <c r="R32" s="667" t="s">
        <v>14</v>
      </c>
      <c r="S32" s="668">
        <f t="shared" si="12"/>
        <v>100</v>
      </c>
      <c r="T32" s="667" t="s">
        <v>14</v>
      </c>
      <c r="U32" s="668">
        <f t="shared" si="13"/>
        <v>100</v>
      </c>
      <c r="V32" s="667" t="s">
        <v>14</v>
      </c>
      <c r="W32" s="668">
        <f t="shared" si="14"/>
        <v>100</v>
      </c>
      <c r="X32" s="1265"/>
      <c r="Y32" s="336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65" t="s">
        <v>1696</v>
      </c>
      <c r="Q33" s="1263" t="str">
        <f t="shared" si="11"/>
        <v>建筑类型</v>
      </c>
      <c r="R33" s="667" t="s">
        <v>14</v>
      </c>
      <c r="S33" s="668">
        <f t="shared" si="12"/>
        <v>100</v>
      </c>
      <c r="T33" s="667" t="s">
        <v>14</v>
      </c>
      <c r="U33" s="668">
        <f t="shared" si="13"/>
        <v>100</v>
      </c>
      <c r="V33" s="667" t="s">
        <v>14</v>
      </c>
      <c r="W33" s="668">
        <f t="shared" si="14"/>
        <v>100</v>
      </c>
      <c r="X33" s="1265"/>
      <c r="Y33" s="336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6"/>
      <c r="Q34" s="531" t="str">
        <f t="shared" si="11"/>
        <v>项目建筑规模</v>
      </c>
      <c r="R34" s="669" t="s">
        <v>14</v>
      </c>
      <c r="S34" s="670" t="e">
        <f t="shared" si="12"/>
        <v>#N/A</v>
      </c>
      <c r="T34" s="669" t="s">
        <v>14</v>
      </c>
      <c r="U34" s="670" t="e">
        <f t="shared" si="13"/>
        <v>#N/A</v>
      </c>
      <c r="V34" s="669" t="s">
        <v>14</v>
      </c>
      <c r="W34" s="670" t="e">
        <f t="shared" si="14"/>
        <v>#N/A</v>
      </c>
      <c r="X34" s="671"/>
      <c r="Y34" s="336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6"/>
      <c r="Q35" s="1263" t="str">
        <f t="shared" si="11"/>
        <v>建筑结构</v>
      </c>
      <c r="R35" s="667" t="s">
        <v>14</v>
      </c>
      <c r="S35" s="668">
        <f t="shared" si="12"/>
        <v>100</v>
      </c>
      <c r="T35" s="667" t="s">
        <v>14</v>
      </c>
      <c r="U35" s="668">
        <f t="shared" si="13"/>
        <v>100</v>
      </c>
      <c r="V35" s="667" t="s">
        <v>14</v>
      </c>
      <c r="W35" s="668">
        <f t="shared" si="14"/>
        <v>100</v>
      </c>
      <c r="X35" s="1265"/>
      <c r="Y35" s="336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6"/>
      <c r="Q36" s="1263" t="str">
        <f t="shared" si="11"/>
        <v>公共部分装修</v>
      </c>
      <c r="R36" s="667" t="s">
        <v>14</v>
      </c>
      <c r="S36" s="668">
        <f t="shared" si="12"/>
        <v>100</v>
      </c>
      <c r="T36" s="667" t="s">
        <v>14</v>
      </c>
      <c r="U36" s="668">
        <f t="shared" si="13"/>
        <v>100</v>
      </c>
      <c r="V36" s="667" t="s">
        <v>14</v>
      </c>
      <c r="W36" s="668">
        <f t="shared" si="14"/>
        <v>100</v>
      </c>
      <c r="X36" s="1265"/>
      <c r="Y36" s="336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6"/>
      <c r="Q37" s="1263" t="str">
        <f t="shared" si="11"/>
        <v>成新度</v>
      </c>
      <c r="R37" s="667" t="s">
        <v>14</v>
      </c>
      <c r="S37" s="668" t="e">
        <f t="shared" si="12"/>
        <v>#N/A</v>
      </c>
      <c r="T37" s="667" t="s">
        <v>14</v>
      </c>
      <c r="U37" s="668" t="e">
        <f t="shared" si="13"/>
        <v>#N/A</v>
      </c>
      <c r="V37" s="667" t="s">
        <v>14</v>
      </c>
      <c r="W37" s="668" t="e">
        <f t="shared" si="14"/>
        <v>#N/A</v>
      </c>
      <c r="X37" s="1265"/>
      <c r="Y37" s="336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6" t="s">
        <v>1696</v>
      </c>
      <c r="Q39" s="1263" t="str">
        <f t="shared" si="11"/>
        <v>物业管理</v>
      </c>
      <c r="R39" s="667" t="s">
        <v>14</v>
      </c>
      <c r="S39" s="668">
        <f t="shared" si="12"/>
        <v>100</v>
      </c>
      <c r="T39" s="667" t="s">
        <v>14</v>
      </c>
      <c r="U39" s="668">
        <f t="shared" si="13"/>
        <v>100</v>
      </c>
      <c r="V39" s="667" t="s">
        <v>14</v>
      </c>
      <c r="W39" s="668">
        <f t="shared" si="14"/>
        <v>100</v>
      </c>
      <c r="X39" s="1265"/>
      <c r="Y39" s="336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6"/>
      <c r="Q40" s="1263" t="str">
        <f t="shared" si="11"/>
        <v>市政基础设施</v>
      </c>
      <c r="R40" s="667" t="s">
        <v>14</v>
      </c>
      <c r="S40" s="668">
        <f t="shared" si="12"/>
        <v>100</v>
      </c>
      <c r="T40" s="667" t="s">
        <v>14</v>
      </c>
      <c r="U40" s="668">
        <f t="shared" si="13"/>
        <v>100</v>
      </c>
      <c r="V40" s="667" t="s">
        <v>14</v>
      </c>
      <c r="W40" s="668">
        <f t="shared" si="14"/>
        <v>100</v>
      </c>
      <c r="X40" s="1265"/>
      <c r="Y40" s="336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6"/>
      <c r="Q41" s="1263" t="str">
        <f t="shared" si="11"/>
        <v>层高</v>
      </c>
      <c r="R41" s="667" t="s">
        <v>14</v>
      </c>
      <c r="S41" s="668">
        <f t="shared" si="12"/>
        <v>100</v>
      </c>
      <c r="T41" s="667" t="s">
        <v>14</v>
      </c>
      <c r="U41" s="668">
        <f t="shared" si="13"/>
        <v>100</v>
      </c>
      <c r="V41" s="667" t="s">
        <v>14</v>
      </c>
      <c r="W41" s="668">
        <f t="shared" si="14"/>
        <v>100</v>
      </c>
      <c r="X41" s="1265"/>
      <c r="Y41" s="336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6"/>
      <c r="Q43" s="1263" t="str">
        <f t="shared" si="11"/>
        <v>内部装修</v>
      </c>
      <c r="R43" s="667" t="s">
        <v>14</v>
      </c>
      <c r="S43" s="668">
        <f t="shared" si="12"/>
        <v>100</v>
      </c>
      <c r="T43" s="667" t="s">
        <v>14</v>
      </c>
      <c r="U43" s="668">
        <f t="shared" si="13"/>
        <v>100</v>
      </c>
      <c r="V43" s="667" t="s">
        <v>14</v>
      </c>
      <c r="W43" s="668">
        <f t="shared" si="14"/>
        <v>100</v>
      </c>
      <c r="X43" s="1265"/>
      <c r="Y43" s="336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66"/>
      <c r="Q44" s="1263" t="str">
        <f t="shared" si="11"/>
        <v>内部装修维护情况</v>
      </c>
      <c r="R44" s="667" t="s">
        <v>14</v>
      </c>
      <c r="S44" s="668">
        <f t="shared" si="12"/>
        <v>100</v>
      </c>
      <c r="T44" s="667" t="s">
        <v>14</v>
      </c>
      <c r="U44" s="668">
        <f t="shared" si="13"/>
        <v>100</v>
      </c>
      <c r="V44" s="667" t="s">
        <v>14</v>
      </c>
      <c r="W44" s="668">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6"/>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7"/>
      <c r="Q47" s="1263">
        <f t="shared" si="11"/>
        <v>111</v>
      </c>
      <c r="R47" s="667" t="s">
        <v>14</v>
      </c>
      <c r="S47" s="668">
        <f t="shared" si="12"/>
        <v>100</v>
      </c>
      <c r="T47" s="667" t="s">
        <v>14</v>
      </c>
      <c r="U47" s="668">
        <f t="shared" si="13"/>
        <v>100</v>
      </c>
      <c r="V47" s="667" t="s">
        <v>14</v>
      </c>
      <c r="W47" s="668">
        <f t="shared" si="14"/>
        <v>100</v>
      </c>
      <c r="X47" s="1265"/>
      <c r="Y47" s="336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70" t="str">
        <f>A48</f>
        <v>成交单价（元/平方米）</v>
      </c>
      <c r="Q48" s="3356"/>
      <c r="R48" s="3357">
        <f>E48</f>
        <v>0</v>
      </c>
      <c r="S48" s="3357"/>
      <c r="T48" s="3357">
        <f>G48</f>
        <v>0</v>
      </c>
      <c r="U48" s="3357"/>
      <c r="V48" s="3357">
        <f>I48</f>
        <v>0</v>
      </c>
      <c r="W48" s="335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70" t="str">
        <f>A49</f>
        <v>比较价值（元/平方米）</v>
      </c>
      <c r="Q49" s="335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108.03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c r="A5" s="348"/>
      <c r="B5" s="349"/>
      <c r="C5" s="3428" t="s">
        <v>1673</v>
      </c>
      <c r="D5" s="3393"/>
      <c r="E5" s="3429" t="s">
        <v>1674</v>
      </c>
      <c r="F5" s="3430"/>
      <c r="G5" s="3428" t="s">
        <v>1675</v>
      </c>
      <c r="H5" s="3393"/>
      <c r="I5" s="3428" t="s">
        <v>1676</v>
      </c>
      <c r="J5" s="3393"/>
      <c r="K5" s="537"/>
      <c r="L5" s="860"/>
      <c r="M5" s="861"/>
      <c r="N5" s="861"/>
      <c r="O5" s="861"/>
      <c r="P5" s="3380"/>
      <c r="Q5" s="3381"/>
      <c r="R5" s="3386"/>
      <c r="S5" s="3387"/>
      <c r="T5" s="3386"/>
      <c r="U5" s="3387"/>
      <c r="V5" s="3357"/>
      <c r="W5" s="3357"/>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860"/>
      <c r="M6" s="861"/>
      <c r="N6" s="861"/>
      <c r="O6" s="861"/>
      <c r="P6" s="3382"/>
      <c r="Q6" s="3383"/>
      <c r="R6" s="3386"/>
      <c r="S6" s="3387"/>
      <c r="T6" s="3388"/>
      <c r="U6" s="3389"/>
      <c r="V6" s="3357"/>
      <c r="W6" s="3357"/>
      <c r="X6" s="1265"/>
      <c r="Y6" s="3388"/>
      <c r="Z6" s="3389"/>
      <c r="AA6" s="3373"/>
      <c r="AB6" s="3373"/>
      <c r="AC6" s="3373"/>
    </row>
    <row r="7" spans="1:29" s="102" customFormat="1" ht="15" thickBot="1">
      <c r="A7" s="352" t="s">
        <v>1679</v>
      </c>
      <c r="B7" s="353"/>
      <c r="C7" s="354">
        <f>'数据-取费表'!B2</f>
        <v>45786</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6"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56"/>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6"/>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6"/>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6"/>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6"/>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4"/>
      <c r="Q16" s="1263"/>
      <c r="R16" s="667"/>
      <c r="S16" s="668"/>
      <c r="T16" s="667"/>
      <c r="U16" s="668"/>
      <c r="V16" s="667"/>
      <c r="W16" s="668"/>
      <c r="X16" s="1265"/>
      <c r="Y16" s="336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4"/>
      <c r="Q18" s="1263"/>
      <c r="R18" s="667"/>
      <c r="S18" s="668"/>
      <c r="T18" s="667"/>
      <c r="U18" s="668"/>
      <c r="V18" s="667"/>
      <c r="W18" s="668"/>
      <c r="X18" s="1265"/>
      <c r="Y18" s="336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4"/>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4"/>
      <c r="Q20" s="1263"/>
      <c r="R20" s="667"/>
      <c r="S20" s="668"/>
      <c r="T20" s="667"/>
      <c r="U20" s="668"/>
      <c r="V20" s="667"/>
      <c r="W20" s="668"/>
      <c r="X20" s="1265"/>
      <c r="Y20" s="336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4"/>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4"/>
      <c r="Q22" s="1263"/>
      <c r="R22" s="667"/>
      <c r="S22" s="668"/>
      <c r="T22" s="667"/>
      <c r="U22" s="668"/>
      <c r="V22" s="667"/>
      <c r="W22" s="668"/>
      <c r="X22" s="1265"/>
      <c r="Y22" s="336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4"/>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4"/>
      <c r="Q24" s="1263"/>
      <c r="R24" s="667"/>
      <c r="S24" s="668"/>
      <c r="T24" s="667"/>
      <c r="U24" s="668"/>
      <c r="V24" s="667"/>
      <c r="W24" s="668"/>
      <c r="X24" s="1265"/>
      <c r="Y24" s="336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4"/>
      <c r="Q25" s="1263">
        <f>B25</f>
        <v>111</v>
      </c>
      <c r="R25" s="667" t="s">
        <v>14</v>
      </c>
      <c r="S25" s="668">
        <f>F25</f>
        <v>100</v>
      </c>
      <c r="T25" s="667" t="s">
        <v>14</v>
      </c>
      <c r="U25" s="668">
        <f>H25</f>
        <v>100</v>
      </c>
      <c r="V25" s="667" t="s">
        <v>14</v>
      </c>
      <c r="W25" s="668">
        <f>J25</f>
        <v>100</v>
      </c>
      <c r="X25" s="1265"/>
      <c r="Y25" s="336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4"/>
      <c r="Q26" s="1263">
        <f t="shared" ref="Q26:Q40" si="11">B26</f>
        <v>111</v>
      </c>
      <c r="R26" s="667" t="s">
        <v>14</v>
      </c>
      <c r="S26" s="668">
        <f>F26</f>
        <v>100</v>
      </c>
      <c r="T26" s="667" t="s">
        <v>14</v>
      </c>
      <c r="U26" s="668">
        <f>H26</f>
        <v>100</v>
      </c>
      <c r="V26" s="667" t="s">
        <v>14</v>
      </c>
      <c r="W26" s="668">
        <f>J26</f>
        <v>100</v>
      </c>
      <c r="X26" s="1265"/>
      <c r="Y26" s="336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4"/>
      <c r="Q27" s="530">
        <f t="shared" si="11"/>
        <v>111</v>
      </c>
      <c r="R27" s="664" t="s">
        <v>14</v>
      </c>
      <c r="S27" s="665">
        <f>F27</f>
        <v>100</v>
      </c>
      <c r="T27" s="664" t="s">
        <v>14</v>
      </c>
      <c r="U27" s="665">
        <f>H27</f>
        <v>100</v>
      </c>
      <c r="V27" s="664" t="s">
        <v>14</v>
      </c>
      <c r="W27" s="665">
        <f>J27</f>
        <v>100</v>
      </c>
      <c r="X27" s="666"/>
      <c r="Y27" s="336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4"/>
      <c r="Q28" s="1263">
        <f t="shared" si="11"/>
        <v>111</v>
      </c>
      <c r="R28" s="667" t="s">
        <v>14</v>
      </c>
      <c r="S28" s="668">
        <f t="shared" ref="S28:S40" si="12">F28</f>
        <v>100</v>
      </c>
      <c r="T28" s="667" t="s">
        <v>14</v>
      </c>
      <c r="U28" s="668">
        <f t="shared" ref="U28:U40" si="13">H28</f>
        <v>100</v>
      </c>
      <c r="V28" s="667" t="s">
        <v>14</v>
      </c>
      <c r="W28" s="668">
        <f t="shared" ref="W28:W40" si="14">J28</f>
        <v>100</v>
      </c>
      <c r="X28" s="1265"/>
      <c r="Y28" s="336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6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8"/>
      <c r="Q30" s="531" t="str">
        <f t="shared" si="11"/>
        <v>项目建筑规模</v>
      </c>
      <c r="R30" s="669" t="s">
        <v>14</v>
      </c>
      <c r="S30" s="670" t="e">
        <f t="shared" si="12"/>
        <v>#N/A</v>
      </c>
      <c r="T30" s="669" t="s">
        <v>14</v>
      </c>
      <c r="U30" s="670" t="e">
        <f t="shared" si="13"/>
        <v>#N/A</v>
      </c>
      <c r="V30" s="669" t="s">
        <v>14</v>
      </c>
      <c r="W30" s="670" t="e">
        <f t="shared" si="14"/>
        <v>#N/A</v>
      </c>
      <c r="X30" s="671"/>
      <c r="Y30" s="336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8"/>
      <c r="Q31" s="1263" t="str">
        <f t="shared" si="11"/>
        <v>建筑结构</v>
      </c>
      <c r="R31" s="667" t="s">
        <v>14</v>
      </c>
      <c r="S31" s="668">
        <f t="shared" si="12"/>
        <v>100</v>
      </c>
      <c r="T31" s="667" t="s">
        <v>14</v>
      </c>
      <c r="U31" s="668">
        <f t="shared" si="13"/>
        <v>100</v>
      </c>
      <c r="V31" s="667" t="s">
        <v>14</v>
      </c>
      <c r="W31" s="668">
        <f t="shared" si="14"/>
        <v>100</v>
      </c>
      <c r="X31" s="1265"/>
      <c r="Y31" s="336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8"/>
      <c r="Q32" s="1263" t="str">
        <f t="shared" si="11"/>
        <v>公共部分装修</v>
      </c>
      <c r="R32" s="667" t="s">
        <v>14</v>
      </c>
      <c r="S32" s="668">
        <f t="shared" si="12"/>
        <v>100</v>
      </c>
      <c r="T32" s="667" t="s">
        <v>14</v>
      </c>
      <c r="U32" s="668">
        <f t="shared" si="13"/>
        <v>100</v>
      </c>
      <c r="V32" s="667" t="s">
        <v>14</v>
      </c>
      <c r="W32" s="668">
        <f t="shared" si="14"/>
        <v>100</v>
      </c>
      <c r="X32" s="1265"/>
      <c r="Y32" s="336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8"/>
      <c r="Q33" s="1263" t="str">
        <f t="shared" si="11"/>
        <v>成新度</v>
      </c>
      <c r="R33" s="667" t="s">
        <v>14</v>
      </c>
      <c r="S33" s="668" t="e">
        <f t="shared" si="12"/>
        <v>#N/A</v>
      </c>
      <c r="T33" s="667" t="s">
        <v>14</v>
      </c>
      <c r="U33" s="668" t="e">
        <f t="shared" si="13"/>
        <v>#N/A</v>
      </c>
      <c r="V33" s="667" t="s">
        <v>14</v>
      </c>
      <c r="W33" s="668" t="e">
        <f t="shared" si="14"/>
        <v>#N/A</v>
      </c>
      <c r="X33" s="1265"/>
      <c r="Y33" s="336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8"/>
      <c r="Q34" s="530" t="str">
        <f t="shared" si="11"/>
        <v>物业管理</v>
      </c>
      <c r="R34" s="664" t="s">
        <v>14</v>
      </c>
      <c r="S34" s="665">
        <f t="shared" si="12"/>
        <v>100</v>
      </c>
      <c r="T34" s="664" t="s">
        <v>14</v>
      </c>
      <c r="U34" s="665">
        <f t="shared" si="13"/>
        <v>100</v>
      </c>
      <c r="V34" s="664" t="s">
        <v>14</v>
      </c>
      <c r="W34" s="665">
        <f t="shared" si="14"/>
        <v>100</v>
      </c>
      <c r="X34" s="666"/>
      <c r="Y34" s="33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8" t="s">
        <v>1696</v>
      </c>
      <c r="Q35" s="1263" t="str">
        <f t="shared" si="11"/>
        <v>市政基础设施</v>
      </c>
      <c r="R35" s="667" t="s">
        <v>14</v>
      </c>
      <c r="S35" s="668">
        <f t="shared" si="12"/>
        <v>100</v>
      </c>
      <c r="T35" s="667" t="s">
        <v>14</v>
      </c>
      <c r="U35" s="668">
        <f t="shared" si="13"/>
        <v>100</v>
      </c>
      <c r="V35" s="667" t="s">
        <v>14</v>
      </c>
      <c r="W35" s="668">
        <f t="shared" si="14"/>
        <v>100</v>
      </c>
      <c r="X35" s="1265"/>
      <c r="Y35" s="336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8"/>
      <c r="Q36" s="1263" t="str">
        <f t="shared" si="11"/>
        <v>内部装修</v>
      </c>
      <c r="R36" s="667" t="s">
        <v>14</v>
      </c>
      <c r="S36" s="668">
        <f t="shared" si="12"/>
        <v>100</v>
      </c>
      <c r="T36" s="667" t="s">
        <v>14</v>
      </c>
      <c r="U36" s="668">
        <f t="shared" si="13"/>
        <v>100</v>
      </c>
      <c r="V36" s="667" t="s">
        <v>14</v>
      </c>
      <c r="W36" s="668">
        <f t="shared" si="14"/>
        <v>100</v>
      </c>
      <c r="X36" s="1265"/>
      <c r="Y36" s="336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8"/>
      <c r="Q37" s="1263" t="str">
        <f t="shared" si="11"/>
        <v>内部装修状况</v>
      </c>
      <c r="R37" s="667" t="s">
        <v>14</v>
      </c>
      <c r="S37" s="668">
        <f t="shared" si="12"/>
        <v>100</v>
      </c>
      <c r="T37" s="667" t="s">
        <v>14</v>
      </c>
      <c r="U37" s="668">
        <f t="shared" si="13"/>
        <v>100</v>
      </c>
      <c r="V37" s="667" t="s">
        <v>14</v>
      </c>
      <c r="W37" s="668">
        <f t="shared" si="14"/>
        <v>100</v>
      </c>
      <c r="X37" s="1265"/>
      <c r="Y37" s="336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8"/>
      <c r="Q38" s="531">
        <f t="shared" si="11"/>
        <v>111</v>
      </c>
      <c r="R38" s="669" t="s">
        <v>14</v>
      </c>
      <c r="S38" s="670">
        <f t="shared" si="12"/>
        <v>100</v>
      </c>
      <c r="T38" s="669" t="s">
        <v>14</v>
      </c>
      <c r="U38" s="670">
        <f t="shared" si="13"/>
        <v>100</v>
      </c>
      <c r="V38" s="669" t="s">
        <v>14</v>
      </c>
      <c r="W38" s="670">
        <f t="shared" si="14"/>
        <v>100</v>
      </c>
      <c r="X38" s="671"/>
      <c r="Y38" s="336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8"/>
      <c r="Q39" s="1263">
        <f t="shared" si="11"/>
        <v>111</v>
      </c>
      <c r="R39" s="667" t="s">
        <v>14</v>
      </c>
      <c r="S39" s="668">
        <f t="shared" si="12"/>
        <v>100</v>
      </c>
      <c r="T39" s="667" t="s">
        <v>14</v>
      </c>
      <c r="U39" s="668">
        <f t="shared" si="13"/>
        <v>100</v>
      </c>
      <c r="V39" s="667" t="s">
        <v>14</v>
      </c>
      <c r="W39" s="668">
        <f t="shared" si="14"/>
        <v>100</v>
      </c>
      <c r="X39" s="1265"/>
      <c r="Y39" s="336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9"/>
      <c r="Q40" s="1263">
        <f t="shared" si="11"/>
        <v>111</v>
      </c>
      <c r="R40" s="667" t="s">
        <v>14</v>
      </c>
      <c r="S40" s="668">
        <f t="shared" si="12"/>
        <v>100</v>
      </c>
      <c r="T40" s="667" t="s">
        <v>14</v>
      </c>
      <c r="U40" s="668">
        <f t="shared" si="13"/>
        <v>100</v>
      </c>
      <c r="V40" s="667" t="s">
        <v>14</v>
      </c>
      <c r="W40" s="668">
        <f t="shared" si="14"/>
        <v>100</v>
      </c>
      <c r="X40" s="1265"/>
      <c r="Y40" s="336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6" t="str">
        <f>A41</f>
        <v>成交单价（元/平方米）</v>
      </c>
      <c r="Q41" s="3356"/>
      <c r="R41" s="3357">
        <f>E41</f>
        <v>0</v>
      </c>
      <c r="S41" s="3357"/>
      <c r="T41" s="3357">
        <f>G41</f>
        <v>0</v>
      </c>
      <c r="U41" s="3357"/>
      <c r="V41" s="3357">
        <f>I41</f>
        <v>0</v>
      </c>
      <c r="W41" s="335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5"/>
      <c r="M4" s="2486"/>
      <c r="N4" s="2486"/>
      <c r="O4" s="2486"/>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c r="A5" s="348"/>
      <c r="B5" s="349"/>
      <c r="C5" s="3428" t="s">
        <v>1673</v>
      </c>
      <c r="D5" s="3393"/>
      <c r="E5" s="3429" t="s">
        <v>1674</v>
      </c>
      <c r="F5" s="3430"/>
      <c r="G5" s="3428" t="s">
        <v>1675</v>
      </c>
      <c r="H5" s="3393"/>
      <c r="I5" s="3428" t="s">
        <v>1676</v>
      </c>
      <c r="J5" s="3393"/>
      <c r="K5" s="537"/>
      <c r="L5" s="2485"/>
      <c r="M5" s="2486"/>
      <c r="N5" s="2486"/>
      <c r="O5" s="2486"/>
      <c r="P5" s="3380"/>
      <c r="Q5" s="3381"/>
      <c r="R5" s="3386"/>
      <c r="S5" s="3387"/>
      <c r="T5" s="3386"/>
      <c r="U5" s="3387"/>
      <c r="V5" s="3357"/>
      <c r="W5" s="3357"/>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2485"/>
      <c r="M6" s="2486"/>
      <c r="N6" s="2486"/>
      <c r="O6" s="2486"/>
      <c r="P6" s="3382"/>
      <c r="Q6" s="3383"/>
      <c r="R6" s="3386"/>
      <c r="S6" s="3387"/>
      <c r="T6" s="3388"/>
      <c r="U6" s="3389"/>
      <c r="V6" s="3357"/>
      <c r="W6" s="3357"/>
      <c r="X6" s="1265"/>
      <c r="Y6" s="3388"/>
      <c r="Z6" s="3389"/>
      <c r="AA6" s="3373"/>
      <c r="AB6" s="3373"/>
      <c r="AC6" s="3373"/>
    </row>
    <row r="7" spans="1:29" s="102" customFormat="1" ht="15" thickBot="1">
      <c r="A7" s="352" t="s">
        <v>1679</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6"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6"/>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6"/>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6"/>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6"/>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4"/>
      <c r="Q15" s="1263"/>
      <c r="R15" s="667"/>
      <c r="S15" s="668"/>
      <c r="T15" s="667"/>
      <c r="U15" s="668"/>
      <c r="V15" s="667"/>
      <c r="W15" s="668"/>
      <c r="X15" s="1265"/>
      <c r="Y15" s="336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4"/>
      <c r="Q17" s="1263"/>
      <c r="R17" s="667"/>
      <c r="S17" s="668"/>
      <c r="T17" s="667"/>
      <c r="U17" s="668"/>
      <c r="V17" s="667"/>
      <c r="W17" s="668"/>
      <c r="X17" s="1265"/>
      <c r="Y17" s="336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4"/>
      <c r="Q19" s="1263"/>
      <c r="R19" s="667"/>
      <c r="S19" s="668"/>
      <c r="T19" s="667"/>
      <c r="U19" s="668"/>
      <c r="V19" s="667"/>
      <c r="W19" s="668"/>
      <c r="X19" s="1265"/>
      <c r="Y19" s="336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4"/>
      <c r="Q21" s="1263"/>
      <c r="R21" s="667"/>
      <c r="S21" s="668"/>
      <c r="T21" s="667"/>
      <c r="U21" s="668"/>
      <c r="V21" s="667"/>
      <c r="W21" s="668"/>
      <c r="X21" s="1265"/>
      <c r="Y21" s="336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4"/>
      <c r="Q24" s="1263">
        <f t="shared" ref="Q24:Q36"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8"/>
      <c r="Q27" s="531" t="str">
        <f t="shared" si="11"/>
        <v>项目停车位配比</v>
      </c>
      <c r="R27" s="669" t="s">
        <v>14</v>
      </c>
      <c r="S27" s="670">
        <f t="shared" si="12"/>
        <v>100</v>
      </c>
      <c r="T27" s="669" t="s">
        <v>14</v>
      </c>
      <c r="U27" s="670">
        <f t="shared" si="13"/>
        <v>100</v>
      </c>
      <c r="V27" s="669" t="s">
        <v>14</v>
      </c>
      <c r="W27" s="670">
        <f t="shared" si="14"/>
        <v>100</v>
      </c>
      <c r="X27" s="671"/>
      <c r="Y27" s="336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8"/>
      <c r="Q28" s="1263" t="str">
        <f t="shared" si="11"/>
        <v>公共部分装修</v>
      </c>
      <c r="R28" s="667" t="s">
        <v>14</v>
      </c>
      <c r="S28" s="668">
        <f t="shared" si="12"/>
        <v>100</v>
      </c>
      <c r="T28" s="667" t="s">
        <v>14</v>
      </c>
      <c r="U28" s="668">
        <f t="shared" si="13"/>
        <v>100</v>
      </c>
      <c r="V28" s="667" t="s">
        <v>14</v>
      </c>
      <c r="W28" s="668">
        <f t="shared" si="14"/>
        <v>100</v>
      </c>
      <c r="X28" s="1265"/>
      <c r="Y28" s="336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8"/>
      <c r="Q29" s="1263" t="str">
        <f t="shared" si="11"/>
        <v>成新率</v>
      </c>
      <c r="R29" s="667" t="s">
        <v>14</v>
      </c>
      <c r="S29" s="668" t="e">
        <f t="shared" si="12"/>
        <v>#N/A</v>
      </c>
      <c r="T29" s="667" t="s">
        <v>14</v>
      </c>
      <c r="U29" s="668" t="e">
        <f t="shared" si="13"/>
        <v>#N/A</v>
      </c>
      <c r="V29" s="667" t="s">
        <v>14</v>
      </c>
      <c r="W29" s="668" t="e">
        <f t="shared" si="14"/>
        <v>#N/A</v>
      </c>
      <c r="X29" s="1265"/>
      <c r="Y29" s="336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8"/>
      <c r="Q30" s="1263" t="str">
        <f t="shared" si="11"/>
        <v>物业等级</v>
      </c>
      <c r="R30" s="667" t="s">
        <v>14</v>
      </c>
      <c r="S30" s="668">
        <f t="shared" si="12"/>
        <v>100</v>
      </c>
      <c r="T30" s="667" t="s">
        <v>14</v>
      </c>
      <c r="U30" s="668">
        <f t="shared" si="13"/>
        <v>100</v>
      </c>
      <c r="V30" s="667" t="s">
        <v>14</v>
      </c>
      <c r="W30" s="668">
        <f t="shared" si="14"/>
        <v>100</v>
      </c>
      <c r="X30" s="1265"/>
      <c r="Y30" s="336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8"/>
      <c r="Q31" s="530" t="str">
        <f t="shared" si="11"/>
        <v>停车位面积</v>
      </c>
      <c r="R31" s="664" t="s">
        <v>14</v>
      </c>
      <c r="S31" s="665" t="e">
        <f t="shared" si="12"/>
        <v>#N/A</v>
      </c>
      <c r="T31" s="664" t="s">
        <v>14</v>
      </c>
      <c r="U31" s="665" t="e">
        <f t="shared" si="13"/>
        <v>#N/A</v>
      </c>
      <c r="V31" s="664" t="s">
        <v>14</v>
      </c>
      <c r="W31" s="665" t="e">
        <f t="shared" si="14"/>
        <v>#N/A</v>
      </c>
      <c r="X31" s="666"/>
      <c r="Y31" s="33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8" t="s">
        <v>1696</v>
      </c>
      <c r="Q32" s="1263" t="str">
        <f t="shared" si="11"/>
        <v>车位类型</v>
      </c>
      <c r="R32" s="667" t="s">
        <v>14</v>
      </c>
      <c r="S32" s="668">
        <f t="shared" si="12"/>
        <v>100</v>
      </c>
      <c r="T32" s="667" t="s">
        <v>14</v>
      </c>
      <c r="U32" s="668">
        <f t="shared" si="13"/>
        <v>100</v>
      </c>
      <c r="V32" s="667" t="s">
        <v>14</v>
      </c>
      <c r="W32" s="668">
        <f t="shared" si="14"/>
        <v>100</v>
      </c>
      <c r="X32" s="1265"/>
      <c r="Y32" s="336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8"/>
      <c r="Q33" s="1263" t="str">
        <f t="shared" si="11"/>
        <v>是否直接入户</v>
      </c>
      <c r="R33" s="667" t="s">
        <v>14</v>
      </c>
      <c r="S33" s="668">
        <f t="shared" si="12"/>
        <v>100</v>
      </c>
      <c r="T33" s="667" t="s">
        <v>14</v>
      </c>
      <c r="U33" s="668">
        <f t="shared" si="13"/>
        <v>100</v>
      </c>
      <c r="V33" s="667" t="s">
        <v>14</v>
      </c>
      <c r="W33" s="668">
        <f t="shared" si="14"/>
        <v>100</v>
      </c>
      <c r="X33" s="1265"/>
      <c r="Y33" s="33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8"/>
      <c r="Q35" s="531">
        <f t="shared" si="11"/>
        <v>111</v>
      </c>
      <c r="R35" s="669" t="s">
        <v>14</v>
      </c>
      <c r="S35" s="670">
        <f t="shared" si="12"/>
        <v>100</v>
      </c>
      <c r="T35" s="669" t="s">
        <v>14</v>
      </c>
      <c r="U35" s="670">
        <f t="shared" si="13"/>
        <v>100</v>
      </c>
      <c r="V35" s="669" t="s">
        <v>14</v>
      </c>
      <c r="W35" s="670">
        <f t="shared" si="14"/>
        <v>100</v>
      </c>
      <c r="X35" s="671"/>
      <c r="Y35" s="336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8"/>
      <c r="Q36" s="1263">
        <f t="shared" si="11"/>
        <v>111</v>
      </c>
      <c r="R36" s="667" t="s">
        <v>14</v>
      </c>
      <c r="S36" s="668">
        <f t="shared" si="12"/>
        <v>100</v>
      </c>
      <c r="T36" s="667" t="s">
        <v>14</v>
      </c>
      <c r="U36" s="668">
        <f t="shared" si="13"/>
        <v>100</v>
      </c>
      <c r="V36" s="667" t="s">
        <v>14</v>
      </c>
      <c r="W36" s="668">
        <f t="shared" si="14"/>
        <v>100</v>
      </c>
      <c r="X36" s="1265"/>
      <c r="Y36" s="3368"/>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56" t="str">
        <f>A37</f>
        <v>成交单价</v>
      </c>
      <c r="Q37" s="3356"/>
      <c r="R37" s="3357">
        <f>E37</f>
        <v>0</v>
      </c>
      <c r="S37" s="3357"/>
      <c r="T37" s="3357">
        <f>G37</f>
        <v>0</v>
      </c>
      <c r="U37" s="3357"/>
      <c r="V37" s="3357">
        <f>I37</f>
        <v>0</v>
      </c>
      <c r="W37" s="335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58" t="str">
        <f>A39</f>
        <v>估价对象XX用房的比较价值（楼面单价，元/平方米）</v>
      </c>
      <c r="Q39" s="3359"/>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5"/>
      <c r="M4" s="2486"/>
      <c r="N4" s="2486"/>
      <c r="O4" s="2486"/>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c r="A5" s="348"/>
      <c r="B5" s="349"/>
      <c r="C5" s="3428" t="s">
        <v>1673</v>
      </c>
      <c r="D5" s="3393"/>
      <c r="E5" s="3429" t="s">
        <v>1674</v>
      </c>
      <c r="F5" s="3430"/>
      <c r="G5" s="3428" t="s">
        <v>1675</v>
      </c>
      <c r="H5" s="3393"/>
      <c r="I5" s="3428" t="s">
        <v>1676</v>
      </c>
      <c r="J5" s="3393"/>
      <c r="K5" s="537"/>
      <c r="L5" s="2485"/>
      <c r="M5" s="2486"/>
      <c r="N5" s="2486"/>
      <c r="O5" s="2486"/>
      <c r="P5" s="3380"/>
      <c r="Q5" s="3381"/>
      <c r="R5" s="3386"/>
      <c r="S5" s="3387"/>
      <c r="T5" s="3386"/>
      <c r="U5" s="3387"/>
      <c r="V5" s="3357"/>
      <c r="W5" s="3357"/>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2485"/>
      <c r="M6" s="2486"/>
      <c r="N6" s="2486"/>
      <c r="O6" s="2486"/>
      <c r="P6" s="3382"/>
      <c r="Q6" s="3383"/>
      <c r="R6" s="3386"/>
      <c r="S6" s="3387"/>
      <c r="T6" s="3388"/>
      <c r="U6" s="3389"/>
      <c r="V6" s="3357"/>
      <c r="W6" s="3357"/>
      <c r="X6" s="1265"/>
      <c r="Y6" s="3388"/>
      <c r="Z6" s="3389"/>
      <c r="AA6" s="3373"/>
      <c r="AB6" s="3373"/>
      <c r="AC6" s="3373"/>
    </row>
    <row r="7" spans="1:29" s="102" customFormat="1" ht="15" thickBot="1">
      <c r="A7" s="352" t="s">
        <v>1679</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6"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6"/>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6"/>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4"/>
      <c r="Q15" s="1263"/>
      <c r="R15" s="667"/>
      <c r="S15" s="668"/>
      <c r="T15" s="667"/>
      <c r="U15" s="668"/>
      <c r="V15" s="667"/>
      <c r="W15" s="668"/>
      <c r="X15" s="1265"/>
      <c r="Y15" s="336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4"/>
      <c r="Q17" s="1263"/>
      <c r="R17" s="667"/>
      <c r="S17" s="668"/>
      <c r="T17" s="667"/>
      <c r="U17" s="668"/>
      <c r="V17" s="667"/>
      <c r="W17" s="668"/>
      <c r="X17" s="1265"/>
      <c r="Y17" s="336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4"/>
      <c r="Q19" s="1263"/>
      <c r="R19" s="667"/>
      <c r="S19" s="668"/>
      <c r="T19" s="667"/>
      <c r="U19" s="668"/>
      <c r="V19" s="667"/>
      <c r="W19" s="668"/>
      <c r="X19" s="1265"/>
      <c r="Y19" s="336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4"/>
      <c r="Q21" s="1263"/>
      <c r="R21" s="667"/>
      <c r="S21" s="668"/>
      <c r="T21" s="667"/>
      <c r="U21" s="668"/>
      <c r="V21" s="667"/>
      <c r="W21" s="668"/>
      <c r="X21" s="1265"/>
      <c r="Y21" s="336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4"/>
      <c r="Q24" s="1263">
        <f t="shared" ref="Q24:Q34"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8"/>
      <c r="Q27" s="531" t="str">
        <f t="shared" si="11"/>
        <v>成新率</v>
      </c>
      <c r="R27" s="669" t="s">
        <v>14</v>
      </c>
      <c r="S27" s="670" t="e">
        <f t="shared" si="12"/>
        <v>#N/A</v>
      </c>
      <c r="T27" s="669" t="s">
        <v>14</v>
      </c>
      <c r="U27" s="670" t="e">
        <f t="shared" si="13"/>
        <v>#N/A</v>
      </c>
      <c r="V27" s="669" t="s">
        <v>14</v>
      </c>
      <c r="W27" s="670" t="e">
        <f t="shared" si="14"/>
        <v>#N/A</v>
      </c>
      <c r="X27" s="671"/>
      <c r="Y27" s="336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8"/>
      <c r="Q28" s="1263" t="str">
        <f t="shared" si="11"/>
        <v>物业等级</v>
      </c>
      <c r="R28" s="667" t="s">
        <v>14</v>
      </c>
      <c r="S28" s="668">
        <f t="shared" si="12"/>
        <v>100</v>
      </c>
      <c r="T28" s="667" t="s">
        <v>14</v>
      </c>
      <c r="U28" s="668">
        <f t="shared" si="13"/>
        <v>100</v>
      </c>
      <c r="V28" s="667" t="s">
        <v>14</v>
      </c>
      <c r="W28" s="668">
        <f t="shared" si="14"/>
        <v>100</v>
      </c>
      <c r="X28" s="1265"/>
      <c r="Y28" s="336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8"/>
      <c r="Q29" s="1263" t="str">
        <f t="shared" si="11"/>
        <v>有无电梯</v>
      </c>
      <c r="R29" s="667" t="s">
        <v>14</v>
      </c>
      <c r="S29" s="668">
        <f t="shared" si="12"/>
        <v>100</v>
      </c>
      <c r="T29" s="667" t="s">
        <v>14</v>
      </c>
      <c r="U29" s="668">
        <f t="shared" si="13"/>
        <v>100</v>
      </c>
      <c r="V29" s="667" t="s">
        <v>14</v>
      </c>
      <c r="W29" s="668">
        <f t="shared" si="14"/>
        <v>100</v>
      </c>
      <c r="X29" s="1265"/>
      <c r="Y29" s="336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8"/>
      <c r="Q30" s="1263" t="str">
        <f t="shared" si="11"/>
        <v>建筑面积</v>
      </c>
      <c r="R30" s="667" t="s">
        <v>14</v>
      </c>
      <c r="S30" s="668" t="e">
        <f t="shared" si="12"/>
        <v>#N/A</v>
      </c>
      <c r="T30" s="667" t="s">
        <v>14</v>
      </c>
      <c r="U30" s="668" t="e">
        <f t="shared" si="13"/>
        <v>#N/A</v>
      </c>
      <c r="V30" s="667" t="s">
        <v>14</v>
      </c>
      <c r="W30" s="668" t="e">
        <f t="shared" si="14"/>
        <v>#N/A</v>
      </c>
      <c r="X30" s="1265"/>
      <c r="Y30" s="336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8"/>
      <c r="Q31" s="530" t="str">
        <f t="shared" si="11"/>
        <v>是否封闭</v>
      </c>
      <c r="R31" s="664" t="s">
        <v>14</v>
      </c>
      <c r="S31" s="665">
        <f t="shared" si="12"/>
        <v>100</v>
      </c>
      <c r="T31" s="664" t="s">
        <v>14</v>
      </c>
      <c r="U31" s="665">
        <f t="shared" si="13"/>
        <v>100</v>
      </c>
      <c r="V31" s="664" t="s">
        <v>14</v>
      </c>
      <c r="W31" s="665">
        <f t="shared" si="14"/>
        <v>100</v>
      </c>
      <c r="X31" s="666"/>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8" t="s">
        <v>1696</v>
      </c>
      <c r="Q32" s="1263">
        <f t="shared" si="11"/>
        <v>111</v>
      </c>
      <c r="R32" s="667" t="s">
        <v>14</v>
      </c>
      <c r="S32" s="668">
        <f t="shared" si="12"/>
        <v>100</v>
      </c>
      <c r="T32" s="667" t="s">
        <v>14</v>
      </c>
      <c r="U32" s="668">
        <f t="shared" si="13"/>
        <v>100</v>
      </c>
      <c r="V32" s="667" t="s">
        <v>14</v>
      </c>
      <c r="W32" s="668">
        <f t="shared" si="14"/>
        <v>100</v>
      </c>
      <c r="X32" s="1265"/>
      <c r="Y32" s="336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8"/>
      <c r="Q33" s="1263">
        <f t="shared" si="11"/>
        <v>111</v>
      </c>
      <c r="R33" s="667" t="s">
        <v>14</v>
      </c>
      <c r="S33" s="668">
        <f t="shared" si="12"/>
        <v>100</v>
      </c>
      <c r="T33" s="667" t="s">
        <v>14</v>
      </c>
      <c r="U33" s="668">
        <f t="shared" si="13"/>
        <v>100</v>
      </c>
      <c r="V33" s="667" t="s">
        <v>14</v>
      </c>
      <c r="W33" s="668">
        <f t="shared" si="14"/>
        <v>100</v>
      </c>
      <c r="X33" s="1265"/>
      <c r="Y33" s="336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56" t="str">
        <f>A35</f>
        <v>成交单价（元/平方米）</v>
      </c>
      <c r="Q35" s="3356"/>
      <c r="R35" s="3357">
        <f>E35</f>
        <v>0</v>
      </c>
      <c r="S35" s="3357"/>
      <c r="T35" s="3357">
        <f>G35</f>
        <v>0</v>
      </c>
      <c r="U35" s="3357"/>
      <c r="V35" s="3357">
        <f>I35</f>
        <v>0</v>
      </c>
      <c r="W35" s="335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58" t="str">
        <f>A37</f>
        <v>估价对象XX用房的比较价值（楼面单价，元/平方米）</v>
      </c>
      <c r="Q37" s="3359"/>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5"/>
      <c r="M4" s="2486"/>
      <c r="N4" s="2486"/>
      <c r="O4" s="2486"/>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c r="A5" s="348"/>
      <c r="B5" s="349"/>
      <c r="C5" s="3428" t="s">
        <v>1673</v>
      </c>
      <c r="D5" s="3393"/>
      <c r="E5" s="3429" t="s">
        <v>1674</v>
      </c>
      <c r="F5" s="3430"/>
      <c r="G5" s="3428" t="s">
        <v>1675</v>
      </c>
      <c r="H5" s="3393"/>
      <c r="I5" s="3428" t="s">
        <v>1676</v>
      </c>
      <c r="J5" s="3393"/>
      <c r="K5" s="537"/>
      <c r="L5" s="2485"/>
      <c r="M5" s="2486"/>
      <c r="N5" s="2486"/>
      <c r="O5" s="2486"/>
      <c r="P5" s="3380"/>
      <c r="Q5" s="3381"/>
      <c r="R5" s="3386"/>
      <c r="S5" s="3387"/>
      <c r="T5" s="3386"/>
      <c r="U5" s="3387"/>
      <c r="V5" s="3357"/>
      <c r="W5" s="3357"/>
      <c r="X5" s="1265"/>
      <c r="Y5" s="3386"/>
      <c r="Z5" s="3387"/>
      <c r="AA5" s="3372"/>
      <c r="AB5" s="3372"/>
      <c r="AC5" s="3372"/>
    </row>
    <row r="6" spans="1:29" ht="15" thickBot="1">
      <c r="A6" s="350"/>
      <c r="B6" s="351"/>
      <c r="C6" s="3390" t="s">
        <v>1677</v>
      </c>
      <c r="D6" s="3391"/>
      <c r="E6" s="3397" t="s">
        <v>1677</v>
      </c>
      <c r="F6" s="3398"/>
      <c r="G6" s="3390" t="s">
        <v>1677</v>
      </c>
      <c r="H6" s="3391"/>
      <c r="I6" s="3390" t="s">
        <v>1677</v>
      </c>
      <c r="J6" s="3391"/>
      <c r="K6" s="537" t="s">
        <v>1678</v>
      </c>
      <c r="L6" s="2485"/>
      <c r="M6" s="2486"/>
      <c r="N6" s="2486"/>
      <c r="O6" s="2486"/>
      <c r="P6" s="3382"/>
      <c r="Q6" s="3383"/>
      <c r="R6" s="3386"/>
      <c r="S6" s="3387"/>
      <c r="T6" s="3388"/>
      <c r="U6" s="3389"/>
      <c r="V6" s="3357"/>
      <c r="W6" s="3357"/>
      <c r="X6" s="1265"/>
      <c r="Y6" s="3388"/>
      <c r="Z6" s="3389"/>
      <c r="AA6" s="3373"/>
      <c r="AB6" s="3373"/>
      <c r="AC6" s="3373"/>
    </row>
    <row r="7" spans="1:29" s="102" customFormat="1" ht="15" thickBot="1">
      <c r="A7" s="352" t="s">
        <v>1679</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6"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56"/>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6"/>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3" t="s">
        <v>1691</v>
      </c>
      <c r="Q15" s="1263" t="str">
        <f t="shared" si="6"/>
        <v>居住社区成熟度</v>
      </c>
      <c r="R15" s="667" t="s">
        <v>14</v>
      </c>
      <c r="S15" s="668">
        <f t="shared" si="0"/>
        <v>100</v>
      </c>
      <c r="T15" s="667" t="s">
        <v>14</v>
      </c>
      <c r="U15" s="668">
        <f t="shared" si="1"/>
        <v>100</v>
      </c>
      <c r="V15" s="667" t="s">
        <v>14</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4"/>
      <c r="Q16" s="1263"/>
      <c r="R16" s="667"/>
      <c r="S16" s="668"/>
      <c r="T16" s="667"/>
      <c r="U16" s="668"/>
      <c r="V16" s="667"/>
      <c r="W16" s="668"/>
      <c r="X16" s="1265"/>
      <c r="Y16" s="336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4"/>
      <c r="Q17" s="1263" t="str">
        <f>B17</f>
        <v>商业繁华度</v>
      </c>
      <c r="R17" s="667" t="s">
        <v>14</v>
      </c>
      <c r="S17" s="668">
        <f>F17</f>
        <v>100</v>
      </c>
      <c r="T17" s="667" t="s">
        <v>14</v>
      </c>
      <c r="U17" s="668">
        <f>H17</f>
        <v>100</v>
      </c>
      <c r="V17" s="667" t="s">
        <v>14</v>
      </c>
      <c r="W17" s="668">
        <f>J17</f>
        <v>100</v>
      </c>
      <c r="X17" s="1265"/>
      <c r="Y17" s="33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4"/>
      <c r="Q18" s="1263"/>
      <c r="R18" s="667"/>
      <c r="S18" s="668"/>
      <c r="T18" s="667"/>
      <c r="U18" s="668"/>
      <c r="V18" s="667"/>
      <c r="W18" s="668"/>
      <c r="X18" s="1265"/>
      <c r="Y18" s="336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4"/>
      <c r="Q19" s="1263" t="str">
        <f>B19</f>
        <v>办公集聚程度</v>
      </c>
      <c r="R19" s="667" t="s">
        <v>14</v>
      </c>
      <c r="S19" s="668">
        <f>F19</f>
        <v>100</v>
      </c>
      <c r="T19" s="667" t="s">
        <v>14</v>
      </c>
      <c r="U19" s="668">
        <f>H19</f>
        <v>100</v>
      </c>
      <c r="V19" s="667" t="s">
        <v>14</v>
      </c>
      <c r="W19" s="668">
        <f>J19</f>
        <v>100</v>
      </c>
      <c r="X19" s="1265"/>
      <c r="Y19" s="33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4"/>
      <c r="Q20" s="1263"/>
      <c r="R20" s="667"/>
      <c r="S20" s="668"/>
      <c r="T20" s="667"/>
      <c r="U20" s="668"/>
      <c r="V20" s="667"/>
      <c r="W20" s="668"/>
      <c r="X20" s="1265"/>
      <c r="Y20" s="336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4"/>
      <c r="Q21" s="1263" t="str">
        <f>B21</f>
        <v>交通便捷度</v>
      </c>
      <c r="R21" s="667" t="s">
        <v>14</v>
      </c>
      <c r="S21" s="668">
        <f>F21</f>
        <v>100</v>
      </c>
      <c r="T21" s="667" t="s">
        <v>14</v>
      </c>
      <c r="U21" s="668">
        <f>H21</f>
        <v>100</v>
      </c>
      <c r="V21" s="667" t="s">
        <v>14</v>
      </c>
      <c r="W21" s="668">
        <f>J21</f>
        <v>100</v>
      </c>
      <c r="X21" s="1265"/>
      <c r="Y21" s="33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4"/>
      <c r="Q22" s="1263"/>
      <c r="R22" s="667"/>
      <c r="S22" s="668"/>
      <c r="T22" s="667"/>
      <c r="U22" s="668"/>
      <c r="V22" s="667"/>
      <c r="W22" s="668"/>
      <c r="X22" s="1265"/>
      <c r="Y22" s="336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4"/>
      <c r="Q23" s="1263" t="str">
        <f t="shared" ref="Q23:Q37" si="8">B23</f>
        <v>区域土地利用方向</v>
      </c>
      <c r="R23" s="667" t="s">
        <v>14</v>
      </c>
      <c r="S23" s="668">
        <f>F23</f>
        <v>100</v>
      </c>
      <c r="T23" s="667" t="s">
        <v>14</v>
      </c>
      <c r="U23" s="668">
        <f>H23</f>
        <v>100</v>
      </c>
      <c r="V23" s="667" t="s">
        <v>14</v>
      </c>
      <c r="W23" s="668">
        <f>J23</f>
        <v>100</v>
      </c>
      <c r="X23" s="1265"/>
      <c r="Y23" s="33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4"/>
      <c r="Q24" s="1263"/>
      <c r="R24" s="667"/>
      <c r="S24" s="668"/>
      <c r="T24" s="667"/>
      <c r="U24" s="668"/>
      <c r="V24" s="667"/>
      <c r="W24" s="668"/>
      <c r="X24" s="1265"/>
      <c r="Y24" s="336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4"/>
      <c r="Q25" s="1263" t="str">
        <f t="shared" si="8"/>
        <v>自然及人文环境状况</v>
      </c>
      <c r="R25" s="667" t="s">
        <v>14</v>
      </c>
      <c r="S25" s="668">
        <f>F25</f>
        <v>100</v>
      </c>
      <c r="T25" s="667" t="s">
        <v>14</v>
      </c>
      <c r="U25" s="668">
        <f>H25</f>
        <v>100</v>
      </c>
      <c r="V25" s="667" t="s">
        <v>14</v>
      </c>
      <c r="W25" s="668">
        <f>J25</f>
        <v>100</v>
      </c>
      <c r="X25" s="1265"/>
      <c r="Y25" s="33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4"/>
      <c r="Q26" s="1263"/>
      <c r="R26" s="667"/>
      <c r="S26" s="668"/>
      <c r="T26" s="667"/>
      <c r="U26" s="668"/>
      <c r="V26" s="667"/>
      <c r="W26" s="668"/>
      <c r="X26" s="1265"/>
      <c r="Y26" s="336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4"/>
      <c r="Q27" s="530" t="str">
        <f t="shared" si="8"/>
        <v>公共配套设施</v>
      </c>
      <c r="R27" s="664" t="s">
        <v>14</v>
      </c>
      <c r="S27" s="665">
        <f>F27</f>
        <v>100</v>
      </c>
      <c r="T27" s="664" t="s">
        <v>14</v>
      </c>
      <c r="U27" s="665">
        <f>H27</f>
        <v>100</v>
      </c>
      <c r="V27" s="664" t="s">
        <v>14</v>
      </c>
      <c r="W27" s="665">
        <f>J27</f>
        <v>100</v>
      </c>
      <c r="X27" s="666"/>
      <c r="Y27" s="33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4"/>
      <c r="Q28" s="530"/>
      <c r="R28" s="664"/>
      <c r="S28" s="665"/>
      <c r="T28" s="664"/>
      <c r="U28" s="665"/>
      <c r="V28" s="664"/>
      <c r="W28" s="665"/>
      <c r="X28" s="666"/>
      <c r="Y28" s="336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4"/>
      <c r="Q29" s="530" t="str">
        <f t="shared" ref="Q29" si="9">B29</f>
        <v>基础设施水平</v>
      </c>
      <c r="R29" s="664" t="s">
        <v>14</v>
      </c>
      <c r="S29" s="665">
        <f>F29</f>
        <v>100</v>
      </c>
      <c r="T29" s="664" t="s">
        <v>14</v>
      </c>
      <c r="U29" s="665">
        <f>H29</f>
        <v>100</v>
      </c>
      <c r="V29" s="664" t="s">
        <v>14</v>
      </c>
      <c r="W29" s="665">
        <f>J29</f>
        <v>100</v>
      </c>
      <c r="X29" s="666"/>
      <c r="Y29" s="33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4"/>
      <c r="Q30" s="530"/>
      <c r="R30" s="664"/>
      <c r="S30" s="665"/>
      <c r="T30" s="664"/>
      <c r="U30" s="665"/>
      <c r="V30" s="664"/>
      <c r="W30" s="665"/>
      <c r="X30" s="666"/>
      <c r="Y30" s="336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4"/>
      <c r="Q32" s="1263" t="str">
        <f t="shared" si="8"/>
        <v>毗邻道路的类型与等级</v>
      </c>
      <c r="R32" s="667" t="s">
        <v>14</v>
      </c>
      <c r="S32" s="668">
        <f t="shared" si="10"/>
        <v>100</v>
      </c>
      <c r="T32" s="667" t="s">
        <v>14</v>
      </c>
      <c r="U32" s="668">
        <f t="shared" si="11"/>
        <v>100</v>
      </c>
      <c r="V32" s="667" t="s">
        <v>14</v>
      </c>
      <c r="W32" s="668">
        <f t="shared" si="12"/>
        <v>100</v>
      </c>
      <c r="X32" s="1265"/>
      <c r="Y32" s="33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4"/>
      <c r="Q33" s="1263"/>
      <c r="R33" s="667"/>
      <c r="S33" s="668"/>
      <c r="T33" s="667"/>
      <c r="U33" s="668"/>
      <c r="V33" s="667"/>
      <c r="W33" s="668"/>
      <c r="X33" s="1265"/>
      <c r="Y33" s="336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4"/>
      <c r="Q34" s="1263" t="str">
        <f t="shared" si="8"/>
        <v>土地级别</v>
      </c>
      <c r="R34" s="667" t="s">
        <v>14</v>
      </c>
      <c r="S34" s="668">
        <f t="shared" si="10"/>
        <v>100</v>
      </c>
      <c r="T34" s="667" t="s">
        <v>14</v>
      </c>
      <c r="U34" s="668">
        <f t="shared" si="11"/>
        <v>100</v>
      </c>
      <c r="V34" s="667" t="s">
        <v>14</v>
      </c>
      <c r="W34" s="668">
        <f t="shared" si="12"/>
        <v>100</v>
      </c>
      <c r="X34" s="1265"/>
      <c r="Y34" s="33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4"/>
      <c r="Q35" s="1263">
        <f t="shared" si="8"/>
        <v>111</v>
      </c>
      <c r="R35" s="667" t="s">
        <v>14</v>
      </c>
      <c r="S35" s="668">
        <f t="shared" si="10"/>
        <v>100</v>
      </c>
      <c r="T35" s="667" t="s">
        <v>14</v>
      </c>
      <c r="U35" s="668">
        <f t="shared" si="11"/>
        <v>100</v>
      </c>
      <c r="V35" s="667" t="s">
        <v>14</v>
      </c>
      <c r="W35" s="668">
        <f t="shared" si="12"/>
        <v>100</v>
      </c>
      <c r="X35" s="1265"/>
      <c r="Y35" s="33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6" t="s">
        <v>1696</v>
      </c>
      <c r="Q36" s="1263">
        <f t="shared" si="8"/>
        <v>111</v>
      </c>
      <c r="R36" s="667" t="s">
        <v>14</v>
      </c>
      <c r="S36" s="668">
        <f t="shared" si="10"/>
        <v>100</v>
      </c>
      <c r="T36" s="667" t="s">
        <v>14</v>
      </c>
      <c r="U36" s="668">
        <f t="shared" si="11"/>
        <v>100</v>
      </c>
      <c r="V36" s="667" t="s">
        <v>14</v>
      </c>
      <c r="W36" s="668">
        <f t="shared" si="12"/>
        <v>100</v>
      </c>
      <c r="X36" s="1265"/>
      <c r="Y36" s="336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8"/>
      <c r="Q37" s="1263">
        <f t="shared" si="8"/>
        <v>111</v>
      </c>
      <c r="R37" s="669" t="s">
        <v>14</v>
      </c>
      <c r="S37" s="670">
        <f t="shared" si="10"/>
        <v>100</v>
      </c>
      <c r="T37" s="669" t="s">
        <v>14</v>
      </c>
      <c r="U37" s="670">
        <f t="shared" si="11"/>
        <v>100</v>
      </c>
      <c r="V37" s="669" t="s">
        <v>14</v>
      </c>
      <c r="W37" s="670">
        <f t="shared" si="12"/>
        <v>100</v>
      </c>
      <c r="X37" s="671"/>
      <c r="Y37" s="336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8"/>
      <c r="Q38" s="1263" t="str">
        <f>B38</f>
        <v>宗地面积</v>
      </c>
      <c r="R38" s="667" t="s">
        <v>14</v>
      </c>
      <c r="S38" s="668" t="e">
        <f t="shared" si="10"/>
        <v>#N/A</v>
      </c>
      <c r="T38" s="667" t="s">
        <v>14</v>
      </c>
      <c r="U38" s="668" t="e">
        <f t="shared" si="11"/>
        <v>#N/A</v>
      </c>
      <c r="V38" s="667" t="s">
        <v>14</v>
      </c>
      <c r="W38" s="668" t="e">
        <f t="shared" si="12"/>
        <v>#N/A</v>
      </c>
      <c r="X38" s="1265"/>
      <c r="Y38" s="336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68"/>
      <c r="Q39" s="1263" t="str">
        <f t="shared" ref="Q39:Q45" si="14">B39</f>
        <v>宗地形状</v>
      </c>
      <c r="R39" s="667" t="s">
        <v>14</v>
      </c>
      <c r="S39" s="668">
        <f t="shared" si="10"/>
        <v>100</v>
      </c>
      <c r="T39" s="667" t="s">
        <v>14</v>
      </c>
      <c r="U39" s="668">
        <f t="shared" si="11"/>
        <v>100</v>
      </c>
      <c r="V39" s="667" t="s">
        <v>14</v>
      </c>
      <c r="W39" s="668">
        <f t="shared" si="12"/>
        <v>100</v>
      </c>
      <c r="X39" s="1265"/>
      <c r="Y39" s="336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68"/>
      <c r="Q40" s="1263" t="str">
        <f t="shared" si="14"/>
        <v>临街宽度及深度</v>
      </c>
      <c r="R40" s="667" t="s">
        <v>14</v>
      </c>
      <c r="S40" s="668">
        <f t="shared" si="10"/>
        <v>100</v>
      </c>
      <c r="T40" s="667" t="s">
        <v>14</v>
      </c>
      <c r="U40" s="668">
        <f t="shared" si="11"/>
        <v>100</v>
      </c>
      <c r="V40" s="667" t="s">
        <v>14</v>
      </c>
      <c r="W40" s="668">
        <f t="shared" si="12"/>
        <v>100</v>
      </c>
      <c r="X40" s="1265"/>
      <c r="Y40" s="336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68"/>
      <c r="Q41" s="1263" t="str">
        <f t="shared" si="14"/>
        <v>宗地开发程度</v>
      </c>
      <c r="R41" s="664" t="s">
        <v>14</v>
      </c>
      <c r="S41" s="665">
        <f t="shared" si="10"/>
        <v>100</v>
      </c>
      <c r="T41" s="664" t="s">
        <v>14</v>
      </c>
      <c r="U41" s="665">
        <f t="shared" si="11"/>
        <v>100</v>
      </c>
      <c r="V41" s="664" t="s">
        <v>14</v>
      </c>
      <c r="W41" s="665">
        <f t="shared" si="12"/>
        <v>100</v>
      </c>
      <c r="X41" s="666"/>
      <c r="Y41" s="336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68" t="s">
        <v>1696</v>
      </c>
      <c r="Q42" s="1263" t="str">
        <f t="shared" si="14"/>
        <v>工程地质条件</v>
      </c>
      <c r="R42" s="667" t="s">
        <v>14</v>
      </c>
      <c r="S42" s="668">
        <f t="shared" si="10"/>
        <v>100</v>
      </c>
      <c r="T42" s="667" t="s">
        <v>14</v>
      </c>
      <c r="U42" s="668">
        <f t="shared" si="11"/>
        <v>100</v>
      </c>
      <c r="V42" s="667" t="s">
        <v>14</v>
      </c>
      <c r="W42" s="668">
        <f t="shared" si="12"/>
        <v>100</v>
      </c>
      <c r="X42" s="1265"/>
      <c r="Y42" s="336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8"/>
      <c r="Q43" s="1263">
        <f t="shared" si="14"/>
        <v>111</v>
      </c>
      <c r="R43" s="667" t="s">
        <v>14</v>
      </c>
      <c r="S43" s="668">
        <f t="shared" si="10"/>
        <v>100</v>
      </c>
      <c r="T43" s="667" t="s">
        <v>14</v>
      </c>
      <c r="U43" s="668">
        <f t="shared" si="11"/>
        <v>100</v>
      </c>
      <c r="V43" s="667" t="s">
        <v>14</v>
      </c>
      <c r="W43" s="668">
        <f t="shared" si="12"/>
        <v>100</v>
      </c>
      <c r="X43" s="1265"/>
      <c r="Y43" s="33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8"/>
      <c r="Q44" s="1263">
        <f t="shared" si="14"/>
        <v>111</v>
      </c>
      <c r="R44" s="667" t="s">
        <v>14</v>
      </c>
      <c r="S44" s="668">
        <f t="shared" si="10"/>
        <v>100</v>
      </c>
      <c r="T44" s="667" t="s">
        <v>14</v>
      </c>
      <c r="U44" s="668">
        <f t="shared" si="11"/>
        <v>100</v>
      </c>
      <c r="V44" s="667" t="s">
        <v>14</v>
      </c>
      <c r="W44" s="668">
        <f t="shared" si="12"/>
        <v>100</v>
      </c>
      <c r="X44" s="1265"/>
      <c r="Y44" s="336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8"/>
      <c r="Q45" s="1263">
        <f t="shared" si="14"/>
        <v>111</v>
      </c>
      <c r="R45" s="669" t="s">
        <v>14</v>
      </c>
      <c r="S45" s="670">
        <f t="shared" si="10"/>
        <v>100</v>
      </c>
      <c r="T45" s="669" t="s">
        <v>14</v>
      </c>
      <c r="U45" s="670">
        <f t="shared" si="11"/>
        <v>100</v>
      </c>
      <c r="V45" s="669" t="s">
        <v>14</v>
      </c>
      <c r="W45" s="670">
        <f t="shared" si="12"/>
        <v>100</v>
      </c>
      <c r="X45" s="671"/>
      <c r="Y45" s="336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56" t="str">
        <f>A46</f>
        <v>成交单价</v>
      </c>
      <c r="Q46" s="3356"/>
      <c r="R46" s="3357">
        <f>E46</f>
        <v>0</v>
      </c>
      <c r="S46" s="3357"/>
      <c r="T46" s="3357">
        <f>G46</f>
        <v>0</v>
      </c>
      <c r="U46" s="3357"/>
      <c r="V46" s="3357">
        <f>I46</f>
        <v>0</v>
      </c>
      <c r="W46" s="335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56" t="str">
        <f>A47</f>
        <v>比较价值（元/平方米）</v>
      </c>
      <c r="Q47" s="3356"/>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58" t="str">
        <f>A48</f>
        <v>估价对象XX用房的比较价值（楼面单价，元/平方米）</v>
      </c>
      <c r="Q48" s="3359"/>
      <c r="R48" s="3449" t="e">
        <f>ROUND(IF(D47="简单平均",AVERAGE(R47:W47),R47*F47+T47*H47+V47*J47),0)</f>
        <v>#DIV/0!</v>
      </c>
      <c r="S48" s="3449"/>
      <c r="T48" s="3449"/>
      <c r="U48" s="3449"/>
      <c r="V48" s="3449"/>
      <c r="W48" s="344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4" t="s">
        <v>1887</v>
      </c>
      <c r="H55" s="345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108.03</v>
      </c>
      <c r="F56" s="833" t="e">
        <f t="shared" ref="F56:F64" si="15">ROUND(B56*E56/10000,0)</f>
        <v>#DIV/0!</v>
      </c>
      <c r="G56" s="3370"/>
      <c r="H56" s="335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108.03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4" t="s">
        <v>1770</v>
      </c>
      <c r="D4" s="3375"/>
      <c r="E4" s="3376" t="s">
        <v>1771</v>
      </c>
      <c r="F4" s="3377"/>
      <c r="G4" s="3374" t="s">
        <v>1772</v>
      </c>
      <c r="H4" s="3375"/>
      <c r="I4" s="3374" t="s">
        <v>1773</v>
      </c>
      <c r="J4" s="3375"/>
      <c r="K4" s="537" t="s">
        <v>1774</v>
      </c>
      <c r="L4" s="2485"/>
      <c r="M4" s="2486"/>
      <c r="N4" s="2486"/>
      <c r="O4" s="2486"/>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c r="A5" s="348"/>
      <c r="B5" s="349"/>
      <c r="C5" s="3428" t="s">
        <v>1673</v>
      </c>
      <c r="D5" s="3393"/>
      <c r="E5" s="3429" t="s">
        <v>1674</v>
      </c>
      <c r="F5" s="3430"/>
      <c r="G5" s="3428" t="s">
        <v>1675</v>
      </c>
      <c r="H5" s="3393"/>
      <c r="I5" s="3428" t="s">
        <v>1676</v>
      </c>
      <c r="J5" s="3393"/>
      <c r="K5" s="537"/>
      <c r="L5" s="2485"/>
      <c r="M5" s="2486"/>
      <c r="N5" s="2486"/>
      <c r="O5" s="2486"/>
      <c r="P5" s="3380"/>
      <c r="Q5" s="3381"/>
      <c r="R5" s="3386"/>
      <c r="S5" s="3387"/>
      <c r="T5" s="3386"/>
      <c r="U5" s="3387"/>
      <c r="V5" s="3357"/>
      <c r="W5" s="3357"/>
      <c r="X5" s="1265"/>
      <c r="Y5" s="3386"/>
      <c r="Z5" s="3387"/>
      <c r="AA5" s="3372"/>
      <c r="AB5" s="3372"/>
      <c r="AC5" s="3372"/>
    </row>
    <row r="6" spans="1:29" ht="15" thickBot="1">
      <c r="A6" s="350"/>
      <c r="B6" s="351"/>
      <c r="C6" s="3451" t="s">
        <v>1919</v>
      </c>
      <c r="D6" s="3452"/>
      <c r="E6" s="3453" t="s">
        <v>1919</v>
      </c>
      <c r="F6" s="3454"/>
      <c r="G6" s="3451" t="s">
        <v>1919</v>
      </c>
      <c r="H6" s="3452"/>
      <c r="I6" s="3451" t="s">
        <v>1919</v>
      </c>
      <c r="J6" s="3452"/>
      <c r="K6" s="537" t="s">
        <v>1678</v>
      </c>
      <c r="L6" s="2485"/>
      <c r="M6" s="2486"/>
      <c r="N6" s="2486"/>
      <c r="O6" s="2486"/>
      <c r="P6" s="3382"/>
      <c r="Q6" s="3383"/>
      <c r="R6" s="3386"/>
      <c r="S6" s="3387"/>
      <c r="T6" s="3388"/>
      <c r="U6" s="3389"/>
      <c r="V6" s="3357"/>
      <c r="W6" s="3357"/>
      <c r="X6" s="1265"/>
      <c r="Y6" s="3388"/>
      <c r="Z6" s="3389"/>
      <c r="AA6" s="3373"/>
      <c r="AB6" s="3373"/>
      <c r="AC6" s="3373"/>
    </row>
    <row r="7" spans="1:29" s="102" customFormat="1" ht="15" thickBot="1">
      <c r="A7" s="352" t="s">
        <v>1679</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6"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56"/>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4"/>
      <c r="Q16" s="1263"/>
      <c r="R16" s="667"/>
      <c r="S16" s="668"/>
      <c r="T16" s="667"/>
      <c r="U16" s="668"/>
      <c r="V16" s="667"/>
      <c r="W16" s="668"/>
      <c r="X16" s="1265"/>
      <c r="Y16" s="336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4"/>
      <c r="Q18" s="1263"/>
      <c r="R18" s="667"/>
      <c r="S18" s="668"/>
      <c r="T18" s="667"/>
      <c r="U18" s="668"/>
      <c r="V18" s="667"/>
      <c r="W18" s="668"/>
      <c r="X18" s="1265"/>
      <c r="Y18" s="336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4"/>
      <c r="Q19" s="1263" t="str">
        <f t="shared" ref="Q19:Q33" si="8">B19</f>
        <v>区域土地利用方向</v>
      </c>
      <c r="R19" s="667" t="s">
        <v>14</v>
      </c>
      <c r="S19" s="668">
        <f>F19</f>
        <v>100</v>
      </c>
      <c r="T19" s="667" t="s">
        <v>14</v>
      </c>
      <c r="U19" s="668">
        <f>H19</f>
        <v>100</v>
      </c>
      <c r="V19" s="667" t="s">
        <v>14</v>
      </c>
      <c r="W19" s="668">
        <f>J19</f>
        <v>100</v>
      </c>
      <c r="X19" s="1265"/>
      <c r="Y19" s="33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4"/>
      <c r="Q20" s="1263"/>
      <c r="R20" s="667"/>
      <c r="S20" s="668"/>
      <c r="T20" s="667"/>
      <c r="U20" s="668"/>
      <c r="V20" s="667"/>
      <c r="W20" s="668"/>
      <c r="X20" s="1265"/>
      <c r="Y20" s="336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4"/>
      <c r="Q21" s="1263" t="str">
        <f t="shared" si="8"/>
        <v>环境状况</v>
      </c>
      <c r="R21" s="667" t="s">
        <v>14</v>
      </c>
      <c r="S21" s="668">
        <f>F21</f>
        <v>100</v>
      </c>
      <c r="T21" s="667" t="s">
        <v>14</v>
      </c>
      <c r="U21" s="668">
        <f>H21</f>
        <v>100</v>
      </c>
      <c r="V21" s="667" t="s">
        <v>14</v>
      </c>
      <c r="W21" s="668">
        <f>J21</f>
        <v>100</v>
      </c>
      <c r="X21" s="1265"/>
      <c r="Y21" s="33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4"/>
      <c r="Q22" s="1263"/>
      <c r="R22" s="667"/>
      <c r="S22" s="668"/>
      <c r="T22" s="667"/>
      <c r="U22" s="668"/>
      <c r="V22" s="667"/>
      <c r="W22" s="668"/>
      <c r="X22" s="1265"/>
      <c r="Y22" s="336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4"/>
      <c r="Q23" s="530" t="str">
        <f t="shared" si="8"/>
        <v>公共配套设施</v>
      </c>
      <c r="R23" s="664" t="s">
        <v>14</v>
      </c>
      <c r="S23" s="665">
        <f>F23</f>
        <v>100</v>
      </c>
      <c r="T23" s="664" t="s">
        <v>14</v>
      </c>
      <c r="U23" s="665">
        <f>H23</f>
        <v>100</v>
      </c>
      <c r="V23" s="664" t="s">
        <v>14</v>
      </c>
      <c r="W23" s="665">
        <f>J23</f>
        <v>100</v>
      </c>
      <c r="X23" s="666"/>
      <c r="Y23" s="33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4"/>
      <c r="Q24" s="530"/>
      <c r="R24" s="664"/>
      <c r="S24" s="665"/>
      <c r="T24" s="664"/>
      <c r="U24" s="665"/>
      <c r="V24" s="664"/>
      <c r="W24" s="665"/>
      <c r="X24" s="666"/>
      <c r="Y24" s="336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4"/>
      <c r="Q25" s="530" t="str">
        <f t="shared" ref="Q25" si="9">B25</f>
        <v>基础设施水平</v>
      </c>
      <c r="R25" s="664" t="s">
        <v>14</v>
      </c>
      <c r="S25" s="665">
        <f>F25</f>
        <v>100</v>
      </c>
      <c r="T25" s="664" t="s">
        <v>14</v>
      </c>
      <c r="U25" s="665">
        <f>H25</f>
        <v>100</v>
      </c>
      <c r="V25" s="664" t="s">
        <v>14</v>
      </c>
      <c r="W25" s="665">
        <f>J25</f>
        <v>100</v>
      </c>
      <c r="X25" s="666"/>
      <c r="Y25" s="33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4"/>
      <c r="Q26" s="530"/>
      <c r="R26" s="664"/>
      <c r="S26" s="665"/>
      <c r="T26" s="664"/>
      <c r="U26" s="665"/>
      <c r="V26" s="664"/>
      <c r="W26" s="665"/>
      <c r="X26" s="666"/>
      <c r="Y26" s="33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4"/>
      <c r="Q28" s="1263" t="str">
        <f t="shared" si="8"/>
        <v>毗邻道路的类型与等级</v>
      </c>
      <c r="R28" s="667" t="s">
        <v>14</v>
      </c>
      <c r="S28" s="668">
        <f t="shared" si="10"/>
        <v>100</v>
      </c>
      <c r="T28" s="667" t="s">
        <v>14</v>
      </c>
      <c r="U28" s="668">
        <f t="shared" si="11"/>
        <v>100</v>
      </c>
      <c r="V28" s="667" t="s">
        <v>14</v>
      </c>
      <c r="W28" s="668">
        <f t="shared" si="12"/>
        <v>100</v>
      </c>
      <c r="X28" s="1265"/>
      <c r="Y28" s="33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4"/>
      <c r="Q29" s="1263"/>
      <c r="R29" s="667"/>
      <c r="S29" s="668"/>
      <c r="T29" s="667"/>
      <c r="U29" s="668"/>
      <c r="V29" s="667"/>
      <c r="W29" s="668"/>
      <c r="X29" s="1265"/>
      <c r="Y29" s="336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4"/>
      <c r="Q30" s="1263" t="str">
        <f t="shared" si="8"/>
        <v>土地级别</v>
      </c>
      <c r="R30" s="667" t="s">
        <v>14</v>
      </c>
      <c r="S30" s="668">
        <f t="shared" si="10"/>
        <v>100</v>
      </c>
      <c r="T30" s="667" t="s">
        <v>14</v>
      </c>
      <c r="U30" s="668">
        <f t="shared" si="11"/>
        <v>100</v>
      </c>
      <c r="V30" s="667" t="s">
        <v>14</v>
      </c>
      <c r="W30" s="668">
        <f t="shared" si="12"/>
        <v>100</v>
      </c>
      <c r="X30" s="1265"/>
      <c r="Y30" s="33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4"/>
      <c r="Q31" s="1263">
        <f t="shared" si="8"/>
        <v>111</v>
      </c>
      <c r="R31" s="667" t="s">
        <v>14</v>
      </c>
      <c r="S31" s="668">
        <f t="shared" si="10"/>
        <v>100</v>
      </c>
      <c r="T31" s="667" t="s">
        <v>14</v>
      </c>
      <c r="U31" s="668">
        <f t="shared" si="11"/>
        <v>100</v>
      </c>
      <c r="V31" s="667" t="s">
        <v>14</v>
      </c>
      <c r="W31" s="668">
        <f t="shared" si="12"/>
        <v>100</v>
      </c>
      <c r="X31" s="1265"/>
      <c r="Y31" s="33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6" t="s">
        <v>1696</v>
      </c>
      <c r="Q32" s="1263">
        <f t="shared" si="8"/>
        <v>111</v>
      </c>
      <c r="R32" s="667" t="s">
        <v>14</v>
      </c>
      <c r="S32" s="668">
        <f t="shared" si="10"/>
        <v>100</v>
      </c>
      <c r="T32" s="667" t="s">
        <v>14</v>
      </c>
      <c r="U32" s="668">
        <f t="shared" si="11"/>
        <v>100</v>
      </c>
      <c r="V32" s="667" t="s">
        <v>14</v>
      </c>
      <c r="W32" s="668">
        <f t="shared" si="12"/>
        <v>100</v>
      </c>
      <c r="X32" s="1265"/>
      <c r="Y32" s="336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8"/>
      <c r="Q33" s="1263">
        <f t="shared" si="8"/>
        <v>111</v>
      </c>
      <c r="R33" s="669" t="s">
        <v>14</v>
      </c>
      <c r="S33" s="670">
        <f t="shared" si="10"/>
        <v>100</v>
      </c>
      <c r="T33" s="669" t="s">
        <v>14</v>
      </c>
      <c r="U33" s="670">
        <f t="shared" si="11"/>
        <v>100</v>
      </c>
      <c r="V33" s="669" t="s">
        <v>14</v>
      </c>
      <c r="W33" s="670">
        <f t="shared" si="12"/>
        <v>100</v>
      </c>
      <c r="X33" s="671"/>
      <c r="Y33" s="336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8"/>
      <c r="Q34" s="1263" t="str">
        <f>B34</f>
        <v>宗地面积</v>
      </c>
      <c r="R34" s="667" t="s">
        <v>14</v>
      </c>
      <c r="S34" s="668" t="e">
        <f t="shared" si="10"/>
        <v>#N/A</v>
      </c>
      <c r="T34" s="667" t="s">
        <v>14</v>
      </c>
      <c r="U34" s="668" t="e">
        <f t="shared" si="11"/>
        <v>#N/A</v>
      </c>
      <c r="V34" s="667" t="s">
        <v>14</v>
      </c>
      <c r="W34" s="668" t="e">
        <f t="shared" si="12"/>
        <v>#N/A</v>
      </c>
      <c r="X34" s="1265"/>
      <c r="Y34" s="336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68"/>
      <c r="Q35" s="1263" t="str">
        <f t="shared" ref="Q35:Q40" si="14">B35</f>
        <v>宗地形状</v>
      </c>
      <c r="R35" s="667" t="s">
        <v>14</v>
      </c>
      <c r="S35" s="668">
        <f t="shared" si="10"/>
        <v>100</v>
      </c>
      <c r="T35" s="667" t="s">
        <v>14</v>
      </c>
      <c r="U35" s="668">
        <f t="shared" si="11"/>
        <v>100</v>
      </c>
      <c r="V35" s="667" t="s">
        <v>14</v>
      </c>
      <c r="W35" s="668">
        <f t="shared" si="12"/>
        <v>100</v>
      </c>
      <c r="X35" s="1265"/>
      <c r="Y35" s="336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68"/>
      <c r="Q36" s="1263" t="str">
        <f t="shared" si="14"/>
        <v>宗地开发程度</v>
      </c>
      <c r="R36" s="664" t="s">
        <v>14</v>
      </c>
      <c r="S36" s="665">
        <f t="shared" si="10"/>
        <v>100</v>
      </c>
      <c r="T36" s="664" t="s">
        <v>14</v>
      </c>
      <c r="U36" s="665">
        <f t="shared" si="11"/>
        <v>100</v>
      </c>
      <c r="V36" s="664" t="s">
        <v>14</v>
      </c>
      <c r="W36" s="665">
        <f t="shared" si="12"/>
        <v>100</v>
      </c>
      <c r="X36" s="666"/>
      <c r="Y36" s="336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68" t="s">
        <v>1696</v>
      </c>
      <c r="Q37" s="1263" t="str">
        <f t="shared" si="14"/>
        <v>工程地质条件</v>
      </c>
      <c r="R37" s="667" t="s">
        <v>14</v>
      </c>
      <c r="S37" s="668">
        <f t="shared" si="10"/>
        <v>100</v>
      </c>
      <c r="T37" s="667" t="s">
        <v>14</v>
      </c>
      <c r="U37" s="668">
        <f t="shared" si="11"/>
        <v>100</v>
      </c>
      <c r="V37" s="667" t="s">
        <v>14</v>
      </c>
      <c r="W37" s="668">
        <f t="shared" si="12"/>
        <v>100</v>
      </c>
      <c r="X37" s="1265"/>
      <c r="Y37" s="336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8"/>
      <c r="Q38" s="1263">
        <f t="shared" si="14"/>
        <v>111</v>
      </c>
      <c r="R38" s="667" t="s">
        <v>14</v>
      </c>
      <c r="S38" s="668">
        <f t="shared" si="10"/>
        <v>100</v>
      </c>
      <c r="T38" s="667" t="s">
        <v>14</v>
      </c>
      <c r="U38" s="668">
        <f t="shared" si="11"/>
        <v>100</v>
      </c>
      <c r="V38" s="667" t="s">
        <v>14</v>
      </c>
      <c r="W38" s="668">
        <f t="shared" si="12"/>
        <v>100</v>
      </c>
      <c r="X38" s="1265"/>
      <c r="Y38" s="33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8"/>
      <c r="Q39" s="1263">
        <f t="shared" si="14"/>
        <v>111</v>
      </c>
      <c r="R39" s="667" t="s">
        <v>14</v>
      </c>
      <c r="S39" s="668">
        <f t="shared" si="10"/>
        <v>100</v>
      </c>
      <c r="T39" s="667" t="s">
        <v>14</v>
      </c>
      <c r="U39" s="668">
        <f t="shared" si="11"/>
        <v>100</v>
      </c>
      <c r="V39" s="667" t="s">
        <v>14</v>
      </c>
      <c r="W39" s="668">
        <f t="shared" si="12"/>
        <v>100</v>
      </c>
      <c r="X39" s="1265"/>
      <c r="Y39" s="336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8"/>
      <c r="Q40" s="1263">
        <f t="shared" si="14"/>
        <v>111</v>
      </c>
      <c r="R40" s="669" t="s">
        <v>14</v>
      </c>
      <c r="S40" s="670">
        <f t="shared" si="10"/>
        <v>100</v>
      </c>
      <c r="T40" s="669" t="s">
        <v>14</v>
      </c>
      <c r="U40" s="670">
        <f t="shared" si="11"/>
        <v>100</v>
      </c>
      <c r="V40" s="669" t="s">
        <v>14</v>
      </c>
      <c r="W40" s="670">
        <f t="shared" si="12"/>
        <v>100</v>
      </c>
      <c r="X40" s="671"/>
      <c r="Y40" s="336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56" t="str">
        <f>A41</f>
        <v>成交单价</v>
      </c>
      <c r="Q41" s="3356"/>
      <c r="R41" s="3357">
        <f>E41</f>
        <v>0</v>
      </c>
      <c r="S41" s="3357"/>
      <c r="T41" s="3357">
        <f>G41</f>
        <v>0</v>
      </c>
      <c r="U41" s="3357"/>
      <c r="V41" s="3357">
        <f>I41</f>
        <v>0</v>
      </c>
      <c r="W41" s="335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56" t="str">
        <f>A42</f>
        <v>比较价值（元/平方米）</v>
      </c>
      <c r="Q42" s="3356"/>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58" t="str">
        <f>A43</f>
        <v>估价对象XX用房的比较价值（楼面单价，元/平方米）</v>
      </c>
      <c r="Q43" s="3359"/>
      <c r="R43" s="3449" t="e">
        <f>ROUND(IF(D42="简单平均",AVERAGE(R42:W42),R42*F42+T42*H42+V42*J42),0)</f>
        <v>#DIV/0!</v>
      </c>
      <c r="S43" s="3449"/>
      <c r="T43" s="3449"/>
      <c r="U43" s="3449"/>
      <c r="V43" s="3449"/>
      <c r="W43" s="344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4" t="s">
        <v>1887</v>
      </c>
      <c r="H50" s="345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108.03</v>
      </c>
      <c r="F51" s="611" t="e">
        <f t="shared" ref="F51:F60" si="15">ROUND(B51*E51/10000,0)</f>
        <v>#DIV/0!</v>
      </c>
      <c r="G51" s="3370"/>
      <c r="H51" s="335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108.03</v>
      </c>
      <c r="F2" s="2543"/>
      <c r="G2" s="2543"/>
      <c r="H2" s="2543"/>
      <c r="I2" s="2543"/>
      <c r="J2" s="2543"/>
      <c r="K2" s="2543"/>
      <c r="L2" s="2543"/>
      <c r="M2" s="2543"/>
      <c r="N2" s="2543"/>
      <c r="O2" s="2543"/>
      <c r="P2" s="2543"/>
    </row>
    <row r="3" spans="1:16" ht="15.6">
      <c r="A3" s="1984" t="s">
        <v>2076</v>
      </c>
      <c r="B3" s="2387">
        <f ca="1">ROUND(B2*10000/E2,0)</f>
        <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0</v>
      </c>
      <c r="C6" s="1984" t="s">
        <v>2074</v>
      </c>
      <c r="D6" s="2543"/>
      <c r="E6" s="2397">
        <f ca="1">SUMIF(INDIRECT("'"&amp;A6&amp;"'"&amp;"!C:C"),"建筑面积",INDIRECT("'"&amp;A6&amp;"'"&amp;"!D:D"))</f>
        <v>108.03</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0" sqref="K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305.77199999999999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28304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1938399</v>
      </c>
      <c r="D5" s="203" t="s">
        <v>1469</v>
      </c>
      <c r="E5" s="204" t="s">
        <v>1470</v>
      </c>
      <c r="F5" s="204" t="s">
        <v>1471</v>
      </c>
      <c r="G5" s="205"/>
    </row>
    <row r="6" spans="1:8" s="206" customFormat="1" ht="13.5" customHeight="1">
      <c r="A6" s="732" t="s">
        <v>1472</v>
      </c>
      <c r="B6" s="207" t="s">
        <v>1473</v>
      </c>
      <c r="C6" s="208">
        <f>ROUND(基准地价修正!D33*基准地价修正!C33,0)</f>
        <v>1860061</v>
      </c>
      <c r="D6" s="209"/>
      <c r="E6" s="210"/>
      <c r="F6" s="210"/>
      <c r="G6" s="211"/>
    </row>
    <row r="7" spans="1:8" s="206" customFormat="1" ht="13.5" customHeight="1">
      <c r="A7" s="732" t="s">
        <v>1474</v>
      </c>
      <c r="B7" s="207" t="s">
        <v>1475</v>
      </c>
      <c r="C7" s="212">
        <f>ROUND(C6*F7,0)</f>
        <v>56732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21606</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21606</v>
      </c>
      <c r="D10" s="795">
        <f ca="1">IF(B1="",'数据-汇总表'!E6,IF(INDIRECT("'数据-取费表'!c"&amp;$G$1)="住宅",INDIRECT("'数据-取费表'!s"&amp;$G$1),INDIRECT("'数据-取费表'!k"&amp;$G$1)+INDIRECT("'数据-取费表'!s"&amp;$G$1)))</f>
        <v>108.03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108.03</v>
      </c>
      <c r="E19" s="203">
        <f>'数据-取费表'!B31</f>
        <v>200</v>
      </c>
      <c r="F19" s="223"/>
      <c r="G19" s="1714" t="s">
        <v>3455</v>
      </c>
    </row>
    <row r="20" spans="1:7" s="206" customFormat="1" ht="13.5" customHeight="1">
      <c r="A20" s="247" t="s">
        <v>1574</v>
      </c>
      <c r="B20" s="202" t="s">
        <v>1575</v>
      </c>
      <c r="C20" s="224">
        <f ca="1">ROUND((C5+C19)*F20,0)</f>
        <v>38768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123246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122044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1202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296575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296575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2596672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483974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432120</v>
      </c>
      <c r="D34" s="209"/>
      <c r="E34" s="212"/>
      <c r="F34" s="249"/>
      <c r="G34" s="211"/>
    </row>
    <row r="35" spans="1:7" ht="13.5" customHeight="1">
      <c r="A35" s="734" t="s">
        <v>351</v>
      </c>
      <c r="B35" s="207" t="s">
        <v>1527</v>
      </c>
      <c r="C35" s="212">
        <f ca="1">ROUND(C34*F35,0)</f>
        <v>21606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21606</v>
      </c>
      <c r="D37" s="209">
        <f ca="1">D19</f>
        <v>108.03</v>
      </c>
      <c r="E37" s="241">
        <f>'数据-取费表'!B35</f>
        <v>200</v>
      </c>
      <c r="F37" s="251"/>
      <c r="G37" s="253"/>
    </row>
    <row r="38" spans="1:7" ht="13.5" customHeight="1">
      <c r="A38" s="734" t="s">
        <v>354</v>
      </c>
      <c r="B38" s="207" t="s">
        <v>1533</v>
      </c>
      <c r="C38" s="212">
        <f ca="1">ROUND(C34*F38,0)</f>
        <v>8642</v>
      </c>
      <c r="D38" s="212"/>
      <c r="E38" s="212"/>
      <c r="F38" s="251">
        <f>'数据-取费表'!B36</f>
        <v>0.02</v>
      </c>
      <c r="G38" s="211" t="s">
        <v>1528</v>
      </c>
    </row>
    <row r="39" spans="1:7" s="206" customFormat="1" ht="13.5" customHeight="1">
      <c r="A39" s="247" t="s">
        <v>1534</v>
      </c>
      <c r="B39" s="202" t="s">
        <v>1535</v>
      </c>
      <c r="C39" s="224">
        <f ca="1">ROUND(C33*F20,0)</f>
        <v>9679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15303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15003</v>
      </c>
      <c r="D42" s="230"/>
      <c r="E42" s="230"/>
      <c r="F42" s="231"/>
      <c r="G42" s="3399" t="s">
        <v>1591</v>
      </c>
    </row>
    <row r="43" spans="1:7" ht="13.5" customHeight="1">
      <c r="A43" s="734" t="s">
        <v>347</v>
      </c>
      <c r="B43" s="207" t="s">
        <v>1545</v>
      </c>
      <c r="C43" s="230">
        <f ca="1">ROUND(IF('数据-取费表'!B22&lt;=1,C39*F22*'数据-取费表'!B20/2,C39*(POWER((1+F22),'数据-取费表'!B20/2)-1)),0)</f>
        <v>300</v>
      </c>
      <c r="D43" s="230"/>
      <c r="E43" s="230"/>
      <c r="F43" s="231"/>
      <c r="G43" s="3400"/>
    </row>
    <row r="44" spans="1:7" ht="13.5" customHeight="1">
      <c r="A44" s="734" t="s">
        <v>348</v>
      </c>
      <c r="B44" s="207" t="s">
        <v>1546</v>
      </c>
      <c r="C44" s="230">
        <f ca="1">ROUND(IF('数据-取费表'!B22&lt;=1,C40*F22*'数据-取费表'!B20/2,C40*(POWER((1+F22),'数据-取费表'!B20/2)-1)),4)</f>
        <v>5.9999999999999995E-4</v>
      </c>
      <c r="D44" s="230"/>
      <c r="E44" s="230"/>
      <c r="F44" s="231"/>
      <c r="G44" s="3401"/>
    </row>
    <row r="45" spans="1:7" s="206" customFormat="1" ht="13.5" customHeight="1">
      <c r="A45" s="247" t="s">
        <v>1547</v>
      </c>
      <c r="B45" s="236" t="s">
        <v>1513</v>
      </c>
      <c r="C45" s="237">
        <f ca="1">C46</f>
        <v>74048</v>
      </c>
      <c r="D45" s="227">
        <f ca="1">C47</f>
        <v>3.0000000000000001E-3</v>
      </c>
      <c r="E45" s="228" t="s">
        <v>1539</v>
      </c>
      <c r="F45" s="238">
        <f ca="1">F27</f>
        <v>0.15</v>
      </c>
      <c r="G45" s="239" t="s">
        <v>1548</v>
      </c>
    </row>
    <row r="46" spans="1:7" s="206" customFormat="1" ht="13.5" customHeight="1">
      <c r="A46" s="734" t="s">
        <v>346</v>
      </c>
      <c r="B46" s="240" t="s">
        <v>1549</v>
      </c>
      <c r="C46" s="241">
        <f ca="1">ROUND((C33+C39)*F27,0)</f>
        <v>74048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631572</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461048</v>
      </c>
      <c r="D51" s="224"/>
      <c r="E51" s="224"/>
      <c r="F51" s="256"/>
      <c r="G51" s="226" t="s">
        <v>1560</v>
      </c>
    </row>
    <row r="52" spans="1:7" s="200" customFormat="1" ht="16.8" thickBot="1">
      <c r="A52" s="257" t="s">
        <v>1561</v>
      </c>
      <c r="B52" s="258"/>
      <c r="C52" s="259">
        <f ca="1">C31+C51</f>
        <v>3057720</v>
      </c>
      <c r="D52" s="258"/>
      <c r="E52" s="258"/>
      <c r="F52" s="258"/>
      <c r="G52" s="260"/>
    </row>
    <row r="55" spans="1:7" ht="15">
      <c r="B55" s="262" t="s">
        <v>1562</v>
      </c>
      <c r="C55" s="263"/>
    </row>
    <row r="56" spans="1:7">
      <c r="B56" s="265" t="s">
        <v>802</v>
      </c>
      <c r="C56" s="267">
        <f ca="1">1-C57</f>
        <v>0.84899999999999998</v>
      </c>
    </row>
    <row r="57" spans="1:7">
      <c r="B57" s="265" t="s">
        <v>803</v>
      </c>
      <c r="C57" s="266">
        <f ca="1">ROUND(C51/C52,3)</f>
        <v>0.151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108.03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17218</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13571</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11470</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14860</v>
      </c>
      <c r="D5" s="1252">
        <f>ROUND(C6*C17+C20,0)</f>
        <v>14860</v>
      </c>
      <c r="E5" s="1252"/>
      <c r="F5" s="1851"/>
      <c r="G5" s="1852"/>
      <c r="H5" s="1852"/>
      <c r="I5" s="1852"/>
      <c r="J5" s="1853"/>
      <c r="K5" s="1854"/>
      <c r="L5" s="1847" t="s">
        <v>1948</v>
      </c>
      <c r="M5" s="811">
        <f>SUMPRODUCT((区片价!B87:B126=I2)*(区片价!C3:G3=E2)*(区片价!C87:G126))</f>
        <v>14860</v>
      </c>
      <c r="N5" s="813">
        <f>SUMPRODUCT((因素修正幅度!B87:B126=I2)*(因素修正幅度!C3:G3=E2)*(因素修正幅度!C87:G126))</f>
        <v>0.1</v>
      </c>
      <c r="O5" s="1056"/>
      <c r="P5" s="1056"/>
      <c r="Q5" s="1056"/>
      <c r="R5" s="1129">
        <v>4</v>
      </c>
      <c r="S5" s="3062">
        <f>ROUND(SUMPRODUCT((B106:B110=R5)*(C105:N105=G2)*(C106:N110)),4)</f>
        <v>0.88239999999999996</v>
      </c>
      <c r="T5" s="3062">
        <f t="shared" si="0"/>
        <v>10116</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9721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8"/>
      <c r="B8" s="162" t="s">
        <v>1957</v>
      </c>
      <c r="C8" s="1870" t="s">
        <v>3448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2" t="s">
        <v>3254</v>
      </c>
      <c r="B20" s="159" t="s">
        <v>1994</v>
      </c>
      <c r="C20" s="3030">
        <f>ROUND(IF(F21="与级别开发程度一致",0,(G21-E21)/C21),0)</f>
        <v>0</v>
      </c>
      <c r="D20" s="3045" t="s">
        <v>1998</v>
      </c>
      <c r="E20" s="3046"/>
      <c r="F20" s="3478" t="s">
        <v>1995</v>
      </c>
      <c r="G20" s="347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45786</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0.73009999999999997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19.309999999999999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3450</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17218</v>
      </c>
      <c r="D33" s="1940">
        <f>'数据-汇总表'!E19</f>
        <v>108.03</v>
      </c>
      <c r="E33" s="727">
        <f>ROUND(C33*D33/10000,0)</f>
        <v>186</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6"/>
      <c r="B37" s="1955" t="s">
        <v>2036</v>
      </c>
      <c r="C37" s="167">
        <f>ROUND(D5*C22*C23*C24*C28*F37,0)</f>
        <v>6878</v>
      </c>
      <c r="D37" s="1940"/>
      <c r="E37" s="163">
        <f>ROUND(C37*D37/10000,0)</f>
        <v>0</v>
      </c>
      <c r="F37" s="163">
        <f>SUMIF(修正!A57:A68,G2,修正!B57:B68)</f>
        <v>0.6</v>
      </c>
      <c r="G37" s="163">
        <f>ROUND(IF(E2="工业",C37*$M$42,C37*$M$41),0)</f>
        <v>1720</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3439</v>
      </c>
      <c r="D38" s="1940"/>
      <c r="E38" s="163">
        <f t="shared" ref="E38:E42" si="4">ROUND(C38*D38/10000,0)</f>
        <v>0</v>
      </c>
      <c r="F38" s="163">
        <f>SUMIF(修正!A57:A68,G2,修正!C57:C68)</f>
        <v>0.3</v>
      </c>
      <c r="G38" s="163">
        <f>ROUND(IF(E2="工业",C38*$M$42,C38*$M$41),0)</f>
        <v>860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7"/>
      <c r="B39" s="1884" t="s">
        <v>3259</v>
      </c>
      <c r="C39" s="167">
        <f>ROUND(D5*C22*C23*C24*C28*F39,0)</f>
        <v>2866</v>
      </c>
      <c r="D39" s="1940"/>
      <c r="E39" s="163">
        <f t="shared" si="4"/>
        <v>0</v>
      </c>
      <c r="F39" s="163">
        <f>SUMIF(修正!A57:A68,G2,修正!D57:D68)</f>
        <v>0.25</v>
      </c>
      <c r="G39" s="163">
        <f>ROUND(IF(E2="工业",C39*$M$42,C39*$M$41),0)</f>
        <v>717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2866</v>
      </c>
      <c r="D40" s="1940"/>
      <c r="E40" s="163">
        <f t="shared" si="4"/>
        <v>0</v>
      </c>
      <c r="F40" s="167">
        <f>SUMIF(修正!A57:A68,G2,修正!E57:E68)</f>
        <v>0.25</v>
      </c>
      <c r="G40" s="163">
        <f>ROUND(IF(E2="工业",C40*$M$42,C40*$M$41),0)</f>
        <v>717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1.022</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3441</v>
      </c>
      <c r="D50" s="1002">
        <f t="shared" ref="D50:D58" si="7">SUMIF($J$49:$N$49,C50,J50:N50)</f>
        <v>0</v>
      </c>
      <c r="E50" s="702">
        <f>ROUND(SUM(D50:D58),4)</f>
        <v>2.1999999999999999E-2</v>
      </c>
      <c r="F50" s="1675">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3442</v>
      </c>
      <c r="D51" s="1002">
        <f t="shared" si="7"/>
        <v>1.0999999999999999E-2</v>
      </c>
      <c r="E51" s="703"/>
      <c r="F51" s="1675"/>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t="s">
        <v>3442</v>
      </c>
      <c r="D52" s="1002">
        <f t="shared" si="7"/>
        <v>6.0000000000000001E-3</v>
      </c>
      <c r="E52" s="703"/>
      <c r="F52" s="1675"/>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3451</v>
      </c>
      <c r="D53" s="1002">
        <f t="shared" si="7"/>
        <v>-2.5000000000000001E-3</v>
      </c>
      <c r="E53" s="703"/>
      <c r="F53" s="1675"/>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3452</v>
      </c>
      <c r="D54" s="1002">
        <f t="shared" si="7"/>
        <v>-8.0000000000000002E-3</v>
      </c>
      <c r="E54" s="703"/>
      <c r="F54" s="1675"/>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3442</v>
      </c>
      <c r="D55" s="1002">
        <f t="shared" si="7"/>
        <v>2.5000000000000001E-3</v>
      </c>
      <c r="E55" s="703"/>
      <c r="F55" s="1675"/>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3442</v>
      </c>
      <c r="D56" s="1002">
        <f t="shared" si="7"/>
        <v>2.5000000000000001E-3</v>
      </c>
      <c r="E56" s="703"/>
      <c r="F56" s="1675"/>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3453</v>
      </c>
      <c r="D57" s="1002">
        <f t="shared" si="7"/>
        <v>8.0000000000000002E-3</v>
      </c>
      <c r="E57" s="703"/>
      <c r="F57" s="1675"/>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3442</v>
      </c>
      <c r="D58" s="1002">
        <f t="shared" si="7"/>
        <v>2.5000000000000001E-3</v>
      </c>
      <c r="E58" s="704"/>
      <c r="F58" s="1675"/>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4" t="s">
        <v>3294</v>
      </c>
      <c r="B103" s="3474"/>
      <c r="C103" s="3474"/>
      <c r="D103" s="3474"/>
      <c r="E103" s="3474"/>
      <c r="F103" s="3474"/>
      <c r="G103" s="3474"/>
      <c r="H103" s="3474"/>
      <c r="I103" s="3474"/>
      <c r="J103" s="3474"/>
      <c r="K103" s="1667"/>
      <c r="L103" s="1667"/>
      <c r="M103" s="1667"/>
      <c r="N103" s="1667"/>
    </row>
    <row r="104" spans="1:14">
      <c r="A104" s="3475" t="s">
        <v>3295</v>
      </c>
      <c r="B104" s="3475" t="s">
        <v>3296</v>
      </c>
      <c r="C104" s="3089" t="s">
        <v>3297</v>
      </c>
      <c r="D104" s="3090"/>
      <c r="E104" s="3090"/>
      <c r="F104" s="3090"/>
      <c r="G104" s="3090"/>
      <c r="H104" s="3090"/>
      <c r="I104" s="3090"/>
      <c r="J104" s="3091"/>
      <c r="K104" s="3092"/>
      <c r="L104" s="3092"/>
      <c r="M104" s="3092"/>
      <c r="N104" s="3092"/>
    </row>
    <row r="105" spans="1:14">
      <c r="A105" s="3475"/>
      <c r="B105" s="347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63"/>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64" t="s">
        <v>3311</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0.94899999999999995</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1"/>
      <c r="B4" s="3178" t="s">
        <v>917</v>
      </c>
      <c r="C4" s="3178"/>
      <c r="D4" s="3178"/>
      <c r="E4" s="1391"/>
    </row>
    <row r="5" spans="1:5" ht="16.2" thickTop="1">
      <c r="B5" s="3176" t="s">
        <v>909</v>
      </c>
      <c r="C5" s="1392" t="s">
        <v>910</v>
      </c>
      <c r="D5" s="797">
        <f ca="1">结果表!H101</f>
        <v>329</v>
      </c>
    </row>
    <row r="6" spans="1:5" ht="15.6">
      <c r="B6" s="3176"/>
      <c r="C6" s="1392" t="s">
        <v>911</v>
      </c>
      <c r="D6" s="797" t="str">
        <f ca="1">NUMBERSTRING(INT(D5*10000),2)&amp;"元整"</f>
        <v>叁佰贰拾玖万元整</v>
      </c>
    </row>
    <row r="7" spans="1:5" ht="15.6">
      <c r="B7" s="3181"/>
      <c r="C7" s="1393" t="s">
        <v>912</v>
      </c>
      <c r="D7" s="798">
        <f ca="1">结果表!H102</f>
        <v>30452</v>
      </c>
    </row>
    <row r="8" spans="1:5" ht="15.6">
      <c r="B8" s="3182" t="str">
        <f>结果表!E103</f>
        <v>2.估价师知悉的法定优先受偿款</v>
      </c>
      <c r="C8" s="1394" t="s">
        <v>913</v>
      </c>
      <c r="D8" s="798">
        <f>结果表!H103</f>
        <v>0</v>
      </c>
    </row>
    <row r="9" spans="1:5" ht="15.6">
      <c r="B9" s="318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5" t="str">
        <f>结果表!E107</f>
        <v>3.房地产抵押价值</v>
      </c>
      <c r="C13" s="1397" t="s">
        <v>910</v>
      </c>
      <c r="D13" s="800">
        <f ca="1">结果表!H107</f>
        <v>329</v>
      </c>
    </row>
    <row r="14" spans="1:5" ht="15.6">
      <c r="B14" s="3176"/>
      <c r="C14" s="1392" t="s">
        <v>911</v>
      </c>
      <c r="D14" s="797" t="str">
        <f ca="1">NUMBERSTRING(INT(D13*10000),2)&amp;"元整"</f>
        <v>叁佰贰拾玖万元整</v>
      </c>
    </row>
    <row r="15" spans="1:5" ht="15.6">
      <c r="B15" s="3181"/>
      <c r="C15" s="1393" t="s">
        <v>921</v>
      </c>
      <c r="D15" s="806">
        <f ca="1">结果表!H108</f>
        <v>30452</v>
      </c>
    </row>
    <row r="16" spans="1:5" ht="15.6">
      <c r="B16" s="3182" t="str">
        <f>结果表!E109</f>
        <v>——</v>
      </c>
      <c r="C16" s="1397" t="s">
        <v>922</v>
      </c>
      <c r="D16" s="1398" t="str">
        <f>结果表!H109</f>
        <v>——</v>
      </c>
    </row>
    <row r="17" spans="1:5" ht="15.6">
      <c r="B17" s="3183"/>
      <c r="C17" s="1392" t="s">
        <v>923</v>
      </c>
      <c r="D17" s="797" t="e">
        <f>NUMBERSTRING(INT(D16*10000),2)&amp;"元整"</f>
        <v>#VALUE!</v>
      </c>
    </row>
    <row r="18" spans="1:5" ht="15.6">
      <c r="B18" s="3184"/>
      <c r="C18" s="1393" t="s">
        <v>912</v>
      </c>
      <c r="D18" s="806" t="str">
        <f>结果表!H110</f>
        <v>——</v>
      </c>
    </row>
    <row r="19" spans="1:5" ht="15.6">
      <c r="B19" s="3175" t="str">
        <f>结果表!E111</f>
        <v>——</v>
      </c>
      <c r="C19" s="1397" t="s">
        <v>910</v>
      </c>
      <c r="D19" s="798" t="str">
        <f>结果表!H111</f>
        <v>——</v>
      </c>
    </row>
    <row r="20" spans="1:5" ht="15.6">
      <c r="B20" s="3176"/>
      <c r="C20" s="1392" t="s">
        <v>923</v>
      </c>
      <c r="D20" s="797" t="e">
        <f>NUMBERSTRING(INT(D19*10000),2)&amp;"元整"</f>
        <v>#VALUE!</v>
      </c>
    </row>
    <row r="21" spans="1:5" ht="16.2" thickBot="1">
      <c r="B21" s="317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9" t="s">
        <v>2607</v>
      </c>
      <c r="B20" s="3484" t="s">
        <v>2628</v>
      </c>
      <c r="C20" s="2841" t="s">
        <v>2439</v>
      </c>
      <c r="D20" s="2842"/>
      <c r="E20" s="2843">
        <v>1</v>
      </c>
      <c r="F20" s="2844" t="s">
        <v>2440</v>
      </c>
      <c r="G20" s="2844"/>
    </row>
    <row r="21" spans="1:13" ht="19.5" customHeight="1">
      <c r="A21" s="3490"/>
      <c r="B21" s="3483"/>
      <c r="C21" s="2845" t="s">
        <v>2441</v>
      </c>
      <c r="D21" s="2846"/>
      <c r="E21" s="2847">
        <v>1</v>
      </c>
      <c r="F21" s="2844" t="s">
        <v>2442</v>
      </c>
      <c r="G21" s="2844"/>
    </row>
    <row r="22" spans="1:13" ht="19.5" customHeight="1">
      <c r="A22" s="3490"/>
      <c r="B22" s="3483"/>
      <c r="C22" s="2845" t="s">
        <v>2443</v>
      </c>
      <c r="D22" s="2846"/>
      <c r="E22" s="2847">
        <v>0.9</v>
      </c>
      <c r="F22" s="2844" t="s">
        <v>2444</v>
      </c>
      <c r="G22" s="2844"/>
    </row>
    <row r="23" spans="1:13" ht="19.5" customHeight="1">
      <c r="A23" s="3490"/>
      <c r="B23" s="3483"/>
      <c r="C23" s="2845" t="s">
        <v>2445</v>
      </c>
      <c r="D23" s="2846"/>
      <c r="E23" s="2847">
        <v>0.9</v>
      </c>
      <c r="F23" s="2844" t="s">
        <v>2446</v>
      </c>
      <c r="G23" s="2844"/>
    </row>
    <row r="24" spans="1:13" ht="19.5" customHeight="1">
      <c r="A24" s="3490"/>
      <c r="B24" s="3483"/>
      <c r="C24" s="2845" t="s">
        <v>2447</v>
      </c>
      <c r="D24" s="2846"/>
      <c r="E24" s="2847">
        <v>0.8</v>
      </c>
      <c r="F24" s="2844" t="s">
        <v>2448</v>
      </c>
      <c r="G24" s="2844"/>
    </row>
    <row r="25" spans="1:13" ht="19.5" customHeight="1" thickBot="1">
      <c r="A25" s="3491"/>
      <c r="B25" s="348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6" t="s">
        <v>2631</v>
      </c>
      <c r="B27" s="3484" t="s">
        <v>2612</v>
      </c>
      <c r="C27" s="2841" t="s">
        <v>2452</v>
      </c>
      <c r="D27" s="2842"/>
      <c r="E27" s="2843">
        <v>1</v>
      </c>
      <c r="F27" s="2844" t="s">
        <v>2453</v>
      </c>
      <c r="G27" s="2844"/>
    </row>
    <row r="28" spans="1:13" ht="19.5" customHeight="1">
      <c r="A28" s="3487"/>
      <c r="B28" s="3483"/>
      <c r="C28" s="2845" t="s">
        <v>2454</v>
      </c>
      <c r="D28" s="2846"/>
      <c r="E28" s="2847">
        <v>1</v>
      </c>
      <c r="F28" s="2844" t="s">
        <v>2455</v>
      </c>
      <c r="G28" s="2844"/>
    </row>
    <row r="29" spans="1:13" ht="19.5" customHeight="1">
      <c r="A29" s="3487"/>
      <c r="B29" s="3483"/>
      <c r="C29" s="2845" t="s">
        <v>2456</v>
      </c>
      <c r="D29" s="2846"/>
      <c r="E29" s="2847">
        <v>0.8</v>
      </c>
      <c r="F29" s="2844" t="s">
        <v>2457</v>
      </c>
      <c r="G29" s="2844"/>
    </row>
    <row r="30" spans="1:13" ht="19.5" customHeight="1">
      <c r="A30" s="3487"/>
      <c r="B30" s="3483"/>
      <c r="C30" s="2845" t="s">
        <v>2458</v>
      </c>
      <c r="D30" s="2846"/>
      <c r="E30" s="2847">
        <v>0.8</v>
      </c>
      <c r="F30" s="2844" t="s">
        <v>2459</v>
      </c>
      <c r="G30" s="2844"/>
    </row>
    <row r="31" spans="1:13" ht="19.5" customHeight="1">
      <c r="A31" s="3487"/>
      <c r="B31" s="3483"/>
      <c r="C31" s="2845" t="s">
        <v>2460</v>
      </c>
      <c r="D31" s="2846"/>
      <c r="E31" s="2847">
        <v>0.8</v>
      </c>
      <c r="F31" s="2844" t="s">
        <v>2461</v>
      </c>
      <c r="G31" s="2844"/>
    </row>
    <row r="32" spans="1:13" ht="19.5" customHeight="1">
      <c r="A32" s="3487"/>
      <c r="B32" s="3483"/>
      <c r="C32" s="2845" t="s">
        <v>2462</v>
      </c>
      <c r="D32" s="2846"/>
      <c r="E32" s="2847">
        <v>0.7</v>
      </c>
      <c r="F32" s="2844" t="s">
        <v>2463</v>
      </c>
      <c r="G32" s="2844"/>
    </row>
    <row r="33" spans="1:7" ht="19.5" customHeight="1">
      <c r="A33" s="3487"/>
      <c r="B33" s="3483"/>
      <c r="C33" s="2845" t="s">
        <v>2464</v>
      </c>
      <c r="D33" s="2846"/>
      <c r="E33" s="2847">
        <v>0.8</v>
      </c>
      <c r="F33" s="2844" t="s">
        <v>2465</v>
      </c>
      <c r="G33" s="2844"/>
    </row>
    <row r="34" spans="1:7" ht="19.5" customHeight="1">
      <c r="A34" s="3487"/>
      <c r="B34" s="3483"/>
      <c r="C34" s="2845" t="s">
        <v>2466</v>
      </c>
      <c r="D34" s="2846"/>
      <c r="E34" s="2847">
        <v>0.6</v>
      </c>
      <c r="F34" s="2844" t="s">
        <v>2467</v>
      </c>
      <c r="G34" s="2844"/>
    </row>
    <row r="35" spans="1:7" ht="19.5" customHeight="1">
      <c r="A35" s="3487"/>
      <c r="B35" s="3483"/>
      <c r="C35" s="2845" t="s">
        <v>2468</v>
      </c>
      <c r="D35" s="2846"/>
      <c r="E35" s="2847">
        <v>0.2</v>
      </c>
      <c r="F35" s="2844" t="s">
        <v>2469</v>
      </c>
      <c r="G35" s="2844"/>
    </row>
    <row r="36" spans="1:7" ht="19.5" customHeight="1">
      <c r="A36" s="3487"/>
      <c r="B36" s="3483"/>
      <c r="C36" s="2845" t="s">
        <v>2470</v>
      </c>
      <c r="D36" s="2846"/>
      <c r="E36" s="2847">
        <v>0.2</v>
      </c>
      <c r="F36" s="2844" t="s">
        <v>2471</v>
      </c>
      <c r="G36" s="2844"/>
    </row>
    <row r="37" spans="1:7" ht="19.5" customHeight="1">
      <c r="A37" s="3487"/>
      <c r="B37" s="3481" t="s">
        <v>2632</v>
      </c>
      <c r="C37" s="2845" t="s">
        <v>2472</v>
      </c>
      <c r="D37" s="2846"/>
      <c r="E37" s="2847">
        <v>0.6</v>
      </c>
      <c r="F37" s="2844" t="s">
        <v>2473</v>
      </c>
      <c r="G37" s="2844"/>
    </row>
    <row r="38" spans="1:7" ht="19.5" customHeight="1">
      <c r="A38" s="3487"/>
      <c r="B38" s="3483"/>
      <c r="C38" s="2845" t="s">
        <v>2474</v>
      </c>
      <c r="D38" s="2846"/>
      <c r="E38" s="2847">
        <v>0.6</v>
      </c>
      <c r="F38" s="2844" t="s">
        <v>2475</v>
      </c>
      <c r="G38" s="2844"/>
    </row>
    <row r="39" spans="1:7" ht="19.5" customHeight="1" thickBot="1">
      <c r="A39" s="3488"/>
      <c r="B39" s="348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9" t="s">
        <v>2610</v>
      </c>
      <c r="B41" s="3484" t="s">
        <v>2634</v>
      </c>
      <c r="C41" s="2841" t="s">
        <v>2479</v>
      </c>
      <c r="D41" s="2842"/>
      <c r="E41" s="2843">
        <v>1</v>
      </c>
      <c r="F41" s="2844" t="s">
        <v>2480</v>
      </c>
      <c r="G41" s="2844"/>
    </row>
    <row r="42" spans="1:7" ht="19.5" customHeight="1">
      <c r="A42" s="3490"/>
      <c r="B42" s="3483"/>
      <c r="C42" s="2845" t="s">
        <v>2481</v>
      </c>
      <c r="D42" s="2846"/>
      <c r="E42" s="2847">
        <v>1</v>
      </c>
      <c r="F42" s="2844" t="s">
        <v>2482</v>
      </c>
      <c r="G42" s="2844"/>
    </row>
    <row r="43" spans="1:7" ht="19.5" customHeight="1">
      <c r="A43" s="3490"/>
      <c r="B43" s="3482"/>
      <c r="C43" s="2845" t="s">
        <v>2483</v>
      </c>
      <c r="D43" s="2846"/>
      <c r="E43" s="2847">
        <v>1.5</v>
      </c>
      <c r="F43" s="2844" t="s">
        <v>2484</v>
      </c>
      <c r="G43" s="2844"/>
    </row>
    <row r="44" spans="1:7" ht="19.5" customHeight="1">
      <c r="A44" s="3490"/>
      <c r="B44" s="2856" t="s">
        <v>2635</v>
      </c>
      <c r="C44" s="2845" t="s">
        <v>2636</v>
      </c>
      <c r="D44" s="2846"/>
      <c r="E44" s="2847">
        <v>2</v>
      </c>
      <c r="F44" s="2844" t="s">
        <v>2485</v>
      </c>
      <c r="G44" s="2844"/>
    </row>
    <row r="45" spans="1:7" ht="19.5" customHeight="1">
      <c r="A45" s="3490"/>
      <c r="B45" s="3481" t="s">
        <v>2637</v>
      </c>
      <c r="C45" s="2845" t="s">
        <v>2486</v>
      </c>
      <c r="D45" s="2846"/>
      <c r="E45" s="2847">
        <v>1</v>
      </c>
      <c r="F45" s="2844" t="s">
        <v>2487</v>
      </c>
      <c r="G45" s="2844"/>
    </row>
    <row r="46" spans="1:7" ht="19.5" customHeight="1">
      <c r="A46" s="3490"/>
      <c r="B46" s="3483"/>
      <c r="C46" s="2845" t="s">
        <v>2488</v>
      </c>
      <c r="D46" s="2846"/>
      <c r="E46" s="2847">
        <v>1</v>
      </c>
      <c r="F46" s="2844" t="s">
        <v>2489</v>
      </c>
      <c r="G46" s="2844"/>
    </row>
    <row r="47" spans="1:7" ht="19.5" customHeight="1">
      <c r="A47" s="3490"/>
      <c r="B47" s="3483"/>
      <c r="C47" s="2845" t="s">
        <v>2490</v>
      </c>
      <c r="D47" s="2846"/>
      <c r="E47" s="2847">
        <v>1</v>
      </c>
      <c r="F47" s="2844" t="s">
        <v>2491</v>
      </c>
      <c r="G47" s="2844"/>
    </row>
    <row r="48" spans="1:7" ht="19.5" customHeight="1">
      <c r="A48" s="3490"/>
      <c r="B48" s="3483"/>
      <c r="C48" s="2845" t="s">
        <v>2492</v>
      </c>
      <c r="D48" s="2846"/>
      <c r="E48" s="2847">
        <v>1</v>
      </c>
      <c r="F48" s="2844" t="s">
        <v>2493</v>
      </c>
      <c r="G48" s="2844"/>
    </row>
    <row r="49" spans="1:7" ht="19.5" customHeight="1">
      <c r="A49" s="3490"/>
      <c r="B49" s="3483"/>
      <c r="C49" s="2845" t="s">
        <v>2494</v>
      </c>
      <c r="D49" s="2846"/>
      <c r="E49" s="2847">
        <v>1</v>
      </c>
      <c r="F49" s="2844" t="s">
        <v>2495</v>
      </c>
      <c r="G49" s="2844"/>
    </row>
    <row r="50" spans="1:7" ht="19.5" customHeight="1">
      <c r="A50" s="3490"/>
      <c r="B50" s="3483"/>
      <c r="C50" s="2845" t="s">
        <v>2496</v>
      </c>
      <c r="D50" s="2846"/>
      <c r="E50" s="2847">
        <v>1</v>
      </c>
      <c r="F50" s="2844" t="s">
        <v>2497</v>
      </c>
      <c r="G50" s="2844"/>
    </row>
    <row r="51" spans="1:7" ht="19.5" customHeight="1" thickBot="1">
      <c r="A51" s="3491"/>
      <c r="B51" s="348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81" t="s">
        <v>2651</v>
      </c>
      <c r="C73" s="2830" t="s">
        <v>2652</v>
      </c>
      <c r="D73" s="2830" t="s">
        <v>2653</v>
      </c>
      <c r="E73" s="2856">
        <v>0.2</v>
      </c>
      <c r="F73" s="2856">
        <v>25</v>
      </c>
    </row>
    <row r="74" spans="1:7" ht="24">
      <c r="A74" s="2856">
        <v>2</v>
      </c>
      <c r="B74" s="3483"/>
      <c r="C74" s="2830" t="s">
        <v>2654</v>
      </c>
      <c r="D74" s="2830" t="s">
        <v>2655</v>
      </c>
      <c r="E74" s="2856">
        <v>0.2</v>
      </c>
      <c r="F74" s="2856">
        <v>25</v>
      </c>
    </row>
    <row r="75" spans="1:7" ht="24">
      <c r="A75" s="2856">
        <v>3</v>
      </c>
      <c r="B75" s="3483"/>
      <c r="C75" s="2830" t="s">
        <v>2656</v>
      </c>
      <c r="D75" s="2830" t="s">
        <v>2657</v>
      </c>
      <c r="E75" s="2856">
        <v>0.2</v>
      </c>
      <c r="F75" s="2856">
        <v>25</v>
      </c>
    </row>
    <row r="76" spans="1:7" ht="14.4">
      <c r="A76" s="2856">
        <v>4</v>
      </c>
      <c r="B76" s="3483"/>
      <c r="C76" s="2830" t="s">
        <v>2658</v>
      </c>
      <c r="D76" s="2830" t="s">
        <v>2659</v>
      </c>
      <c r="E76" s="2856">
        <v>0.15</v>
      </c>
      <c r="F76" s="2856">
        <v>20</v>
      </c>
    </row>
    <row r="77" spans="1:7" ht="24">
      <c r="A77" s="2856">
        <v>5</v>
      </c>
      <c r="B77" s="3483"/>
      <c r="C77" s="2830" t="s">
        <v>2660</v>
      </c>
      <c r="D77" s="2830" t="s">
        <v>2661</v>
      </c>
      <c r="E77" s="2856">
        <v>0.15</v>
      </c>
      <c r="F77" s="2856">
        <v>20</v>
      </c>
    </row>
    <row r="78" spans="1:7" ht="24">
      <c r="A78" s="2856">
        <v>6</v>
      </c>
      <c r="B78" s="3483"/>
      <c r="C78" s="2830" t="s">
        <v>2662</v>
      </c>
      <c r="D78" s="2830" t="s">
        <v>2663</v>
      </c>
      <c r="E78" s="2856">
        <v>0.15</v>
      </c>
      <c r="F78" s="2856">
        <v>20</v>
      </c>
    </row>
    <row r="79" spans="1:7" ht="24">
      <c r="A79" s="2856">
        <v>7</v>
      </c>
      <c r="B79" s="3483"/>
      <c r="C79" s="2830" t="s">
        <v>2664</v>
      </c>
      <c r="D79" s="2830" t="s">
        <v>2665</v>
      </c>
      <c r="E79" s="2856">
        <v>0.15</v>
      </c>
      <c r="F79" s="2856">
        <v>20</v>
      </c>
    </row>
    <row r="80" spans="1:7" ht="24">
      <c r="A80" s="2856">
        <v>8</v>
      </c>
      <c r="B80" s="3483"/>
      <c r="C80" s="2830" t="s">
        <v>2666</v>
      </c>
      <c r="D80" s="2830" t="s">
        <v>2667</v>
      </c>
      <c r="E80" s="2856">
        <v>0.1</v>
      </c>
      <c r="F80" s="2856">
        <v>15</v>
      </c>
    </row>
    <row r="81" spans="1:6" ht="24">
      <c r="A81" s="2856">
        <v>9</v>
      </c>
      <c r="B81" s="3483"/>
      <c r="C81" s="2830" t="s">
        <v>2668</v>
      </c>
      <c r="D81" s="2830" t="s">
        <v>2669</v>
      </c>
      <c r="E81" s="2856">
        <v>0.1</v>
      </c>
      <c r="F81" s="2856">
        <v>15</v>
      </c>
    </row>
    <row r="82" spans="1:6" ht="24">
      <c r="A82" s="2856">
        <v>10</v>
      </c>
      <c r="B82" s="3483"/>
      <c r="C82" s="2830" t="s">
        <v>2670</v>
      </c>
      <c r="D82" s="2830" t="s">
        <v>2671</v>
      </c>
      <c r="E82" s="2856">
        <v>0.1</v>
      </c>
      <c r="F82" s="2856">
        <v>15</v>
      </c>
    </row>
    <row r="83" spans="1:6" ht="24">
      <c r="A83" s="2856">
        <v>11</v>
      </c>
      <c r="B83" s="3483"/>
      <c r="C83" s="2830" t="s">
        <v>2672</v>
      </c>
      <c r="D83" s="2830" t="s">
        <v>2673</v>
      </c>
      <c r="E83" s="2856">
        <v>0.1</v>
      </c>
      <c r="F83" s="2856">
        <v>15</v>
      </c>
    </row>
    <row r="84" spans="1:6" ht="24">
      <c r="A84" s="2856">
        <v>12</v>
      </c>
      <c r="B84" s="3483"/>
      <c r="C84" s="2830" t="s">
        <v>2674</v>
      </c>
      <c r="D84" s="2830" t="s">
        <v>2675</v>
      </c>
      <c r="E84" s="2856">
        <v>0.1</v>
      </c>
      <c r="F84" s="2856">
        <v>15</v>
      </c>
    </row>
    <row r="85" spans="1:6" ht="24">
      <c r="A85" s="2856">
        <v>13</v>
      </c>
      <c r="B85" s="3483"/>
      <c r="C85" s="2830" t="s">
        <v>2676</v>
      </c>
      <c r="D85" s="2830" t="s">
        <v>2677</v>
      </c>
      <c r="E85" s="2856">
        <v>0.1</v>
      </c>
      <c r="F85" s="2856">
        <v>15</v>
      </c>
    </row>
    <row r="86" spans="1:6" ht="24">
      <c r="A86" s="2856">
        <v>14</v>
      </c>
      <c r="B86" s="3483"/>
      <c r="C86" s="2830" t="s">
        <v>2678</v>
      </c>
      <c r="D86" s="2830" t="s">
        <v>2679</v>
      </c>
      <c r="E86" s="2856">
        <v>0.1</v>
      </c>
      <c r="F86" s="2856">
        <v>15</v>
      </c>
    </row>
    <row r="87" spans="1:6" ht="24">
      <c r="A87" s="2856">
        <v>15</v>
      </c>
      <c r="B87" s="3483"/>
      <c r="C87" s="2830" t="s">
        <v>2680</v>
      </c>
      <c r="D87" s="2830" t="s">
        <v>2681</v>
      </c>
      <c r="E87" s="2856">
        <v>0.1</v>
      </c>
      <c r="F87" s="2856">
        <v>15</v>
      </c>
    </row>
    <row r="88" spans="1:6" ht="24">
      <c r="A88" s="2856">
        <v>16</v>
      </c>
      <c r="B88" s="3483"/>
      <c r="C88" s="2830" t="s">
        <v>2682</v>
      </c>
      <c r="D88" s="2830" t="s">
        <v>2683</v>
      </c>
      <c r="E88" s="2856">
        <v>0.1</v>
      </c>
      <c r="F88" s="2856">
        <v>15</v>
      </c>
    </row>
    <row r="89" spans="1:6" ht="24">
      <c r="A89" s="2856">
        <v>17</v>
      </c>
      <c r="B89" s="3482"/>
      <c r="C89" s="2830" t="s">
        <v>2684</v>
      </c>
      <c r="D89" s="2830" t="s">
        <v>2685</v>
      </c>
      <c r="E89" s="2856">
        <v>0.1</v>
      </c>
      <c r="F89" s="2856">
        <v>15</v>
      </c>
    </row>
    <row r="90" spans="1:6" ht="14.4">
      <c r="A90" s="2856">
        <v>18</v>
      </c>
      <c r="B90" s="3481" t="s">
        <v>2686</v>
      </c>
      <c r="C90" s="2830" t="s">
        <v>2687</v>
      </c>
      <c r="D90" s="2830" t="s">
        <v>2688</v>
      </c>
      <c r="E90" s="2856">
        <v>0.2</v>
      </c>
      <c r="F90" s="2856">
        <v>25</v>
      </c>
    </row>
    <row r="91" spans="1:6" ht="24">
      <c r="A91" s="2856">
        <v>19</v>
      </c>
      <c r="B91" s="3483"/>
      <c r="C91" s="2830" t="s">
        <v>2689</v>
      </c>
      <c r="D91" s="2830" t="s">
        <v>2690</v>
      </c>
      <c r="E91" s="2856">
        <v>0.2</v>
      </c>
      <c r="F91" s="2856">
        <v>25</v>
      </c>
    </row>
    <row r="92" spans="1:6" ht="14.4">
      <c r="A92" s="2856">
        <v>20</v>
      </c>
      <c r="B92" s="3483"/>
      <c r="C92" s="2830" t="s">
        <v>2691</v>
      </c>
      <c r="D92" s="2830" t="s">
        <v>2692</v>
      </c>
      <c r="E92" s="2856">
        <v>0.15</v>
      </c>
      <c r="F92" s="2856">
        <v>20</v>
      </c>
    </row>
    <row r="93" spans="1:6" ht="24">
      <c r="A93" s="2856">
        <v>21</v>
      </c>
      <c r="B93" s="3483"/>
      <c r="C93" s="2830" t="s">
        <v>2693</v>
      </c>
      <c r="D93" s="2830" t="s">
        <v>2694</v>
      </c>
      <c r="E93" s="2856">
        <v>0.15</v>
      </c>
      <c r="F93" s="2856">
        <v>20</v>
      </c>
    </row>
    <row r="94" spans="1:6" ht="24">
      <c r="A94" s="2856">
        <v>22</v>
      </c>
      <c r="B94" s="3483"/>
      <c r="C94" s="2830" t="s">
        <v>2695</v>
      </c>
      <c r="D94" s="2830" t="s">
        <v>2696</v>
      </c>
      <c r="E94" s="2856">
        <v>0.15</v>
      </c>
      <c r="F94" s="2856">
        <v>20</v>
      </c>
    </row>
    <row r="95" spans="1:6" ht="36">
      <c r="A95" s="2856">
        <v>23</v>
      </c>
      <c r="B95" s="3483"/>
      <c r="C95" s="2830" t="s">
        <v>2697</v>
      </c>
      <c r="D95" s="2830" t="s">
        <v>2698</v>
      </c>
      <c r="E95" s="2856">
        <v>0.15</v>
      </c>
      <c r="F95" s="2856">
        <v>20</v>
      </c>
    </row>
    <row r="96" spans="1:6" ht="24">
      <c r="A96" s="2856">
        <v>24</v>
      </c>
      <c r="B96" s="3483"/>
      <c r="C96" s="2830" t="s">
        <v>2699</v>
      </c>
      <c r="D96" s="2830" t="s">
        <v>2700</v>
      </c>
      <c r="E96" s="2856">
        <v>0.1</v>
      </c>
      <c r="F96" s="2856">
        <v>15</v>
      </c>
    </row>
    <row r="97" spans="1:6" ht="24">
      <c r="A97" s="2856">
        <v>25</v>
      </c>
      <c r="B97" s="3483"/>
      <c r="C97" s="2830" t="s">
        <v>2701</v>
      </c>
      <c r="D97" s="2830" t="s">
        <v>2702</v>
      </c>
      <c r="E97" s="2856">
        <v>0.1</v>
      </c>
      <c r="F97" s="2856">
        <v>15</v>
      </c>
    </row>
    <row r="98" spans="1:6" ht="24">
      <c r="A98" s="2856">
        <v>26</v>
      </c>
      <c r="B98" s="3483"/>
      <c r="C98" s="2830" t="s">
        <v>2703</v>
      </c>
      <c r="D98" s="2830" t="s">
        <v>2704</v>
      </c>
      <c r="E98" s="2856">
        <v>0.1</v>
      </c>
      <c r="F98" s="2856">
        <v>15</v>
      </c>
    </row>
    <row r="99" spans="1:6" ht="24">
      <c r="A99" s="2856">
        <v>27</v>
      </c>
      <c r="B99" s="3483"/>
      <c r="C99" s="2830" t="s">
        <v>2705</v>
      </c>
      <c r="D99" s="2830" t="s">
        <v>2706</v>
      </c>
      <c r="E99" s="2856">
        <v>0.1</v>
      </c>
      <c r="F99" s="2856">
        <v>15</v>
      </c>
    </row>
    <row r="100" spans="1:6" ht="24">
      <c r="A100" s="2856">
        <v>28</v>
      </c>
      <c r="B100" s="3483"/>
      <c r="C100" s="2830" t="s">
        <v>2707</v>
      </c>
      <c r="D100" s="2830" t="s">
        <v>2708</v>
      </c>
      <c r="E100" s="2856">
        <v>0.1</v>
      </c>
      <c r="F100" s="2856">
        <v>15</v>
      </c>
    </row>
    <row r="101" spans="1:6" ht="24">
      <c r="A101" s="2856">
        <v>29</v>
      </c>
      <c r="B101" s="3483"/>
      <c r="C101" s="2830" t="s">
        <v>2709</v>
      </c>
      <c r="D101" s="2830" t="s">
        <v>2710</v>
      </c>
      <c r="E101" s="2856">
        <v>0.1</v>
      </c>
      <c r="F101" s="2856">
        <v>15</v>
      </c>
    </row>
    <row r="102" spans="1:6" ht="24">
      <c r="A102" s="2856">
        <v>30</v>
      </c>
      <c r="B102" s="3483"/>
      <c r="C102" s="2830" t="s">
        <v>2711</v>
      </c>
      <c r="D102" s="2830" t="s">
        <v>2712</v>
      </c>
      <c r="E102" s="2856">
        <v>0.1</v>
      </c>
      <c r="F102" s="2856">
        <v>15</v>
      </c>
    </row>
    <row r="103" spans="1:6" ht="24">
      <c r="A103" s="2856">
        <v>31</v>
      </c>
      <c r="B103" s="3483"/>
      <c r="C103" s="2830" t="s">
        <v>2713</v>
      </c>
      <c r="D103" s="2830" t="s">
        <v>2714</v>
      </c>
      <c r="E103" s="2856">
        <v>0.1</v>
      </c>
      <c r="F103" s="2856">
        <v>15</v>
      </c>
    </row>
    <row r="104" spans="1:6" ht="24">
      <c r="A104" s="2856">
        <v>32</v>
      </c>
      <c r="B104" s="3483"/>
      <c r="C104" s="2830" t="s">
        <v>2715</v>
      </c>
      <c r="D104" s="2830" t="s">
        <v>2716</v>
      </c>
      <c r="E104" s="2856">
        <v>0.1</v>
      </c>
      <c r="F104" s="2856">
        <v>15</v>
      </c>
    </row>
    <row r="105" spans="1:6" ht="24">
      <c r="A105" s="2856">
        <v>33</v>
      </c>
      <c r="B105" s="3483"/>
      <c r="C105" s="2830" t="s">
        <v>2717</v>
      </c>
      <c r="D105" s="2830" t="s">
        <v>2718</v>
      </c>
      <c r="E105" s="2856">
        <v>0.1</v>
      </c>
      <c r="F105" s="2856">
        <v>15</v>
      </c>
    </row>
    <row r="106" spans="1:6" ht="24">
      <c r="A106" s="2856">
        <v>34</v>
      </c>
      <c r="B106" s="3482"/>
      <c r="C106" s="2830" t="s">
        <v>2719</v>
      </c>
      <c r="D106" s="2830" t="s">
        <v>2720</v>
      </c>
      <c r="E106" s="2856">
        <v>0.1</v>
      </c>
      <c r="F106" s="2856">
        <v>15</v>
      </c>
    </row>
    <row r="107" spans="1:6" ht="36">
      <c r="A107" s="2856">
        <v>35</v>
      </c>
      <c r="B107" s="3481" t="s">
        <v>2721</v>
      </c>
      <c r="C107" s="2856" t="s">
        <v>2722</v>
      </c>
      <c r="D107" s="2830" t="s">
        <v>2723</v>
      </c>
      <c r="E107" s="2856">
        <v>0.15</v>
      </c>
      <c r="F107" s="2856">
        <v>20</v>
      </c>
    </row>
    <row r="108" spans="1:6" ht="24">
      <c r="A108" s="2856">
        <v>36</v>
      </c>
      <c r="B108" s="3483"/>
      <c r="C108" s="2856" t="s">
        <v>2724</v>
      </c>
      <c r="D108" s="2830" t="s">
        <v>2725</v>
      </c>
      <c r="E108" s="2856">
        <v>0.15</v>
      </c>
      <c r="F108" s="2856">
        <v>20</v>
      </c>
    </row>
    <row r="109" spans="1:6" ht="24">
      <c r="A109" s="2856">
        <v>37</v>
      </c>
      <c r="B109" s="3483"/>
      <c r="C109" s="2856" t="s">
        <v>2726</v>
      </c>
      <c r="D109" s="2830" t="s">
        <v>2727</v>
      </c>
      <c r="E109" s="2856">
        <v>0.15</v>
      </c>
      <c r="F109" s="2856">
        <v>20</v>
      </c>
    </row>
    <row r="110" spans="1:6" ht="24">
      <c r="A110" s="2856">
        <v>38</v>
      </c>
      <c r="B110" s="3483"/>
      <c r="C110" s="2856" t="s">
        <v>2728</v>
      </c>
      <c r="D110" s="2830" t="s">
        <v>2729</v>
      </c>
      <c r="E110" s="2856">
        <v>0.1</v>
      </c>
      <c r="F110" s="2856">
        <v>15</v>
      </c>
    </row>
    <row r="111" spans="1:6" ht="24">
      <c r="A111" s="2856">
        <v>39</v>
      </c>
      <c r="B111" s="3483"/>
      <c r="C111" s="2856" t="s">
        <v>2730</v>
      </c>
      <c r="D111" s="2830" t="s">
        <v>2731</v>
      </c>
      <c r="E111" s="2856">
        <v>0.1</v>
      </c>
      <c r="F111" s="2856">
        <v>15</v>
      </c>
    </row>
    <row r="112" spans="1:6" ht="24">
      <c r="A112" s="2856">
        <v>40</v>
      </c>
      <c r="B112" s="3482"/>
      <c r="C112" s="2856" t="s">
        <v>2732</v>
      </c>
      <c r="D112" s="2830" t="s">
        <v>2733</v>
      </c>
      <c r="E112" s="2856">
        <v>0.1</v>
      </c>
      <c r="F112" s="2856">
        <v>15</v>
      </c>
    </row>
    <row r="113" spans="1:6" ht="24">
      <c r="A113" s="2856">
        <v>41</v>
      </c>
      <c r="B113" s="3480" t="s">
        <v>2734</v>
      </c>
      <c r="C113" s="2856" t="s">
        <v>2735</v>
      </c>
      <c r="D113" s="2830" t="s">
        <v>2736</v>
      </c>
      <c r="E113" s="2856">
        <v>0.1</v>
      </c>
      <c r="F113" s="2856">
        <v>15</v>
      </c>
    </row>
    <row r="114" spans="1:6" ht="24">
      <c r="A114" s="2856">
        <v>42</v>
      </c>
      <c r="B114" s="3480"/>
      <c r="C114" s="2856" t="s">
        <v>2737</v>
      </c>
      <c r="D114" s="2830" t="s">
        <v>2738</v>
      </c>
      <c r="E114" s="2856">
        <v>0.1</v>
      </c>
      <c r="F114" s="2856">
        <v>15</v>
      </c>
    </row>
    <row r="115" spans="1:6" ht="24">
      <c r="A115" s="2856">
        <v>43</v>
      </c>
      <c r="B115" s="3480"/>
      <c r="C115" s="2856" t="s">
        <v>2739</v>
      </c>
      <c r="D115" s="2830" t="s">
        <v>2740</v>
      </c>
      <c r="E115" s="2856">
        <v>0.1</v>
      </c>
      <c r="F115" s="2856">
        <v>15</v>
      </c>
    </row>
    <row r="116" spans="1:6" ht="24">
      <c r="A116" s="2856">
        <v>44</v>
      </c>
      <c r="B116" s="3481" t="s">
        <v>2741</v>
      </c>
      <c r="C116" s="2856" t="s">
        <v>2742</v>
      </c>
      <c r="D116" s="2830" t="s">
        <v>2743</v>
      </c>
      <c r="E116" s="2856">
        <v>0.1</v>
      </c>
      <c r="F116" s="2856">
        <v>15</v>
      </c>
    </row>
    <row r="117" spans="1:6" ht="24">
      <c r="A117" s="2856">
        <v>45</v>
      </c>
      <c r="B117" s="3482"/>
      <c r="C117" s="2830" t="s">
        <v>2744</v>
      </c>
      <c r="D117" s="2830" t="s">
        <v>2745</v>
      </c>
      <c r="E117" s="2856">
        <v>0.1</v>
      </c>
      <c r="F117" s="2856">
        <v>15</v>
      </c>
    </row>
    <row r="118" spans="1:6" ht="24">
      <c r="A118" s="2856">
        <v>46</v>
      </c>
      <c r="B118" s="3481" t="s">
        <v>2746</v>
      </c>
      <c r="C118" s="2856" t="s">
        <v>2747</v>
      </c>
      <c r="D118" s="2830" t="s">
        <v>2748</v>
      </c>
      <c r="E118" s="2856">
        <v>0.1</v>
      </c>
      <c r="F118" s="2856">
        <v>15</v>
      </c>
    </row>
    <row r="119" spans="1:6" ht="24">
      <c r="A119" s="2856">
        <v>47</v>
      </c>
      <c r="B119" s="3482"/>
      <c r="C119" s="2856" t="s">
        <v>2749</v>
      </c>
      <c r="D119" s="2830" t="s">
        <v>2750</v>
      </c>
      <c r="E119" s="2856">
        <v>0.1</v>
      </c>
      <c r="F119" s="2856">
        <v>15</v>
      </c>
    </row>
    <row r="120" spans="1:6" ht="24">
      <c r="A120" s="2856">
        <v>48</v>
      </c>
      <c r="B120" s="3481" t="s">
        <v>2751</v>
      </c>
      <c r="C120" s="2856" t="s">
        <v>2752</v>
      </c>
      <c r="D120" s="2830" t="s">
        <v>2753</v>
      </c>
      <c r="E120" s="2856">
        <v>0.1</v>
      </c>
      <c r="F120" s="2856">
        <v>15</v>
      </c>
    </row>
    <row r="121" spans="1:6" ht="24">
      <c r="A121" s="2856">
        <v>49</v>
      </c>
      <c r="B121" s="3482"/>
      <c r="C121" s="2856" t="s">
        <v>2754</v>
      </c>
      <c r="D121" s="2830" t="s">
        <v>2755</v>
      </c>
      <c r="E121" s="2856">
        <v>0.1</v>
      </c>
      <c r="F121" s="2856">
        <v>15</v>
      </c>
    </row>
    <row r="122" spans="1:6" ht="24">
      <c r="A122" s="2856">
        <v>50</v>
      </c>
      <c r="B122" s="3480" t="s">
        <v>2756</v>
      </c>
      <c r="C122" s="2856" t="s">
        <v>2757</v>
      </c>
      <c r="D122" s="2830" t="s">
        <v>2758</v>
      </c>
      <c r="E122" s="2856">
        <v>0.1</v>
      </c>
      <c r="F122" s="2856">
        <v>15</v>
      </c>
    </row>
    <row r="123" spans="1:6" ht="24">
      <c r="A123" s="2856">
        <v>51</v>
      </c>
      <c r="B123" s="3480"/>
      <c r="C123" s="2856" t="s">
        <v>2759</v>
      </c>
      <c r="D123" s="2830" t="s">
        <v>2760</v>
      </c>
      <c r="E123" s="2856">
        <v>0.1</v>
      </c>
      <c r="F123" s="2856">
        <v>15</v>
      </c>
    </row>
    <row r="124" spans="1:6" ht="24">
      <c r="A124" s="2856">
        <v>52</v>
      </c>
      <c r="B124" s="3480" t="s">
        <v>2761</v>
      </c>
      <c r="C124" s="2856" t="s">
        <v>2762</v>
      </c>
      <c r="D124" s="2830" t="s">
        <v>2763</v>
      </c>
      <c r="E124" s="2856">
        <v>0.1</v>
      </c>
      <c r="F124" s="2856">
        <v>15</v>
      </c>
    </row>
    <row r="125" spans="1:6" ht="24">
      <c r="A125" s="2856">
        <v>53</v>
      </c>
      <c r="B125" s="3480"/>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0" t="s">
        <v>2769</v>
      </c>
      <c r="C127" s="2856" t="s">
        <v>2770</v>
      </c>
      <c r="D127" s="2830" t="s">
        <v>2771</v>
      </c>
      <c r="E127" s="2856">
        <v>0.1</v>
      </c>
      <c r="F127" s="2856">
        <v>15</v>
      </c>
    </row>
    <row r="128" spans="1:6" ht="24">
      <c r="A128" s="2856">
        <v>56</v>
      </c>
      <c r="B128" s="3480"/>
      <c r="C128" s="2856" t="s">
        <v>2772</v>
      </c>
      <c r="D128" s="2830" t="s">
        <v>2773</v>
      </c>
      <c r="E128" s="2856">
        <v>0.1</v>
      </c>
      <c r="F128" s="2856">
        <v>15</v>
      </c>
    </row>
    <row r="129" spans="1:6" ht="24">
      <c r="A129" s="2856">
        <v>57</v>
      </c>
      <c r="B129" s="3480"/>
      <c r="C129" s="2856" t="s">
        <v>2774</v>
      </c>
      <c r="D129" s="2830" t="s">
        <v>2775</v>
      </c>
      <c r="E129" s="2856">
        <v>0.1</v>
      </c>
      <c r="F129" s="2856">
        <v>15</v>
      </c>
    </row>
    <row r="130" spans="1:6" ht="24">
      <c r="A130" s="2856">
        <v>58</v>
      </c>
      <c r="B130" s="3480" t="s">
        <v>2776</v>
      </c>
      <c r="C130" s="2856" t="s">
        <v>2777</v>
      </c>
      <c r="D130" s="2830" t="s">
        <v>2778</v>
      </c>
      <c r="E130" s="2856">
        <v>0.1</v>
      </c>
      <c r="F130" s="2856">
        <v>15</v>
      </c>
    </row>
    <row r="131" spans="1:6" ht="24">
      <c r="A131" s="2856">
        <v>59</v>
      </c>
      <c r="B131" s="3480"/>
      <c r="C131" s="2856" t="s">
        <v>2779</v>
      </c>
      <c r="D131" s="2830" t="s">
        <v>2780</v>
      </c>
      <c r="E131" s="2856">
        <v>0.1</v>
      </c>
      <c r="F131" s="2856">
        <v>15</v>
      </c>
    </row>
    <row r="132" spans="1:6" ht="24">
      <c r="A132" s="2856">
        <v>60</v>
      </c>
      <c r="B132" s="3481" t="s">
        <v>2781</v>
      </c>
      <c r="C132" s="2856" t="s">
        <v>2782</v>
      </c>
      <c r="D132" s="2830" t="s">
        <v>2783</v>
      </c>
      <c r="E132" s="2856">
        <v>0.1</v>
      </c>
      <c r="F132" s="2856">
        <v>15</v>
      </c>
    </row>
    <row r="133" spans="1:6" ht="24">
      <c r="A133" s="2856">
        <v>61</v>
      </c>
      <c r="B133" s="3482"/>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0" t="s">
        <v>2789</v>
      </c>
      <c r="C135" s="2856" t="s">
        <v>2790</v>
      </c>
      <c r="D135" s="2830" t="s">
        <v>2791</v>
      </c>
      <c r="E135" s="2856">
        <v>0.1</v>
      </c>
      <c r="F135" s="2856">
        <v>15</v>
      </c>
    </row>
    <row r="136" spans="1:6" ht="24">
      <c r="A136" s="2856">
        <v>64</v>
      </c>
      <c r="B136" s="3480"/>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27658</v>
      </c>
      <c r="C2" s="2" t="s">
        <v>106</v>
      </c>
      <c r="D2" s="191"/>
      <c r="E2" s="191"/>
      <c r="F2" s="191"/>
      <c r="G2" s="191"/>
    </row>
    <row r="3" spans="1:7" s="192" customFormat="1" ht="18" customHeight="1" thickBot="1">
      <c r="A3" s="195" t="s">
        <v>58</v>
      </c>
      <c r="B3" s="196">
        <f ca="1">ROUND(B2*10000/'数据-汇总表'!E3,0)</f>
        <v>2560215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108.03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108.03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108.03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99" t="s">
        <v>94</v>
      </c>
    </row>
    <row r="43" spans="1:7" ht="13.5" customHeight="1">
      <c r="A43" s="734" t="s">
        <v>347</v>
      </c>
      <c r="B43" s="207" t="s">
        <v>426</v>
      </c>
      <c r="C43" s="230">
        <f ca="1">ROUND(IF('数据-取费表'!B22&lt;=1,C39*F22*'数据-取费表'!B21/2,C39*(POWER((1+F22),'数据-取费表'!B21/2)-1)),0)</f>
        <v>0</v>
      </c>
      <c r="D43" s="230"/>
      <c r="E43" s="230"/>
      <c r="F43" s="231"/>
      <c r="G43" s="3400"/>
    </row>
    <row r="44" spans="1:7" ht="13.5" customHeight="1">
      <c r="A44" s="734" t="s">
        <v>348</v>
      </c>
      <c r="B44" s="207" t="s">
        <v>428</v>
      </c>
      <c r="C44" s="230">
        <f ca="1">ROUND(IF('数据-取费表'!B22&lt;=1,C40*F22*'数据-取费表'!B21/2,C40*(POWER((1+F22),'数据-取费表'!B21/2)-1)),4)</f>
        <v>5.9999999999999995E-4</v>
      </c>
      <c r="D44" s="230"/>
      <c r="E44" s="230"/>
      <c r="F44" s="231"/>
      <c r="G44" s="3401"/>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45</v>
      </c>
      <c r="D51" s="224"/>
      <c r="E51" s="224"/>
      <c r="F51" s="256"/>
      <c r="G51" s="226" t="s">
        <v>37</v>
      </c>
    </row>
    <row r="52" spans="1:7" s="200" customFormat="1" ht="16.8" thickBot="1">
      <c r="A52" s="257" t="s">
        <v>38</v>
      </c>
      <c r="B52" s="258"/>
      <c r="C52" s="259">
        <f ca="1">C31+C51</f>
        <v>27658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3181</v>
      </c>
      <c r="B1" s="3492"/>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3" t="s">
        <v>3232</v>
      </c>
      <c r="B1" s="3493"/>
      <c r="C1" s="3493"/>
      <c r="D1" s="3493"/>
      <c r="E1" s="3493"/>
      <c r="F1" s="349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45786</v>
      </c>
      <c r="B1" s="2928" t="s">
        <v>3377</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3380</v>
      </c>
    </row>
    <row r="27" spans="1:44">
      <c r="I27" s="1405" t="s">
        <v>2825</v>
      </c>
    </row>
    <row r="29" spans="1:44" s="2009" customFormat="1" ht="13.2">
      <c r="B29" s="2928" t="s">
        <v>3378</v>
      </c>
      <c r="C29" s="2929"/>
      <c r="D29" s="2929"/>
      <c r="E29" s="2929"/>
      <c r="F29" s="2929"/>
      <c r="G29" s="2929"/>
      <c r="H29" s="2929"/>
      <c r="I29" s="2929"/>
      <c r="J29" s="2895"/>
      <c r="K29" s="2929" t="s">
        <v>2826</v>
      </c>
      <c r="L29" s="2929"/>
      <c r="M29" s="2929"/>
      <c r="N29" s="2929"/>
      <c r="O29" s="2929"/>
      <c r="P29" s="2929"/>
      <c r="Q29" s="2895"/>
      <c r="R29" s="3495" t="s">
        <v>2827</v>
      </c>
      <c r="S29" s="3496"/>
      <c r="T29" s="3496"/>
      <c r="U29" s="3496"/>
      <c r="V29" s="3496"/>
      <c r="W29" s="3496"/>
      <c r="X29" s="2895"/>
      <c r="Y29" s="3495" t="s">
        <v>2828</v>
      </c>
      <c r="Z29" s="3496"/>
      <c r="AA29" s="3496"/>
      <c r="AB29" s="3496"/>
      <c r="AC29" s="3496"/>
      <c r="AD29" s="3496"/>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8" t="s">
        <v>2839</v>
      </c>
      <c r="B1" s="3508"/>
      <c r="C1" s="3508"/>
      <c r="D1" s="3508"/>
      <c r="E1" s="3508"/>
      <c r="F1" s="3508"/>
      <c r="G1" s="350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88"/>
      <c r="B3" s="3188"/>
      <c r="C3" s="3188"/>
      <c r="D3" s="801" t="s">
        <v>925</v>
      </c>
      <c r="E3" s="801" t="s">
        <v>931</v>
      </c>
      <c r="F3" s="801" t="s">
        <v>925</v>
      </c>
      <c r="G3" s="801" t="s">
        <v>926</v>
      </c>
      <c r="H3" s="801" t="s">
        <v>925</v>
      </c>
      <c r="I3" s="801" t="s">
        <v>926</v>
      </c>
    </row>
    <row r="4" spans="1:9" ht="30">
      <c r="A4" s="1403" t="str">
        <f>项目基本情况!S2</f>
        <v>北京市朝阳区天畅园1号楼1层1-109房地产</v>
      </c>
      <c r="B4" s="801">
        <f>项目基本情况!C17</f>
        <v>108.03</v>
      </c>
      <c r="C4" s="801">
        <f>项目基本情况!C18</f>
        <v>0</v>
      </c>
      <c r="D4" s="801">
        <f>结果表!D118</f>
        <v>0</v>
      </c>
      <c r="E4" s="801">
        <f>结果表!E118</f>
        <v>0</v>
      </c>
      <c r="F4" s="801">
        <f>结果表!F118</f>
        <v>0</v>
      </c>
      <c r="G4" s="801">
        <f>结果表!G118</f>
        <v>0</v>
      </c>
      <c r="H4" s="801">
        <f ca="1">结果表!H118</f>
        <v>329</v>
      </c>
      <c r="I4" s="801">
        <f ca="1">结果表!I118</f>
        <v>30452</v>
      </c>
    </row>
    <row r="5" spans="1:9" ht="30" customHeight="1">
      <c r="A5" s="3188" t="s">
        <v>927</v>
      </c>
      <c r="B5" s="3188"/>
      <c r="C5" s="3188"/>
      <c r="D5" s="3188" t="str">
        <f>结果表!D119</f>
        <v>零元整</v>
      </c>
      <c r="E5" s="3188"/>
      <c r="F5" s="3188" t="str">
        <f>结果表!F119</f>
        <v>零元整</v>
      </c>
      <c r="G5" s="3188"/>
      <c r="H5" s="3188" t="str">
        <f ca="1">结果表!H119</f>
        <v>叁佰贰拾玖万元整</v>
      </c>
      <c r="I5" s="3188"/>
    </row>
    <row r="6" spans="1:9" ht="15.6">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6">
      <c r="A8" s="3187" t="str">
        <f>结果表!A122</f>
        <v>房地产抵押价值</v>
      </c>
      <c r="B8" s="3187"/>
      <c r="C8" s="3187"/>
      <c r="D8" s="3187">
        <f ca="1">结果表!D122</f>
        <v>329</v>
      </c>
      <c r="E8" s="3187"/>
      <c r="F8" s="3187"/>
      <c r="G8" s="3187"/>
      <c r="H8" s="3187"/>
      <c r="I8" s="3187"/>
    </row>
    <row r="9" spans="1:9" ht="15">
      <c r="A9" s="3188" t="s">
        <v>927</v>
      </c>
      <c r="B9" s="3188"/>
      <c r="C9" s="3188"/>
      <c r="D9" s="3188" t="str">
        <f ca="1">结果表!D123</f>
        <v>叁佰贰拾玖万元整</v>
      </c>
      <c r="E9" s="3188"/>
      <c r="F9" s="3188"/>
      <c r="G9" s="3188"/>
      <c r="H9" s="3188"/>
      <c r="I9" s="3188"/>
    </row>
    <row r="10" spans="1:9" ht="15.6">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6">
      <c r="A12" s="3187" t="str">
        <f>结果表!A126</f>
        <v/>
      </c>
      <c r="B12" s="3187"/>
      <c r="C12" s="3187"/>
      <c r="D12" s="3187" t="str">
        <f>结果表!D126</f>
        <v>——</v>
      </c>
      <c r="E12" s="3187"/>
      <c r="F12" s="3187"/>
      <c r="G12" s="3187"/>
      <c r="H12" s="3187"/>
      <c r="I12" s="3187"/>
    </row>
    <row r="13" spans="1:9" ht="15.6" thickBot="1">
      <c r="A13" s="3185" t="s">
        <v>927</v>
      </c>
      <c r="B13" s="3185"/>
      <c r="C13" s="3185"/>
      <c r="D13" s="3185" t="e">
        <f>结果表!D127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0" t="s">
        <v>949</v>
      </c>
      <c r="B1" s="3200"/>
      <c r="C1" s="3200"/>
      <c r="D1" s="3200"/>
    </row>
    <row r="2" spans="1:4" ht="17.399999999999999">
      <c r="A2" s="3201" t="s">
        <v>933</v>
      </c>
      <c r="B2" s="3201"/>
      <c r="C2" s="3201"/>
      <c r="D2" s="320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1" t="s">
        <v>939</v>
      </c>
      <c r="B6" s="3201"/>
      <c r="C6" s="3201"/>
      <c r="D6" s="320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2"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8" t="s">
        <v>956</v>
      </c>
      <c r="B15" s="3203" t="s">
        <v>109</v>
      </c>
      <c r="C15" s="3204"/>
    </row>
    <row r="16" spans="1:7" ht="14.4">
      <c r="A16" s="3209"/>
      <c r="B16" s="3203" t="s">
        <v>42</v>
      </c>
      <c r="C16" s="3204"/>
    </row>
    <row r="17" spans="1:3" ht="14.4">
      <c r="A17" s="3209"/>
      <c r="B17" s="3206" t="s">
        <v>957</v>
      </c>
      <c r="C17" s="1429" t="s">
        <v>956</v>
      </c>
    </row>
    <row r="18" spans="1:3" ht="14.4">
      <c r="A18" s="3209"/>
      <c r="B18" s="3206"/>
      <c r="C18" s="1429" t="s">
        <v>958</v>
      </c>
    </row>
    <row r="19" spans="1:3" ht="14.4">
      <c r="A19" s="3209"/>
      <c r="B19" s="3206"/>
      <c r="C19" s="1429" t="s">
        <v>959</v>
      </c>
    </row>
    <row r="20" spans="1:3" ht="14.4">
      <c r="A20" s="3210"/>
      <c r="B20" s="3205" t="s">
        <v>960</v>
      </c>
      <c r="C20" s="3204"/>
    </row>
    <row r="21" spans="1:3" ht="14.4">
      <c r="A21" s="1430" t="s">
        <v>961</v>
      </c>
      <c r="B21" s="1431"/>
      <c r="C21" s="1432"/>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9" t="s">
        <v>967</v>
      </c>
    </row>
    <row r="26" spans="1:3" ht="14.4">
      <c r="A26" s="3207"/>
      <c r="B26" s="3206"/>
      <c r="C26" s="1429" t="s">
        <v>968</v>
      </c>
    </row>
    <row r="27" spans="1:3" ht="14.4">
      <c r="A27" s="3207"/>
      <c r="B27" s="3206"/>
      <c r="C27" s="1429" t="s">
        <v>969</v>
      </c>
    </row>
    <row r="28" spans="1:3" ht="14.4">
      <c r="A28" s="3207"/>
      <c r="B28" s="3206"/>
      <c r="C28" s="1429" t="s">
        <v>970</v>
      </c>
    </row>
    <row r="29" spans="1:3" ht="14.4">
      <c r="A29" s="3207"/>
      <c r="B29" s="3206"/>
      <c r="C29" s="1429" t="s">
        <v>971</v>
      </c>
    </row>
    <row r="30" spans="1:3" ht="14.4">
      <c r="A30" s="3207"/>
      <c r="B30" s="3206"/>
      <c r="C30" s="1429" t="s">
        <v>972</v>
      </c>
    </row>
    <row r="31" spans="1:3" ht="14.4">
      <c r="A31" s="3207"/>
      <c r="B31" s="3206"/>
      <c r="C31" s="1429" t="s">
        <v>973</v>
      </c>
    </row>
    <row r="32" spans="1:3" ht="14.4">
      <c r="A32" s="3207"/>
      <c r="B32" s="3206"/>
      <c r="C32" s="1429" t="s">
        <v>974</v>
      </c>
    </row>
    <row r="33" spans="1:3" ht="14.4">
      <c r="A33" s="3207"/>
      <c r="B33" s="320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信息</vt:lpstr>
      <vt:lpstr>案例</vt:lpstr>
      <vt:lpstr>售价案例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2025-05-09T02:59:09Z</dcterms:modified>
</cp:coreProperties>
</file>