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J53" i="15" l="1"/>
  <c r="E13" i="1"/>
  <c r="G20"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C19" i="57"/>
  <c r="D3" i="61"/>
  <c r="E2" i="21"/>
  <c r="E2" i="33"/>
  <c r="F6" i="61"/>
  <c r="D7" i="61"/>
  <c r="E2" i="37"/>
  <c r="H23" i="31"/>
  <c r="E2" i="34"/>
  <c r="D6" i="61"/>
  <c r="C20" i="57"/>
  <c r="F5" i="61"/>
  <c r="F4" i="61"/>
  <c r="D20" i="57"/>
  <c r="F3" i="61"/>
  <c r="E2" i="35"/>
  <c r="D5" i="61"/>
  <c r="F7" i="61"/>
  <c r="E2" i="11"/>
  <c r="D19" i="57"/>
  <c r="E2" i="36"/>
  <c r="D4" i="61"/>
  <c r="A8" i="52" l="1"/>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J7" i="36"/>
  <c r="W7" i="36"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20" i="9"/>
  <c r="D19" i="9"/>
  <c r="D101" i="9" l="1"/>
  <c r="D102"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C20" i="9"/>
  <c r="C19" i="9"/>
  <c r="E49" i="34" l="1"/>
  <c r="I54" i="34" s="1"/>
  <c r="J54" i="34" s="1"/>
  <c r="D22" i="9"/>
  <c r="C101" i="9"/>
  <c r="G19" i="9"/>
  <c r="C102" i="9"/>
  <c r="G20" i="9"/>
  <c r="C32" i="9" s="1"/>
  <c r="C35" i="9" s="1"/>
  <c r="C34" i="9" s="1"/>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E53" i="34" l="1"/>
  <c r="F53"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8" i="50" l="1"/>
  <c r="B22" i="60" s="1"/>
  <c r="D16" i="50"/>
  <c r="B30" i="60" s="1"/>
  <c r="E121" i="9"/>
  <c r="D121" i="9" s="1"/>
  <c r="D122" i="9" s="1"/>
  <c r="G121" i="9"/>
  <c r="F121" i="9" s="1"/>
  <c r="F122" i="9" s="1"/>
  <c r="I121" i="9"/>
  <c r="C104" i="9" s="1"/>
  <c r="D107" i="9" l="1"/>
  <c r="I103" i="9"/>
  <c r="H121" i="9"/>
  <c r="H122" i="9" l="1"/>
  <c r="D14" i="62"/>
  <c r="I102" i="9"/>
  <c r="C103" i="9"/>
  <c r="D106" i="9"/>
  <c r="D112" i="9" s="1"/>
  <c r="D117" i="9" l="1"/>
  <c r="I115" i="9" s="1"/>
  <c r="D113" i="9"/>
  <c r="I111" i="9" s="1"/>
  <c r="D126" i="9" s="1"/>
  <c r="I110" i="9"/>
  <c r="N48" i="9"/>
  <c r="D45" i="9"/>
  <c r="E14" i="62"/>
  <c r="B5" i="62"/>
  <c r="F14" i="62"/>
  <c r="C5" i="62" l="1"/>
  <c r="D5" i="62"/>
  <c r="D52" i="9"/>
  <c r="C93" i="9"/>
  <c r="C86" i="9" s="1"/>
  <c r="C85" i="9"/>
  <c r="D53" i="9"/>
  <c r="D48" i="9" s="1"/>
  <c r="N52" i="9" s="1"/>
  <c r="O57" i="9" s="1"/>
  <c r="C64" i="9"/>
  <c r="C63" i="9" s="1"/>
  <c r="C67" i="9" s="1"/>
  <c r="C68" i="9" s="1"/>
  <c r="D54" i="9" s="1"/>
  <c r="C78" i="9"/>
  <c r="C73" i="9" s="1"/>
  <c r="C72" i="9"/>
  <c r="D125" i="9"/>
  <c r="G14" i="62" s="1"/>
  <c r="B6" i="62" s="1"/>
  <c r="N49" i="9"/>
  <c r="C95" i="9" l="1"/>
  <c r="C79" i="9"/>
  <c r="C80" i="9" s="1"/>
  <c r="E80" i="9" s="1"/>
  <c r="E81" i="9" s="1"/>
  <c r="O59" i="9"/>
  <c r="M68" i="9"/>
  <c r="N68" i="9" s="1"/>
  <c r="M64" i="9"/>
  <c r="N64" i="9" s="1"/>
  <c r="M66" i="9"/>
  <c r="N66" i="9" s="1"/>
  <c r="M63" i="9"/>
  <c r="N63" i="9" s="1"/>
  <c r="M67" i="9"/>
  <c r="N67" i="9" s="1"/>
  <c r="M65" i="9"/>
  <c r="N65" i="9" s="1"/>
  <c r="C81" i="9"/>
  <c r="C96" i="9"/>
  <c r="E96" i="9" s="1"/>
  <c r="E97" i="9" s="1"/>
  <c r="D6" i="62"/>
  <c r="C6" i="62"/>
  <c r="Q57" i="9"/>
  <c r="O58" i="9"/>
  <c r="N69" i="9" l="1"/>
  <c r="O69" i="9" s="1"/>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<sst xmlns="http://schemas.openxmlformats.org/spreadsheetml/2006/main" count="6910" uniqueCount="3046">
  <si>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</si>
  <si>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</si>
  <si>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</si>
  <si>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</si>
  <si>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</si>
  <si>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</si>
  <si>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</si>
  <si>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</si>
  <si>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</si>
  <si>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</si>
  <si>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</si>
  <si>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</si>
  <si>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</si>
  <si>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</si>
  <si>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</si>
  <si>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</si>
  <si>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</si>
  <si>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</si>
  <si>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</si>
  <si>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</si>
  <si>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</si>
  <si>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</si>
  <si>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</si>
  <si>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</si>
  <si>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</si>
  <si>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</si>
  <si>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</si>
  <si>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</si>
  <si>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</si>
  <si>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</si>
  <si>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</si>
  <si>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</si>
  <si>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</si>
  <si>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</si>
  <si>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</si>
  <si>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</si>
  <si>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</si>
  <si>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</si>
  <si>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</si>
  <si>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</si>
  <si>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</si>
  <si>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</si>
  <si>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</si>
  <si>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</si>
  <si>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</si>
  <si>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</si>
  <si>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</si>
  <si>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</si>
  <si>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</si>
  <si>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</si>
  <si>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</si>
  <si>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</si>
  <si>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</si>
  <si>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</si>
  <si>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</si>
  <si>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</si>
  <si>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</si>
  <si>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</si>
  <si>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</si>
  <si>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</si>
  <si>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</si>
  <si>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</si>
  <si>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</si>
  <si>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</si>
  <si>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</si>
  <si>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</si>
  <si>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</si>
  <si>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</si>
  <si>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</si>
  <si>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</si>
  <si>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</si>
  <si>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</si>
  <si>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</si>
  <si>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</si>
  <si>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</si>
  <si>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</si>
  <si>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</si>
  <si>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</si>
  <si>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</si>
  <si>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</si>
  <si>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</si>
  <si>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</si>
  <si>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</si>
  <si>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</si>
  <si>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</si>
  <si>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</si>
  <si>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</si>
  <si>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</si>
  <si>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</si>
  <si>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</si>
  <si>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</si>
  <si>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</si>
  <si>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</si>
  <si>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</si>
  <si>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</si>
  <si>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</si>
  <si>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</si>
  <si>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</si>
  <si>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</si>
  <si>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</si>
  <si>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</si>
  <si>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</si>
  <si>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</si>
  <si>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</si>
  <si>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</si>
  <si>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</si>
  <si>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</si>
  <si>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</si>
  <si>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</si>
  <si>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</si>
  <si>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</si>
  <si>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</si>
  <si>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</si>
  <si>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</si>
  <si>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</si>
  <si>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</si>
  <si>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</si>
  <si>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</si>
  <si>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</si>
  <si>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</si>
  <si>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</si>
  <si>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</si>
  <si>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</si>
  <si>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</si>
  <si>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</si>
  <si>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</si>
  <si>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</si>
  <si>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</si>
  <si>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</si>
  <si>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</si>
  <si>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</si>
  <si>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</si>
  <si>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</si>
  <si>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</si>
  <si>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</si>
  <si>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</si>
  <si>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</si>
  <si>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</si>
  <si>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</si>
  <si>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</si>
  <si>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</si>
  <si>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</si>
  <si>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</si>
  <si>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</si>
  <si>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</si>
  <si>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</si>
  <si>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</si>
  <si>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</si>
  <si>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</si>
  <si>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</si>
  <si>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</si>
  <si>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</si>
  <si>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</si>
  <si>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</si>
  <si>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</si>
  <si>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</si>
  <si>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</si>
  <si>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</si>
  <si>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</si>
  <si>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</si>
  <si>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</si>
  <si>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</si>
  <si>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</si>
  <si>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</si>
  <si>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</si>
  <si>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</si>
  <si>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</si>
  <si>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</si>
  <si>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</si>
  <si>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</si>
  <si>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</si>
  <si>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</si>
  <si>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</si>
  <si>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</si>
  <si>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</si>
  <si>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</si>
  <si>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</si>
  <si>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</si>
  <si>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</si>
  <si>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</si>
  <si>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</si>
  <si>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</si>
  <si>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</si>
  <si>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</si>
  <si>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</si>
  <si>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</si>
  <si>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</si>
  <si>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</si>
  <si>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</si>
  <si>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</si>
  <si>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</si>
  <si>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</si>
  <si>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</si>
  <si>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</si>
  <si>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</si>
  <si>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</si>
  <si>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</si>
  <si>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</si>
  <si>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</si>
  <si>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</si>
  <si>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</si>
  <si>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</si>
  <si>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</si>
  <si>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</si>
  <si>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</si>
  <si>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</si>
  <si>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</si>
  <si>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</si>
  <si>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</si>
  <si>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</si>
  <si>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</si>
  <si>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</si>
  <si>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</si>
  <si>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</si>
  <si>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</si>
  <si>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</si>
  <si>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</si>
  <si>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</si>
  <si>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</si>
  <si>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</si>
  <si>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</si>
  <si>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</si>
  <si>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</si>
  <si>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</si>
  <si>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</si>
  <si>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</si>
  <si>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</si>
  <si>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</si>
  <si>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</si>
  <si>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</si>
  <si>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</si>
  <si>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</si>
  <si>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</si>
  <si>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</si>
  <si>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</si>
  <si>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</si>
  <si>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</si>
  <si>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</si>
  <si>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</si>
  <si>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</si>
  <si>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</si>
  <si>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</si>
  <si>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</si>
  <si>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</si>
  <si>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</si>
  <si>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</si>
  <si>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</si>
  <si>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</si>
  <si>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</si>
  <si>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</si>
  <si>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</si>
  <si>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</si>
  <si>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</si>
  <si>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</si>
  <si>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</si>
  <si>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</si>
  <si>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</si>
  <si>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</si>
  <si>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</si>
  <si>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</si>
  <si>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</si>
  <si>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</si>
  <si>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</si>
  <si>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</si>
  <si>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</si>
  <si>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</si>
  <si>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</si>
  <si>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</si>
  <si>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</si>
  <si>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</si>
  <si>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</si>
  <si>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</si>
  <si>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</si>
  <si>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</si>
  <si>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</si>
  <si>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</si>
  <si>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</si>
  <si>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</si>
  <si>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</si>
  <si>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</si>
  <si>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</si>
  <si>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</si>
  <si>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</si>
  <si>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</si>
  <si>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</si>
  <si>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</si>
  <si>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</si>
  <si>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</si>
  <si>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</si>
  <si>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</si>
  <si>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</si>
  <si>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</si>
  <si>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</si>
  <si>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</si>
  <si>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</si>
  <si>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</si>
  <si>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</si>
  <si>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</si>
  <si>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</si>
  <si>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</si>
  <si>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</si>
  <si>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</si>
  <si>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</si>
  <si>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</si>
  <si>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</si>
  <si>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</si>
  <si>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</si>
  <si>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</si>
  <si>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</si>
  <si>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</si>
  <si>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</si>
  <si>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</si>
  <si>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</si>
  <si>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</si>
  <si>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</si>
  <si>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</si>
  <si>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</si>
  <si>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</si>
  <si>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</si>
  <si>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</si>
  <si>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</si>
  <si>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</si>
  <si>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</si>
  <si>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</si>
  <si>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</si>
  <si>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</si>
  <si>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</si>
  <si>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</si>
  <si>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</si>
  <si>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</si>
  <si>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</si>
  <si>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</si>
  <si>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</si>
  <si>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</si>
  <si>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</si>
  <si>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</si>
  <si>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</si>
  <si>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</si>
  <si>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</si>
  <si>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</si>
  <si>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</si>
  <si>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</si>
  <si>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</si>
  <si>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</si>
  <si>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</si>
  <si>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</si>
  <si>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</si>
  <si>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</si>
  <si>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</si>
  <si>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</si>
  <si>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</si>
  <si>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</si>
  <si>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</si>
  <si>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</si>
  <si>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</si>
  <si>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</si>
  <si>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</si>
  <si>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</si>
  <si>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</si>
  <si>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</si>
  <si>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</si>
  <si>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</si>
  <si>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</si>
  <si>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</si>
  <si>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</si>
  <si>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</si>
  <si>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</si>
  <si>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</si>
  <si>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</si>
  <si>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</si>
  <si>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</si>
  <si>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</si>
  <si>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</si>
  <si>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</si>
  <si>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</si>
  <si>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</si>
  <si>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</si>
  <si>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</si>
  <si>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</si>
  <si>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</si>
  <si>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</si>
  <si>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</si>
  <si>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</si>
  <si>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</si>
  <si>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</si>
  <si>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</si>
  <si>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</si>
  <si>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</si>
  <si>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</si>
  <si>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</si>
  <si>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</si>
  <si>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</si>
  <si>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</si>
  <si>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</si>
  <si>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</si>
  <si>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</si>
  <si>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</si>
  <si>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</si>
  <si>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</si>
  <si>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</si>
  <si>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</si>
  <si>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</si>
  <si>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</si>
  <si>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</si>
  <si>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</si>
  <si>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</si>
  <si>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</si>
  <si>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</si>
  <si>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</si>
  <si>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</si>
  <si>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</si>
  <si>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</si>
  <si>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</si>
  <si>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</si>
  <si>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</si>
  <si>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</si>
  <si>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</si>
  <si>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</si>
  <si>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</si>
  <si>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</si>
  <si>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</si>
  <si>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</si>
  <si>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</si>
  <si>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</si>
  <si>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</si>
  <si>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</si>
  <si>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</si>
  <si>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</si>
  <si>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</si>
  <si>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</si>
  <si>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</si>
  <si>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</si>
  <si>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</si>
  <si>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</si>
  <si>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</si>
  <si>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</si>
  <si>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</si>
  <si>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</si>
  <si>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</si>
  <si>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</si>
  <si>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</si>
  <si>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</si>
  <si>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</si>
  <si>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</si>
  <si>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</si>
  <si>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</si>
  <si>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</si>
  <si>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</si>
  <si>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</si>
  <si>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</si>
  <si>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</si>
  <si>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</si>
  <si>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</si>
  <si>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</si>
  <si>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</si>
  <si>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</si>
  <si>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</si>
  <si>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</si>
  <si>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</si>
  <si>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</si>
  <si>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</si>
  <si>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</si>
  <si>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</si>
  <si>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</si>
  <si>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</si>
  <si>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</si>
  <si>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</si>
  <si>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</si>
  <si>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</si>
  <si>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</si>
  <si>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</si>
  <si>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</si>
  <si>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</si>
  <si>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</si>
  <si>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</si>
  <si>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</si>
  <si>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</si>
  <si>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</si>
  <si>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</si>
  <si>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</si>
  <si>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</si>
  <si>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</si>
  <si>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</si>
  <si>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</si>
  <si>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</si>
  <si>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</si>
  <si>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</si>
  <si>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</si>
  <si>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</si>
  <si>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</si>
  <si>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</si>
  <si>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</si>
  <si>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</si>
  <si>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</si>
  <si>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</si>
  <si>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</si>
  <si>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</si>
  <si>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</si>
  <si>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</si>
  <si>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</si>
  <si>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</si>
  <si>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</si>
  <si>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</si>
  <si>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</si>
  <si>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</si>
  <si>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</si>
  <si>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</si>
  <si>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</si>
  <si>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</si>
  <si>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</si>
  <si>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</si>
  <si>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</si>
  <si>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</si>
  <si>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</si>
  <si>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</si>
  <si>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</si>
  <si>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</si>
  <si>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</si>
  <si>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</si>
  <si>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</si>
  <si>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</si>
  <si>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</si>
  <si>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</si>
  <si>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</si>
  <si>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</si>
  <si>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</si>
  <si>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</si>
  <si>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</si>
  <si>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</si>
  <si>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</si>
  <si>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</si>
  <si>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</si>
  <si>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</si>
  <si>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</si>
  <si>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</si>
  <si>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</si>
  <si>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</si>
  <si>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</si>
  <si>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</si>
  <si>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</si>
  <si>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</si>
  <si>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</si>
  <si>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</si>
  <si>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</si>
  <si>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</si>
  <si>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</si>
  <si>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</si>
  <si>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</si>
  <si>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</si>
  <si>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</si>
  <si>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</si>
  <si>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</si>
  <si>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</si>
  <si>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</si>
  <si>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</si>
  <si>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</si>
  <si>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</si>
  <si>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</si>
  <si>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</si>
  <si>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</si>
  <si>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</si>
  <si>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</si>
  <si>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</si>
  <si>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</si>
  <si>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</si>
  <si>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</si>
  <si>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</si>
  <si>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</si>
  <si>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</si>
  <si>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</si>
  <si>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</si>
  <si>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</si>
  <si>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</si>
  <si>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</si>
  <si>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</si>
  <si>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</si>
  <si>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</si>
  <si>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</si>
  <si>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</si>
  <si>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</si>
  <si>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</si>
  <si>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</si>
  <si>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</si>
  <si>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</si>
  <si>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</si>
  <si>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</si>
  <si>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</si>
  <si>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</si>
  <si>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</si>
  <si>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</si>
  <si>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</si>
  <si>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</si>
  <si>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</si>
  <si>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</si>
  <si>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</si>
  <si>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</si>
  <si>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</si>
  <si>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</si>
  <si>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</si>
  <si>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</si>
  <si>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</si>
  <si>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</si>
  <si>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</si>
  <si>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</si>
  <si>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</si>
  <si>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</si>
  <si>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</si>
  <si>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</si>
  <si>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</si>
  <si>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</si>
  <si>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</si>
  <si>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</si>
  <si>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</si>
  <si>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</si>
  <si>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</si>
  <si>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</si>
  <si>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</si>
  <si>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</si>
  <si>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</si>
  <si>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</si>
  <si>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</si>
  <si>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</si>
  <si>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</si>
  <si>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</si>
  <si>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</si>
  <si>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</si>
  <si>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</si>
  <si>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</si>
  <si>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</si>
  <si>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</si>
  <si>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</si>
  <si>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</si>
  <si>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</si>
  <si>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</si>
  <si>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</si>
  <si>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</si>
  <si>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</si>
  <si>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</si>
  <si>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</si>
  <si>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</si>
  <si>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</si>
  <si>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</si>
  <si>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</si>
  <si>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</si>
  <si>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</si>
  <si>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</si>
  <si>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</si>
  <si>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</si>
  <si>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</si>
  <si>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</si>
  <si>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</si>
  <si>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</si>
  <si>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</si>
  <si>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</si>
  <si>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</si>
  <si>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</si>
  <si>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</si>
  <si>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</si>
  <si>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</si>
  <si>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</si>
  <si>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</si>
  <si>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</si>
  <si>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</si>
  <si>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</si>
  <si>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</si>
  <si>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</si>
  <si>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</si>
  <si>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</si>
  <si>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</si>
  <si>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</si>
  <si>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</si>
  <si>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</si>
  <si>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</si>
  <si>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</si>
  <si>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</si>
  <si>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</si>
  <si>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</si>
  <si>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</si>
  <si>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</si>
  <si>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</si>
  <si>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</si>
  <si>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</si>
  <si>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</si>
  <si>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</si>
  <si>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</si>
  <si>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</si>
  <si>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</si>
  <si>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</si>
  <si>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</si>
  <si>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</si>
  <si>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</si>
  <si>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</si>
  <si>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</si>
  <si>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</si>
  <si>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</si>
  <si>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</si>
  <si>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</si>
  <si>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</si>
  <si>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</si>
  <si>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</si>
  <si>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</si>
  <si>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</si>
  <si>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</si>
  <si>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</si>
  <si>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</si>
  <si>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</si>
  <si>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</si>
  <si>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</si>
  <si>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</si>
  <si>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</si>
  <si>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</si>
  <si>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</si>
  <si>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</si>
  <si>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</si>
  <si>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</si>
  <si>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</si>
  <si>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</si>
  <si>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</si>
  <si>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</si>
  <si>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</si>
  <si>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</si>
  <si>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</si>
  <si>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</si>
  <si>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</si>
  <si>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</si>
  <si>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</si>
  <si>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</si>
  <si>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</si>
  <si>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</si>
  <si>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</si>
  <si>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</si>
  <si>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</si>
  <si>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</si>
  <si>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</si>
  <si>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</si>
  <si>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</si>
  <si>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</si>
  <si>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</si>
  <si>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</si>
  <si>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</si>
  <si>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</si>
  <si>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</si>
  <si>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</si>
  <si>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</si>
  <si>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</si>
  <si>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</si>
  <si>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</si>
  <si>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</si>
  <si>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</si>
  <si>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</si>
  <si>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</si>
  <si>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</si>
  <si>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</si>
  <si>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</si>
  <si>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</si>
  <si>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</si>
  <si>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</si>
  <si>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</si>
  <si>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</si>
  <si>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</si>
  <si>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</si>
  <si>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</si>
  <si>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</si>
  <si>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</si>
  <si>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</si>
  <si>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</si>
  <si>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</si>
  <si>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</si>
  <si>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</si>
  <si>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</si>
  <si>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</si>
  <si>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</si>
  <si>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</si>
  <si>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</si>
  <si>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</si>
  <si>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</si>
  <si>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</si>
  <si>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</si>
  <si>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</si>
  <si>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</si>
  <si>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</si>
  <si>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</si>
  <si>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</si>
  <si>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</si>
  <si>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</si>
  <si>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</si>
  <si>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</si>
  <si>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</si>
  <si>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</si>
  <si>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</si>
  <si>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</si>
  <si>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</si>
  <si>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</si>
  <si>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</si>
  <si>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</si>
  <si>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</si>
  <si>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</si>
  <si>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</si>
  <si>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</si>
  <si>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</si>
  <si>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</si>
  <si>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</si>
  <si>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</si>
  <si>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</si>
  <si>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</si>
  <si>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</si>
  <si>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</si>
  <si>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</si>
  <si>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</si>
  <si>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</si>
  <si>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</si>
  <si>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</si>
  <si>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</si>
  <si>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</si>
  <si>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</si>
  <si>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</si>
  <si>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</si>
  <si>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</si>
  <si>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</si>
  <si>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</si>
  <si>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</si>
  <si>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</si>
  <si>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</si>
  <si>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</si>
  <si>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</si>
  <si>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</si>
  <si>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</si>
  <si>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</si>
  <si>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</si>
  <si>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</si>
  <si>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</si>
  <si>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</si>
  <si>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</si>
  <si>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</si>
  <si>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</si>
  <si>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</si>
  <si>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</si>
  <si>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</si>
  <si>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</si>
  <si>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</si>
  <si>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</si>
  <si>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</si>
  <si>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</si>
  <si>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</si>
  <si>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</si>
  <si>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</si>
  <si>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</si>
  <si>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</si>
  <si>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</si>
  <si>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</si>
  <si>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</si>
  <si>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</si>
  <si>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</si>
  <si>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</si>
  <si>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</si>
  <si>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</si>
  <si>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</si>
  <si>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</si>
  <si>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</si>
  <si>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</si>
  <si>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</si>
  <si>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</si>
  <si>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</si>
  <si>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</si>
  <si>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</si>
  <si>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</si>
  <si>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</si>
  <si>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</si>
  <si>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</si>
  <si>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</si>
  <si>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</si>
  <si>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</si>
  <si>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</si>
  <si>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</si>
  <si>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</si>
  <si>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</si>
  <si>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</si>
  <si>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</si>
  <si>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</si>
  <si>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</si>
  <si>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</si>
  <si>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</si>
  <si>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</si>
  <si>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</si>
  <si>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</si>
  <si>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</si>
  <si>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</si>
  <si>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</si>
  <si>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</si>
  <si>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</si>
  <si>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</si>
  <si>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</si>
  <si>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</si>
  <si>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</si>
  <si>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</si>
  <si>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</si>
  <si>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</si>
  <si>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</si>
  <si>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</si>
  <si>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</si>
  <si>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</si>
  <si>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</si>
  <si>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</si>
  <si>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</si>
  <si>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</si>
  <si>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</si>
  <si>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</si>
  <si>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</si>
  <si>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</si>
  <si>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</si>
  <si>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</si>
  <si>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</si>
  <si>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</si>
  <si>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</si>
  <si>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</si>
  <si>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</si>
  <si>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</si>
  <si>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</si>
  <si>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</si>
  <si>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</si>
  <si>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</si>
  <si>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</si>
  <si>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</si>
  <si>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</si>
  <si>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</si>
  <si>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</si>
  <si>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</si>
  <si>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</si>
  <si>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</si>
  <si>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</si>
  <si>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</si>
  <si>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</si>
  <si>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</si>
  <si>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</si>
  <si>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</si>
  <si>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</si>
  <si>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</si>
  <si>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</si>
  <si>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</si>
  <si>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</si>
  <si>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</si>
  <si>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</si>
  <si>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</si>
  <si>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</si>
  <si>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</si>
  <si>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</si>
  <si>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</si>
  <si>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</si>
  <si>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</si>
  <si>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</si>
  <si>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</si>
  <si>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</si>
  <si>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</si>
  <si>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</si>
  <si>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</si>
  <si>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</si>
  <si>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</si>
  <si>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</si>
  <si>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</si>
  <si>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</si>
  <si>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</si>
  <si>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</si>
  <si>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</si>
  <si>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</si>
  <si>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</si>
  <si>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</si>
  <si>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</si>
  <si>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</si>
  <si>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</si>
  <si>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</si>
  <si>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</si>
  <si>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</si>
  <si>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</si>
  <si>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</si>
  <si>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</si>
  <si>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</si>
  <si>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</si>
  <si>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</si>
  <si>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</si>
  <si>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</si>
  <si>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</si>
  <si>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</si>
  <si>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</si>
  <si>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</si>
  <si>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</si>
  <si>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</si>
  <si>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</si>
  <si>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</si>
  <si>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</si>
  <si>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</si>
  <si>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</si>
  <si>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</si>
  <si>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</si>
  <si>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</si>
  <si>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</si>
  <si>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</si>
  <si>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</si>
  <si>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</si>
  <si>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</si>
  <si>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</si>
  <si>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</si>
  <si>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</si>
  <si>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</si>
  <si>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</si>
  <si>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</si>
  <si>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</si>
  <si>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</si>
  <si>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</si>
  <si>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</si>
  <si>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</si>
  <si>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</si>
  <si>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</si>
  <si>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</si>
  <si>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</si>
  <si>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</si>
  <si>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</si>
  <si>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</si>
  <si>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</si>
  <si>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</si>
  <si>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</si>
  <si>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</si>
  <si>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</si>
  <si>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</si>
  <si>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</si>
  <si>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</si>
  <si>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</si>
  <si>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</si>
  <si>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</si>
  <si>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</si>
  <si>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</si>
  <si>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</si>
  <si>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</si>
  <si>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</si>
  <si>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</si>
  <si>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</si>
  <si>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</si>
  <si>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</si>
  <si>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</si>
  <si>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</si>
  <si>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</si>
  <si>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</si>
  <si>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</si>
  <si>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</si>
  <si>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</si>
  <si>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</si>
  <si>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</si>
  <si>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</si>
  <si>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</si>
  <si>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</si>
  <si>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</si>
  <si>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</si>
  <si>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</si>
  <si>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</si>
  <si>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</si>
  <si>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</si>
  <si>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</si>
  <si>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</si>
  <si>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</si>
  <si>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</si>
  <si>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</si>
  <si>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</si>
  <si>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</si>
  <si>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</si>
  <si>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</si>
  <si>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</si>
  <si>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</si>
  <si>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</si>
  <si>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</si>
  <si>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</si>
  <si>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</si>
  <si>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</si>
  <si>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</si>
  <si>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</si>
  <si>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</si>
  <si>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</si>
  <si>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</si>
  <si>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</si>
  <si>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</si>
  <si>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</si>
  <si>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</si>
  <si>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</si>
  <si>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</si>
  <si>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</si>
  <si>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</si>
  <si>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</si>
  <si>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</si>
  <si>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</si>
  <si>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</si>
  <si>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</si>
  <si>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</si>
  <si>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</si>
  <si>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</si>
  <si>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</si>
  <si>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</si>
  <si>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</si>
  <si>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</si>
  <si>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</si>
  <si>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</si>
  <si>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</si>
  <si>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</si>
  <si>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</si>
  <si>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</si>
  <si>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</si>
  <si>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</si>
  <si>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</si>
  <si>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</si>
  <si>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</si>
  <si>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</si>
  <si>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</si>
  <si>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</si>
  <si>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</si>
  <si>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</si>
  <si>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</si>
  <si>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</si>
  <si>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</si>
  <si>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</si>
  <si>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</si>
  <si>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</si>
  <si>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</si>
  <si>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</si>
  <si>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</si>
  <si>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</si>
  <si>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</si>
  <si>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</si>
  <si>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</si>
  <si>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</si>
  <si>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</si>
  <si>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</si>
  <si>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</si>
  <si>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</si>
  <si>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</si>
  <si>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</si>
  <si>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</si>
  <si>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</si>
  <si>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</si>
  <si>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</si>
  <si>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</si>
  <si>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</si>
  <si>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</si>
  <si>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</si>
  <si>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</si>
  <si>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</si>
  <si>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</si>
  <si>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</si>
  <si>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</si>
  <si>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</si>
  <si>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</si>
  <si>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</si>
  <si>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</si>
  <si>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</si>
  <si>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</si>
  <si>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</si>
  <si>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</si>
  <si>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</si>
  <si>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</si>
  <si>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</si>
  <si>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</si>
  <si>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</si>
  <si>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</si>
  <si>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</si>
  <si>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</si>
  <si>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</si>
  <si>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</si>
  <si>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</si>
  <si>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</si>
  <si>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</si>
  <si>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</si>
  <si>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</si>
  <si>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</si>
  <si>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</si>
  <si>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</si>
  <si>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</si>
  <si>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</si>
  <si>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</si>
  <si>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</si>
  <si>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</si>
  <si>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</si>
  <si>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</si>
  <si>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</si>
  <si>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</si>
  <si>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</si>
  <si>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</si>
  <si>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</si>
  <si>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</si>
  <si>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</si>
  <si>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</si>
  <si>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</si>
  <si>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</si>
  <si>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</si>
  <si>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</si>
  <si>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</si>
  <si>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</si>
  <si>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</si>
  <si>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</si>
  <si>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</si>
  <si>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</si>
  <si>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</si>
  <si>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</si>
  <si>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</si>
  <si>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</si>
  <si>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</si>
  <si>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</si>
  <si>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</si>
  <si>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</si>
  <si>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</si>
  <si>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</si>
  <si>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</si>
  <si>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</si>
  <si>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</si>
  <si>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</si>
  <si>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</si>
  <si>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</si>
  <si>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</si>
  <si>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</si>
  <si>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</si>
  <si>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</si>
  <si>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</si>
  <si>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</si>
  <si>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</si>
  <si>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</si>
  <si>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</si>
  <si>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</si>
  <si>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</si>
  <si>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</si>
  <si>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</si>
  <si>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</si>
  <si>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</si>
  <si>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</si>
  <si>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</si>
  <si>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</si>
  <si>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</si>
  <si>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</si>
  <si>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</si>
  <si>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</si>
  <si>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</si>
  <si>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</si>
  <si>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</si>
  <si>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</si>
  <si>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</si>
  <si>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</si>
  <si>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</si>
  <si>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</si>
  <si>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</si>
  <si>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</si>
  <si>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</si>
  <si>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</si>
  <si>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</si>
  <si>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</si>
  <si>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</si>
  <si>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</si>
  <si>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</si>
  <si>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</si>
  <si>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</si>
  <si>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</si>
  <si>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</si>
  <si>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</si>
  <si>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</si>
  <si>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</si>
  <si>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</si>
  <si>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</si>
  <si>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</si>
  <si>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</si>
  <si>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</si>
  <si>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</si>
  <si>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</si>
  <si>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</si>
  <si>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</si>
  <si>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</si>
  <si>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</si>
  <si>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</si>
  <si>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</si>
  <si>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</si>
  <si>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</si>
  <si>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</si>
  <si>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</si>
  <si>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</si>
  <si>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</si>
  <si>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</si>
  <si>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</si>
  <si>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</si>
  <si>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</si>
  <si>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</si>
  <si>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</si>
  <si>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</si>
  <si>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</si>
  <si>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</si>
  <si>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</si>
  <si>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</si>
  <si>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</si>
  <si>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</si>
  <si>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</si>
  <si>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</si>
  <si>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</si>
  <si>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</si>
  <si>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</si>
  <si>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</si>
  <si>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</si>
  <si>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</si>
  <si>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</si>
  <si>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</si>
  <si>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</si>
  <si>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</si>
  <si>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</si>
  <si>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</si>
  <si>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</si>
  <si>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</si>
  <si>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</si>
  <si>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</si>
  <si>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</si>
  <si>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</si>
  <si>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</si>
  <si>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</si>
  <si>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</si>
  <si>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</si>
  <si>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</si>
  <si>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</si>
  <si>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</si>
  <si>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</si>
  <si>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</si>
  <si>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</si>
  <si>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</si>
  <si>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</si>
  <si>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</si>
  <si>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</si>
  <si>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</si>
  <si>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</si>
  <si>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</si>
  <si>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</si>
  <si>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</si>
  <si>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</si>
  <si>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</si>
  <si>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</si>
  <si>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</si>
  <si>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</si>
  <si>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</si>
  <si>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</si>
  <si>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</si>
  <si>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</si>
  <si>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</si>
  <si>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</si>
  <si>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</si>
  <si>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</si>
  <si>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</si>
  <si>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</si>
  <si>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</si>
  <si>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</si>
  <si>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</si>
  <si>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</si>
  <si>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</si>
  <si>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</si>
  <si>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</si>
  <si>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</si>
  <si>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</si>
  <si>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</si>
  <si>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</si>
  <si>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</si>
  <si>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</si>
  <si>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</si>
  <si>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</si>
  <si>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</si>
  <si>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</si>
  <si>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</si>
  <si>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</si>
  <si>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</si>
  <si>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</si>
  <si>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</si>
  <si>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</si>
  <si>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</si>
  <si>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</si>
  <si>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</si>
  <si>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</si>
  <si>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</si>
  <si>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</si>
  <si>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</si>
  <si>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</si>
  <si>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</si>
  <si>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</si>
  <si>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</si>
  <si>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</si>
  <si>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</si>
  <si>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</si>
  <si>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</si>
  <si>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</si>
  <si>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</si>
  <si>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</si>
  <si>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</si>
  <si>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</si>
  <si>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</si>
  <si>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</si>
  <si>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</si>
  <si>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</si>
  <si>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</si>
  <si>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</si>
  <si>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</si>
  <si>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</si>
  <si>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</si>
  <si>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</si>
  <si>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</si>
  <si>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</si>
  <si>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</si>
  <si>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</si>
  <si>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</si>
  <si>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</si>
  <si>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</si>
  <si>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</si>
  <si>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</si>
  <si>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</si>
  <si>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</si>
  <si>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</si>
  <si>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</si>
  <si>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</si>
  <si>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</si>
  <si>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</si>
  <si>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</si>
  <si>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</si>
  <si>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</si>
  <si>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</si>
  <si>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</si>
  <si>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</si>
  <si>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</si>
  <si>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</si>
  <si>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</si>
  <si>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</si>
  <si>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</si>
  <si>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</si>
  <si>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</si>
  <si>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</si>
  <si>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</si>
  <si>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</si>
  <si>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</si>
  <si>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</si>
  <si>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</si>
  <si>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</si>
  <si>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</si>
  <si>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</si>
  <si>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</si>
  <si>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</si>
  <si>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</si>
  <si>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</si>
  <si>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</si>
  <si>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</si>
  <si>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</si>
  <si>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</si>
  <si>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</si>
  <si>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</si>
  <si>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</si>
  <si>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</si>
  <si>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</si>
  <si>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</si>
  <si>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</si>
  <si>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</si>
  <si>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</si>
  <si>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</si>
  <si>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</si>
  <si>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</si>
  <si>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</si>
  <si>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</si>
  <si>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</si>
  <si>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</si>
  <si>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</si>
  <si>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</si>
  <si>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</si>
  <si>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</si>
  <si>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</si>
  <si>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</si>
  <si>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</si>
  <si>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</si>
  <si>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</si>
  <si>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</si>
  <si>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</si>
  <si>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</si>
  <si>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</si>
  <si>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</si>
  <si>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</si>
  <si>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</si>
  <si>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</si>
  <si>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</si>
  <si>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</si>
  <si>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</si>
  <si>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</si>
  <si>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</si>
  <si>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</si>
  <si>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</si>
  <si>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</si>
  <si>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</si>
  <si>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</si>
  <si>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</si>
  <si>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</si>
  <si>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</si>
  <si>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</si>
  <si>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</si>
  <si>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</si>
  <si>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</si>
  <si>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</si>
  <si>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</si>
  <si>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</si>
  <si>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</si>
  <si>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</si>
  <si>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</si>
  <si>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</si>
  <si>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</si>
  <si>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</si>
  <si>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</si>
  <si>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</si>
  <si>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</si>
  <si>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</si>
  <si>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</si>
  <si>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</si>
  <si>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</si>
  <si>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</si>
  <si>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</si>
  <si>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</si>
  <si>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</si>
  <si>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</si>
  <si>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</si>
  <si>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</si>
  <si>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</si>
  <si>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</si>
  <si>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</si>
  <si>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</si>
  <si>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</si>
  <si>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</si>
  <si>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</si>
  <si>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</si>
  <si>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</si>
  <si>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</si>
  <si>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</si>
  <si>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</si>
  <si>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</si>
  <si>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</si>
  <si>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</si>
  <si>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</si>
  <si>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</si>
  <si>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</si>
  <si>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</si>
  <si>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</si>
  <si>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</si>
  <si>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</si>
  <si>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</si>
  <si>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</si>
  <si>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</si>
  <si>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</si>
  <si>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</si>
  <si>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</si>
  <si>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</si>
  <si>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</si>
  <si>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</si>
  <si>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</si>
  <si>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</si>
  <si>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</si>
  <si>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</si>
  <si>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</si>
  <si>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</si>
  <si>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</si>
  <si>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</si>
  <si>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</si>
  <si>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</si>
  <si>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</si>
  <si>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</si>
  <si>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</si>
  <si>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</si>
  <si>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</si>
  <si>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</si>
  <si>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</si>
  <si>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</si>
  <si>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</si>
  <si>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</si>
  <si>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</si>
  <si>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</si>
  <si>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</si>
  <si>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</si>
  <si>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</si>
  <si>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</si>
  <si>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</si>
  <si>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</si>
  <si>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</si>
  <si>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</si>
  <si>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</si>
  <si>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</si>
  <si>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</si>
  <si>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</si>
  <si>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</si>
  <si>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</si>
  <si>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</si>
  <si>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</si>
  <si>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</si>
  <si>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</si>
  <si>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</si>
  <si>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</si>
  <si>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</si>
  <si>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</si>
  <si>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</si>
  <si>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</si>
  <si>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</si>
  <si>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</si>
  <si>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</si>
  <si>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</si>
  <si>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</si>
  <si>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</si>
  <si>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</si>
  <si>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</si>
  <si>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</si>
  <si>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</si>
  <si>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</si>
  <si>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</si>
  <si>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</si>
  <si>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</si>
  <si>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</si>
  <si>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</si>
  <si>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</si>
  <si>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</si>
  <si>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</si>
  <si>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</si>
  <si>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</si>
  <si>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</si>
  <si>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</si>
  <si>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</si>
  <si>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</si>
  <si>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</si>
  <si>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</si>
  <si>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</si>
  <si>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</si>
  <si>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</si>
  <si>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</si>
  <si>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</si>
  <si>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</si>
  <si>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</si>
  <si>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</si>
  <si>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</si>
  <si>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</si>
  <si>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</si>
  <si>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</si>
  <si>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</si>
  <si>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</si>
  <si>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</si>
  <si>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</si>
  <si>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</si>
  <si>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</si>
  <si>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</si>
  <si>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</si>
  <si>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</si>
  <si>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</si>
  <si>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</si>
  <si>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</si>
  <si>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</si>
  <si>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</si>
  <si>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</si>
  <si>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</si>
  <si>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</si>
  <si>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</si>
  <si>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</si>
  <si>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</si>
  <si>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</si>
  <si>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</si>
  <si>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</si>
  <si>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</si>
  <si>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</si>
  <si>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</si>
  <si>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</si>
  <si>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</si>
  <si>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</si>
  <si>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</si>
  <si>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</si>
  <si>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</si>
  <si>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</si>
  <si>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</si>
  <si>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</si>
  <si>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</si>
  <si>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</si>
  <si>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</si>
  <si>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</si>
  <si>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</si>
  <si>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</si>
  <si>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</si>
  <si>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</si>
  <si>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</si>
  <si>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</si>
  <si>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</si>
  <si>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</si>
  <si>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</si>
  <si>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</si>
  <si>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</si>
  <si>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</si>
  <si>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</si>
  <si>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</si>
  <si>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</si>
  <si>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</si>
  <si>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</si>
  <si>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</si>
  <si>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</si>
  <si>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</si>
  <si>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</si>
  <si>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</si>
  <si>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</si>
  <si>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</si>
  <si>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</si>
  <si>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</si>
  <si>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</si>
  <si>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</si>
  <si>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</si>
  <si>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</si>
  <si>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</si>
  <si>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</si>
  <si>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</si>
  <si>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</si>
  <si>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</si>
  <si>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</si>
  <si>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</si>
  <si>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</si>
  <si>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</si>
  <si>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</si>
  <si>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</si>
  <si>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</si>
  <si>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</si>
  <si>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</si>
  <si>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</si>
  <si>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</si>
  <si>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</si>
  <si>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</si>
  <si>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</si>
  <si>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</si>
  <si>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</si>
  <si>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</si>
  <si>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</si>
  <si>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</si>
  <si>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</si>
  <si>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</si>
  <si>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</si>
  <si>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</si>
  <si>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</si>
  <si>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</si>
  <si>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</si>
  <si>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</si>
  <si>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</si>
  <si>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</si>
  <si>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</si>
  <si>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</si>
  <si>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</si>
  <si>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</si>
  <si>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</si>
  <si>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</si>
  <si>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</si>
  <si>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</si>
  <si>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</si>
  <si>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</si>
  <si>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</si>
  <si>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</si>
  <si>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</si>
  <si>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</si>
  <si>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</si>
  <si>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</si>
  <si>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</si>
  <si>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</si>
  <si>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</si>
  <si>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</si>
  <si>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</si>
  <si>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</si>
  <si>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</si>
  <si>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</si>
  <si>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</si>
  <si>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</si>
  <si>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</si>
  <si>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</si>
  <si>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</si>
  <si>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</si>
  <si>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</si>
  <si>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</si>
  <si>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</si>
  <si>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</si>
  <si>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</si>
  <si>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</si>
  <si>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</si>
  <si>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</si>
  <si>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</si>
  <si>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</si>
  <si>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</si>
  <si>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</si>
  <si>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</si>
  <si>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</si>
  <si>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</si>
  <si>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</si>
  <si>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</si>
  <si>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</si>
  <si>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</si>
  <si>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</si>
  <si>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</si>
  <si>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</si>
  <si>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</si>
  <si>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</si>
  <si>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</si>
  <si>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</si>
  <si>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</si>
  <si>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</si>
  <si>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</si>
  <si>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</si>
  <si>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</si>
  <si>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</si>
  <si>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</si>
  <si>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</si>
  <si>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</si>
  <si>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</si>
  <si>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</si>
  <si>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</si>
  <si>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</si>
  <si>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</si>
  <si>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</si>
  <si>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</si>
  <si>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</si>
  <si>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</si>
  <si>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</si>
  <si>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</si>
  <si>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</si>
  <si>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</si>
  <si>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</si>
  <si>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</si>
  <si>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</si>
  <si>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</si>
  <si>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</si>
  <si>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</si>
  <si>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</si>
  <si>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</si>
  <si>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</si>
  <si>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</si>
  <si>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</si>
  <si>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</si>
  <si>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</si>
  <si>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</si>
  <si>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</si>
  <si>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</si>
  <si>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</si>
  <si>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</si>
  <si>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</si>
  <si>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</si>
  <si>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</si>
  <si>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</si>
  <si>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</si>
  <si>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</si>
  <si>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</si>
  <si>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</si>
  <si>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</si>
  <si>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</si>
  <si>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</si>
  <si>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</si>
  <si>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</si>
  <si>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</si>
  <si>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</si>
  <si>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</si>
  <si>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</si>
  <si>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</si>
  <si>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</si>
  <si>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</si>
  <si>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</si>
  <si>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</si>
  <si>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</si>
  <si>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</si>
  <si>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</si>
  <si>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</si>
  <si>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</si>
  <si>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</si>
  <si>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</si>
  <si>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</si>
  <si>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</si>
  <si>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</si>
  <si>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</si>
  <si>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</si>
  <si>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</si>
  <si>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</si>
  <si>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</si>
  <si>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</si>
  <si>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</si>
  <si>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</si>
  <si>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</si>
  <si>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</si>
  <si>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</si>
  <si>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</si>
  <si>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</si>
  <si>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</si>
  <si>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</si>
  <si>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</si>
  <si>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</si>
  <si>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</si>
  <si>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</si>
  <si>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</si>
  <si>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</si>
  <si>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</si>
  <si>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</si>
  <si>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</si>
  <si>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</si>
  <si>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</si>
  <si>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</si>
  <si>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</si>
  <si>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</si>
  <si>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</si>
  <si>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</si>
  <si>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</si>
  <si>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</si>
  <si>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</si>
  <si>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</si>
  <si>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</si>
  <si>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</si>
  <si>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</si>
  <si>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</si>
  <si>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</si>
  <si>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</si>
  <si>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</si>
  <si>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</si>
  <si>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</si>
  <si>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</si>
  <si>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</si>
  <si>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</si>
  <si>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</si>
  <si>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</si>
  <si>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</si>
  <si>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</si>
  <si>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</si>
  <si>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</si>
  <si>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</si>
  <si>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</si>
  <si>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</si>
  <si>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</si>
  <si>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</si>
  <si>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</si>
  <si>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</si>
  <si>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</si>
  <si>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</si>
  <si>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</si>
  <si>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</si>
  <si>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</si>
  <si>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</si>
  <si>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</si>
  <si>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</si>
  <si>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</si>
  <si>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</si>
  <si>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</si>
  <si>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</si>
  <si>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</si>
  <si>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</si>
  <si>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</si>
  <si>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</si>
  <si>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</si>
  <si>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</si>
  <si>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</si>
  <si>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</si>
  <si>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</si>
  <si>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</si>
  <si>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</si>
  <si>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</si>
  <si>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</si>
  <si>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</si>
  <si>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</si>
  <si>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</si>
  <si>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</si>
  <si>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</si>
  <si>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</si>
  <si>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</si>
  <si>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</si>
  <si>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</si>
  <si>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</si>
  <si>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</si>
  <si>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</si>
  <si>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</si>
  <si>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</si>
  <si>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</si>
  <si>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</si>
  <si>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</si>
  <si>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</si>
  <si>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</si>
  <si>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</si>
  <si>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</si>
  <si>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</si>
  <si>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</si>
  <si>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</si>
  <si>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</si>
  <si>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</si>
  <si>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</si>
  <si>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</si>
  <si>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</si>
  <si>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</si>
  <si>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</si>
  <si>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</si>
  <si>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</si>
  <si>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</si>
  <si>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</si>
  <si>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</si>
  <si>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</si>
  <si>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</si>
  <si>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</si>
  <si>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</si>
  <si>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</si>
  <si>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</si>
  <si>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</si>
  <si>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</si>
  <si>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</si>
  <si>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</si>
  <si>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</si>
  <si>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</si>
  <si>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</si>
  <si>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</si>
  <si>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</si>
  <si>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</si>
  <si>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</si>
  <si>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</si>
  <si>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</si>
  <si>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</si>
  <si>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</si>
  <si>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</si>
  <si>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</si>
  <si>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</si>
  <si>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</si>
  <si>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</si>
  <si>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</si>
  <si>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</si>
  <si>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</si>
  <si>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</si>
  <si>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</si>
  <si>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</si>
  <si>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</si>
  <si>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</si>
  <si>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</si>
  <si>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</si>
  <si>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</si>
  <si>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</si>
  <si>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</si>
  <si>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</si>
  <si>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</si>
  <si>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</si>
  <si>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</si>
  <si>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</si>
  <si>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</si>
  <si>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</si>
  <si>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</si>
  <si>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</si>
  <si>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</si>
  <si>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</si>
  <si>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</si>
  <si>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</si>
  <si>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</si>
  <si>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</si>
  <si>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</si>
  <si>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</si>
  <si>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</si>
  <si>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</si>
  <si>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</si>
  <si>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</si>
  <si>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</si>
  <si>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</si>
  <si>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</si>
  <si>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</si>
  <si>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</si>
  <si>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</si>
  <si>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</si>
  <si>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</si>
  <si>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</si>
  <si>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</si>
  <si>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</si>
  <si>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</si>
  <si>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</si>
  <si>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</si>
  <si>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</si>
  <si>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</si>
  <si>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</si>
  <si>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</si>
  <si>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</si>
  <si>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</si>
  <si>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</si>
  <si>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</si>
  <si>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</si>
  <si>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</si>
  <si>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</si>
  <si>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</si>
  <si>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</si>
  <si>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</si>
  <si>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</si>
  <si>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</si>
  <si>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</si>
  <si>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</si>
  <si>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</si>
  <si>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</si>
  <si>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</si>
  <si>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</si>
  <si>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</si>
  <si>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</si>
  <si>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</si>
  <si>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</si>
  <si>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</si>
  <si>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</si>
  <si>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</si>
  <si>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</si>
  <si>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</si>
  <si>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</si>
  <si>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</si>
  <si>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</si>
  <si>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</si>
  <si>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</si>
  <si>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</si>
  <si>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</si>
  <si>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</si>
  <si>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</si>
  <si>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</si>
  <si>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</si>
  <si>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</si>
  <si>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</si>
  <si>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</si>
  <si>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</si>
  <si>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</si>
  <si>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</si>
  <si>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</si>
  <si>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</si>
  <si>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</si>
  <si>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</si>
  <si>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</si>
  <si>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</si>
  <si>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</si>
  <si>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</si>
  <si>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</si>
  <si>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</si>
  <si>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</si>
  <si>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</si>
  <si>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</si>
  <si>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</si>
  <si>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</si>
  <si>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</si>
  <si>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</si>
  <si>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</si>
  <si>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</si>
  <si>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</si>
  <si>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</si>
  <si>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</si>
  <si>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</si>
  <si>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</si>
  <si>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</si>
  <si>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</si>
  <si>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</si>
  <si>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</si>
  <si>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</si>
  <si>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</si>
  <si>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</si>
  <si>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</si>
  <si>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</si>
  <si>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</si>
  <si>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</si>
  <si>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</si>
  <si>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</si>
  <si>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</si>
  <si>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</si>
  <si>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</si>
  <si>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</si>
  <si>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</si>
  <si>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</si>
  <si>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</si>
  <si>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</si>
  <si>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</si>
  <si>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</si>
  <si>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</si>
  <si>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</si>
  <si>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</si>
  <si>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</si>
  <si>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</si>
  <si>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</si>
  <si>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</si>
  <si>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</si>
  <si>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</si>
  <si>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</si>
  <si>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</si>
  <si>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</si>
  <si>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</si>
  <si>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</si>
  <si>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</si>
  <si>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</si>
  <si>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</si>
  <si>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</si>
  <si>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</si>
  <si>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</si>
  <si>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</si>
  <si>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</si>
  <si>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</si>
  <si>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</si>
  <si>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</si>
  <si>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</si>
  <si>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</si>
  <si>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</si>
  <si>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</si>
  <si>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</si>
  <si>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</si>
  <si>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</si>
  <si>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</si>
  <si>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</si>
  <si>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</si>
  <si>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</si>
  <si>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</si>
  <si>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</si>
  <si>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</si>
  <si>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</si>
  <si>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</si>
  <si>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</si>
  <si>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</si>
  <si>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</si>
  <si>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</si>
  <si>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</si>
  <si>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</si>
  <si>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</si>
  <si>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</si>
  <si>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</si>
  <si>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</si>
  <si>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</si>
  <si>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</si>
  <si>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</si>
  <si>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</si>
  <si>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</si>
  <si>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</si>
  <si>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</si>
  <si>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</si>
  <si>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</si>
  <si>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</si>
  <si>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</si>
  <si>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</si>
  <si>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</si>
  <si>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</si>
  <si>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</si>
  <si>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</si>
  <si>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</si>
  <si>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</si>
  <si>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</si>
  <si>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</si>
  <si>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</si>
  <si>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</si>
  <si>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</si>
  <si>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</si>
  <si>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</si>
  <si>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</si>
  <si>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</si>
  <si>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</si>
  <si>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</si>
  <si>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</si>
  <si>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</si>
  <si>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</si>
  <si>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</si>
  <si>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</si>
  <si>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</si>
  <si>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</si>
  <si>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</si>
  <si>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</si>
  <si>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</si>
  <si>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</si>
  <si>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</si>
  <si>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</si>
  <si>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</si>
  <si>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</si>
  <si>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</si>
  <si>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</si>
  <si>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</si>
  <si>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</si>
  <si>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</si>
  <si>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</si>
  <si>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</si>
  <si>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</si>
  <si>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</si>
  <si>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</si>
  <si>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</si>
  <si>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</si>
  <si>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</si>
  <si>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</si>
  <si>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</si>
  <si>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</si>
  <si>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</si>
  <si>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</si>
  <si>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</si>
  <si>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</si>
  <si>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</si>
  <si>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</si>
  <si>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</si>
  <si>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</si>
  <si>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</si>
  <si>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</si>
  <si>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</si>
  <si>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</si>
  <si>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</si>
  <si>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</si>
  <si>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</si>
  <si>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</si>
  <si>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</si>
  <si>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</si>
  <si>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</si>
  <si>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</si>
  <si>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</si>
  <si>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</si>
  <si>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</si>
  <si>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</si>
  <si>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</si>
  <si>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</si>
  <si>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</si>
  <si>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</si>
  <si>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</si>
  <si>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</si>
  <si>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</si>
  <si>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</si>
  <si>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</si>
  <si>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</si>
  <si>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</si>
  <si>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</si>
  <si>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</si>
  <si>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</si>
  <si>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</si>
  <si>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</si>
  <si>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</si>
  <si>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</si>
  <si>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</si>
  <si>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</si>
  <si>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</si>
  <si>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</si>
  <si>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</si>
  <si>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</si>
  <si>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</si>
  <si>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</si>
  <si>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</si>
  <si>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</si>
  <si>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</si>
  <si>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</si>
  <si>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</si>
  <si>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</si>
  <si>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</si>
  <si>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</si>
  <si>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</si>
  <si>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</si>
  <si>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</si>
  <si>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</si>
  <si>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</si>
  <si>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</si>
  <si>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</si>
  <si>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</si>
  <si>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</si>
  <si>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</si>
  <si>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</si>
  <si>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</si>
  <si>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</si>
  <si>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</si>
  <si>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</si>
  <si>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</si>
  <si>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</si>
  <si>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</si>
  <si>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</si>
  <si>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</si>
  <si>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</si>
  <si>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</si>
  <si>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</si>
  <si>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</si>
  <si>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</si>
  <si>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</si>
  <si>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</si>
  <si>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</si>
  <si>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</si>
  <si>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</si>
  <si>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</si>
  <si>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</si>
  <si>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</si>
  <si>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</si>
  <si>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</si>
  <si>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</si>
  <si>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</si>
  <si>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</si>
  <si>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</si>
  <si>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</si>
  <si>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</si>
  <si>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</si>
  <si>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</si>
  <si>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</si>
  <si>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</si>
  <si>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</si>
  <si>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</si>
  <si>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</si>
  <si>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</si>
  <si>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</si>
  <si>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</si>
  <si>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</si>
  <si>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</si>
  <si>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</si>
  <si>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</si>
  <si>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</si>
  <si>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</si>
  <si>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</si>
  <si>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</si>
  <si>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</si>
  <si>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</si>
  <si>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</si>
  <si>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</si>
  <si>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</si>
  <si>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</si>
  <si>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</si>
  <si>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</si>
  <si>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</si>
  <si>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</si>
  <si>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</si>
  <si>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</si>
  <si>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</si>
  <si>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</si>
  <si>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</si>
  <si>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</si>
  <si>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</si>
  <si>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</si>
  <si>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</si>
  <si>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</si>
  <si>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</si>
  <si>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</si>
  <si>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</si>
  <si>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</si>
  <si>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</si>
  <si>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</si>
  <si>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</si>
  <si>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</si>
  <si>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</si>
  <si>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</si>
  <si>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</si>
  <si>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</si>
  <si>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</si>
  <si>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</si>
  <si>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</si>
  <si>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</si>
  <si>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</si>
  <si>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</si>
  <si>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</si>
  <si>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</si>
  <si>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</si>
  <si>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</si>
  <si>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</si>
  <si>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</si>
  <si>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</si>
  <si>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</si>
  <si>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</si>
  <si>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</si>
  <si>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</si>
  <si>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</si>
  <si>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</si>
  <si>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</si>
  <si>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</si>
  <si>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</si>
  <si>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</si>
  <si>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</si>
  <si>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</si>
  <si>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</si>
  <si>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</si>
  <si>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</si>
  <si>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</si>
  <si>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</si>
  <si>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</si>
  <si>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</si>
  <si>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</si>
  <si>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</si>
  <si>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</si>
  <si>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</si>
  <si>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</si>
  <si>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</si>
  <si>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</si>
  <si>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</si>
  <si>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</si>
  <si>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</si>
  <si>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</si>
  <si>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</si>
  <si>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</si>
  <si>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</si>
  <si>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</si>
  <si>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</si>
  <si>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</si>
  <si>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</si>
  <si>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</si>
  <si>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</si>
  <si>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</si>
  <si>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</si>
  <si>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</si>
  <si>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</si>
  <si>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</si>
  <si>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</si>
  <si>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</si>
  <si>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</si>
  <si>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</si>
  <si>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</si>
  <si>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</si>
  <si>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</si>
  <si>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</si>
  <si>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</si>
  <si>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</si>
  <si>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</si>
  <si>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</si>
  <si>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</si>
  <si>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</si>
  <si>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</si>
  <si>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</si>
  <si>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</si>
  <si>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</si>
  <si>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</si>
  <si>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</si>
  <si>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</si>
  <si>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</si>
  <si>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</si>
  <si>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</si>
  <si>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</si>
  <si>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</si>
  <si>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</si>
  <si>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</si>
  <si>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</si>
  <si>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</si>
  <si>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</si>
  <si>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</si>
  <si>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</si>
  <si>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</si>
  <si>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</si>
  <si>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</si>
  <si>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</si>
  <si>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</si>
  <si>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</si>
  <si>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</si>
  <si>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</si>
  <si>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</si>
  <si>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</si>
  <si>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</si>
  <si>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</si>
  <si>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</si>
  <si>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</si>
  <si>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</si>
  <si>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</si>
  <si>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</si>
  <si>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</si>
  <si>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</si>
  <si>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</si>
  <si>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</si>
  <si>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</si>
  <si>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</si>
  <si>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</si>
  <si>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</si>
  <si>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</si>
  <si>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</si>
  <si>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</si>
  <si>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</si>
  <si>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</si>
  <si>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</si>
  <si>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</si>
  <si>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</si>
  <si>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</si>
  <si>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</si>
  <si>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</si>
  <si>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</si>
  <si>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</si>
  <si>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</si>
  <si>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</si>
  <si>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</si>
  <si>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</si>
  <si>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</si>
  <si>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</si>
  <si>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</si>
  <si>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</si>
  <si>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</si>
  <si>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</si>
  <si>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</si>
  <si>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</si>
  <si>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</si>
  <si>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</si>
  <si>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</si>
  <si>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</si>
  <si>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</si>
  <si>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</si>
  <si>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</si>
  <si>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</si>
  <si>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</si>
  <si>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</si>
  <si>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</si>
  <si>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</si>
  <si>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</si>
  <si>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</si>
  <si>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</si>
  <si>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</si>
  <si>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</si>
  <si>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</si>
  <si>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</si>
  <si>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</si>
  <si>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</si>
  <si>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</si>
  <si>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</si>
  <si>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</si>
  <si>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</si>
  <si>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</si>
  <si>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</si>
  <si>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</si>
  <si>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</si>
  <si>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</si>
  <si>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</si>
  <si>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</si>
  <si>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</si>
  <si>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</si>
  <si>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</si>
  <si>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</si>
  <si>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</si>
  <si>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</si>
  <si>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</si>
  <si>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</si>
  <si>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</si>
  <si>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</si>
  <si>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</si>
  <si>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</si>
  <si>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</si>
  <si>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</si>
  <si>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</si>
  <si>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</si>
  <si>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</si>
  <si>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</si>
  <si>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</si>
  <si>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</si>
  <si>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</si>
  <si>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</si>
  <si>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</si>
  <si>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</si>
  <si>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</si>
  <si>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</si>
  <si>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</si>
  <si>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</si>
  <si>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</si>
  <si>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</si>
  <si>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</si>
  <si>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</si>
  <si>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</si>
  <si>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</si>
  <si>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</si>
  <si>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</si>
  <si>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</si>
  <si>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</si>
  <si>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</si>
  <si>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</si>
  <si>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</si>
  <si>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</si>
  <si>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</si>
  <si>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</si>
  <si>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</si>
  <si>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</si>
  <si>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</si>
  <si>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</si>
  <si>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</si>
  <si>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</si>
  <si>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</si>
  <si>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</si>
  <si>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</si>
  <si>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</si>
  <si>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</si>
  <si>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</si>
  <si>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</si>
  <si>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</si>
  <si>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</si>
  <si>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</si>
  <si>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</si>
  <si>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</si>
  <si>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</si>
  <si>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</si>
  <si>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</si>
  <si>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</si>
  <si>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</si>
  <si>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</si>
  <si>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</si>
  <si>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</si>
  <si>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</si>
  <si>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</si>
  <si>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</si>
  <si>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</si>
  <si>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</si>
  <si>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</si>
  <si>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</si>
  <si>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</si>
  <si>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</si>
  <si>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</si>
  <si>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</si>
  <si>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</si>
  <si>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</si>
  <si>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</si>
  <si>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</si>
  <si>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</si>
  <si>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</si>
  <si>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</si>
  <si>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</si>
  <si>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</si>
  <si>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</si>
  <si>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</si>
  <si>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</si>
  <si>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</si>
  <si>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</si>
  <si>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</si>
  <si>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</si>
  <si>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</si>
  <si>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</si>
  <si>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</si>
  <si>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</si>
  <si>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</si>
  <si>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</si>
  <si>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</si>
  <si>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</si>
  <si>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</si>
  <si>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</si>
  <si>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</si>
  <si>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</si>
  <si>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</si>
  <si>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</si>
  <si>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</si>
  <si>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</si>
  <si>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</si>
  <si>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</si>
  <si>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</si>
  <si>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</si>
  <si>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</si>
  <si>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</si>
  <si>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</si>
  <si>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</si>
  <si>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</si>
  <si>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</si>
  <si>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</si>
  <si>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</si>
  <si>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</si>
  <si>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</si>
  <si>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</si>
  <si>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</si>
  <si>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</si>
  <si>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</si>
  <si>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</si>
  <si>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</si>
  <si>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</si>
  <si>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</si>
  <si>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</si>
  <si>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</si>
  <si>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</si>
  <si>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</si>
  <si>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</si>
  <si>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</si>
  <si>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</si>
  <si>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</si>
  <si>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</si>
  <si>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</si>
  <si>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</si>
  <si>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</si>
  <si>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</si>
  <si>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</si>
  <si>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</si>
  <si>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</si>
  <si>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</si>
  <si>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</si>
  <si>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</si>
  <si>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</si>
  <si>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</si>
  <si>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</si>
  <si>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</si>
  <si>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</si>
  <si>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</si>
  <si>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</si>
  <si>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</si>
  <si>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</si>
  <si>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</si>
  <si>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</si>
  <si>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</si>
  <si>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</si>
  <si>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</si>
  <si>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</si>
  <si>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</si>
  <si>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</si>
  <si>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</si>
  <si>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</si>
  <si>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</si>
  <si>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</si>
  <si>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</si>
  <si>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</si>
  <si>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</si>
  <si>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</si>
  <si>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</si>
  <si>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</si>
  <si>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</si>
  <si>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</si>
  <si>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</si>
  <si>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</si>
  <si>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</si>
  <si>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</si>
  <si>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</si>
  <si>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</si>
  <si>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</si>
  <si>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</si>
  <si>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</si>
  <si>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</si>
  <si>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</si>
  <si>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</si>
  <si>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</si>
  <si>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</si>
  <si>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</si>
  <si>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</si>
  <si>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</si>
  <si>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</si>
  <si>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</si>
  <si>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</si>
  <si>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</si>
  <si>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</si>
  <si>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</si>
  <si>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</si>
  <si>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</si>
  <si>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</si>
  <si>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</si>
  <si>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</si>
  <si>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</si>
  <si>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</si>
  <si>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</si>
  <si>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</si>
  <si>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</si>
  <si>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</si>
  <si>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</si>
  <si>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</si>
  <si>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</si>
  <si>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</si>
  <si>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</si>
  <si>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</si>
  <si>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</si>
  <si>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</si>
  <si>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</si>
  <si>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</si>
  <si>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</si>
  <si>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</si>
  <si>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</si>
  <si>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</si>
  <si>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</si>
  <si>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</si>
  <si>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</si>
  <si>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</si>
  <si>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</si>
  <si>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</si>
  <si>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</si>
  <si>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</si>
  <si>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</si>
  <si>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</si>
  <si>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</si>
  <si>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</si>
  <si>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</si>
  <si>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</si>
  <si>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</si>
  <si>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</si>
  <si>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</si>
  <si>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</si>
  <si>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</si>
  <si>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</si>
  <si>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</si>
  <si>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</si>
  <si>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</si>
  <si>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</si>
  <si>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</si>
  <si>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</si>
  <si>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</si>
  <si>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</si>
  <si>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</si>
  <si>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</si>
  <si>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</si>
  <si>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</si>
  <si>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</si>
  <si>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</si>
  <si>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</si>
  <si>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</si>
  <si>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</si>
  <si>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</si>
  <si>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</si>
  <si>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</si>
  <si>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</si>
  <si>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</si>
  <si>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</si>
  <si>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</si>
  <si>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</si>
  <si>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</si>
  <si>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</si>
  <si>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</si>
  <si>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</si>
  <si>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</si>
  <si>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</si>
  <si>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</si>
  <si>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</si>
  <si>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</si>
  <si>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</si>
  <si>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</si>
  <si>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</si>
  <si>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</si>
  <si>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</si>
  <si>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</si>
  <si>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</si>
  <si>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</si>
  <si>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</si>
  <si>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</si>
  <si>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</si>
  <si>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</si>
  <si>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</si>
  <si>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</si>
  <si>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</si>
  <si>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</si>
  <si>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</si>
  <si>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</si>
  <si>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</si>
  <si>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</si>
  <si>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</si>
  <si>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</si>
  <si>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</si>
  <si>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</si>
  <si>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</si>
  <si>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</si>
  <si>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</si>
  <si>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</si>
  <si>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</si>
  <si>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</si>
  <si>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</si>
  <si>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</si>
  <si>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</si>
  <si>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</si>
  <si>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</si>
  <si>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</si>
  <si>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</si>
  <si>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</si>
  <si>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</si>
  <si>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</si>
  <si>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</si>
  <si>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</si>
  <si>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</si>
  <si>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</si>
  <si>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</si>
  <si>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</si>
  <si>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</si>
  <si>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</si>
  <si>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</si>
  <si>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</si>
  <si>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</si>
  <si>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</si>
  <si>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</si>
  <si>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</si>
  <si>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</si>
  <si>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</si>
  <si>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</si>
  <si>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</si>
  <si>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</si>
  <si>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</si>
  <si>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</si>
  <si>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</si>
  <si>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</si>
  <si>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</si>
  <si>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</si>
  <si>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</si>
  <si>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</si>
  <si>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</si>
  <si>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</si>
  <si>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</si>
  <si>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</si>
  <si>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</si>
  <si>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</si>
  <si>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</si>
  <si>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</si>
  <si>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</si>
  <si>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</si>
  <si>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</si>
  <si>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</si>
  <si>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</si>
  <si>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</si>
  <si>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</si>
  <si>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</si>
  <si>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</si>
  <si>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</si>
  <si>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</si>
  <si>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</si>
  <si>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</si>
  <si>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</si>
  <si>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</si>
  <si>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</si>
  <si>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</si>
  <si>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</si>
  <si>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</si>
  <si>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</si>
  <si>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</si>
  <si>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</si>
  <si>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</si>
  <si>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</si>
  <si>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</si>
  <si>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</si>
  <si>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</si>
  <si>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</si>
  <si>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</si>
  <si>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</si>
  <si>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</si>
  <si>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</si>
  <si>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</si>
  <si>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</si>
  <si>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</si>
  <si>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</si>
  <si>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</si>
  <si>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</si>
  <si>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</si>
  <si>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</si>
  <si>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</si>
  <si>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</si>
  <si>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</si>
  <si>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</si>
  <si>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</si>
  <si>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</si>
  <si>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</si>
  <si>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</si>
  <si>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</si>
  <si>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</si>
  <si>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</si>
  <si>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</si>
  <si>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</si>
  <si>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</si>
  <si>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</si>
  <si>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</si>
  <si>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</si>
  <si>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</si>
  <si>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</si>
  <si>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</si>
  <si>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</si>
  <si>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</si>
  <si>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</si>
  <si>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</si>
  <si>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</si>
  <si>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</si>
  <si>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</si>
  <si>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</si>
  <si>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</si>
  <si>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</si>
  <si>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</si>
  <si>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</si>
  <si>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</si>
  <si>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</si>
  <si>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</si>
  <si>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</si>
  <si>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</si>
  <si>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</si>
  <si>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</si>
  <si>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</si>
  <si>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</si>
  <si>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</si>
  <si>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</si>
  <si>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</si>
  <si>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</si>
  <si>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</si>
  <si>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</si>
  <si>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</si>
  <si>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</si>
  <si>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</si>
  <si>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万元</t>
  </si>
  <si>
    <t>楼面单价</t>
  </si>
  <si>
    <t>商业</t>
  </si>
  <si>
    <t>利息：取LPR加浮动点数</t>
  </si>
  <si>
    <t>收益法</t>
  </si>
  <si>
    <t>成本法</t>
  </si>
  <si>
    <t>钢混</t>
  </si>
  <si>
    <t>非生产用房</t>
  </si>
  <si>
    <t>是</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</si>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</sst>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
          <cell r="T4">
            <v>7149</v>
          </cell>
          <cell r="U4">
            <v>307.49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估价对象为北京市房地产，为XX所有。根据《》[]，估价对象建筑面积为307.49平方米。根据《》[]，估价对象（分摊）出让国有建设用地使用权面积为平方米。估价对象用途为。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2022年7月4日</v>
      </c>
    </row>
    <row r="10" spans="1:2">
      <c r="A10" s="1139" t="s">
        <v>865</v>
      </c>
      <c r="B10" s="1126" t="str">
        <f>'预评函-1'!A13</f>
        <v>本次估价的“房地产价值”是指在正常市场情况下，在价值时点2022年7月4日，估价对象规划用途为，假定未设立法定优先受偿款下的房地产市场价值。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307.49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44746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名称</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307.49</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44746</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307.49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190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24</v>
      </c>
      <c r="C13" s="2885"/>
      <c r="D13" s="2851" t="s">
        <v>1397</v>
      </c>
      <c r="E13" s="2571">
        <f>成本法!C10</f>
        <v>58423</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0.80400000000000005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1076215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0.77</v>
      </c>
      <c r="F20" s="905"/>
      <c r="G20" s="1613">
        <f>1-(2022-B27)/60</f>
        <v>0.76666666666666661</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2008</v>
      </c>
      <c r="C27" s="1613"/>
      <c r="D27" s="3074" t="s">
        <v>3038</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c r="D29" s="2853" t="s">
        <v>1423</v>
      </c>
      <c r="E29" s="2872">
        <f>E30+E31</f>
        <v>5.5000000000000007E-2</v>
      </c>
      <c r="F29" s="1238"/>
      <c r="G29" s="2887"/>
      <c r="H29" s="2887"/>
      <c r="K29" s="1613"/>
      <c r="N29" s="1613"/>
    </row>
    <row r="30" spans="1:41" ht="14.25">
      <c r="A30" s="2848" t="str">
        <f>IF(B29="租赁期内按合同租金","合同租金","市场租金")</f>
        <v>市场租金</v>
      </c>
      <c r="B30" s="2588">
        <v>2.5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0.15</v>
      </c>
      <c r="D33" s="2855" t="s">
        <v>1431</v>
      </c>
      <c r="E33" s="2589">
        <v>0.03</v>
      </c>
      <c r="F33" s="1237" t="s">
        <v>1432</v>
      </c>
      <c r="G33" s="2887"/>
      <c r="H33" s="2887"/>
      <c r="K33" s="1613"/>
      <c r="L33" s="1613"/>
      <c r="M33" s="1613"/>
      <c r="N33" s="1613"/>
    </row>
    <row r="34" spans="1:14" s="2593" customFormat="1" ht="14.25">
      <c r="A34" s="2848" t="s">
        <v>1430</v>
      </c>
      <c r="B34" s="2876">
        <f>收益法!J54</f>
        <v>24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5.0000000000000001E-3</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307.49</v>
      </c>
      <c r="C1" s="1562"/>
      <c r="D1" s="1562"/>
      <c r="E1" s="1562"/>
      <c r="F1" s="1562"/>
      <c r="G1" s="2500"/>
    </row>
    <row r="2" spans="1:9">
      <c r="A2" s="2499" t="s">
        <v>974</v>
      </c>
      <c r="B2" s="2499">
        <f>SUM(C14:C23)</f>
        <v>0</v>
      </c>
      <c r="C2" s="1562"/>
      <c r="D2" s="1562"/>
      <c r="E2" s="1562"/>
      <c r="F2" s="1562"/>
      <c r="G2" s="2500"/>
    </row>
    <row r="3" spans="1:9">
      <c r="A3" s="2499" t="s">
        <v>975</v>
      </c>
      <c r="B3" s="2502">
        <f>项目基本情况!D2</f>
        <v>44746</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361</v>
      </c>
      <c r="C5" s="2499">
        <f ca="1">ROUND(B5*10000/$B$1,0)</f>
        <v>11740</v>
      </c>
      <c r="D5" s="2499" t="e">
        <f ca="1">ROUND(B5*10000/$B$2,0)</f>
        <v>#DIV/0!</v>
      </c>
      <c r="E5" s="1562"/>
      <c r="F5" s="2500"/>
      <c r="G5" s="2500"/>
    </row>
    <row r="6" spans="1:9">
      <c r="A6" s="2499" t="s">
        <v>981</v>
      </c>
      <c r="B6" s="2499">
        <f ca="1">SUM(G14:G23)</f>
        <v>361</v>
      </c>
      <c r="C6" s="2499">
        <f t="shared" ref="C6:C8" ca="1" si="0">ROUND(B6*10000/$B$1,0)</f>
        <v>11740</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5" t="s">
        <v>3030</v>
      </c>
      <c r="B14" s="2835">
        <f>项目基本情况!C12</f>
        <v>307.49</v>
      </c>
      <c r="C14" s="2835">
        <f>项目基本情况!C13</f>
        <v>0</v>
      </c>
      <c r="D14" s="2835">
        <f ca="1">IF('数据-取费表'!B3="万元",IF(A14="估价对象1（结果表）",结果表!H121,'结果表 (1修多)'!H125),IF(A14="估价对象1（结果表）",结果表!H121,'结果表 (1修多)'!H125)/10000)</f>
        <v>361</v>
      </c>
      <c r="E14" s="2835">
        <f ca="1">ROUND(D14*10000/B14,0)</f>
        <v>11740</v>
      </c>
      <c r="F14" s="2835" t="e">
        <f ca="1">ROUND(D14*10000/C14,0)</f>
        <v>#DIV/0!</v>
      </c>
      <c r="G14" s="2835">
        <f ca="1">IF('数据-取费表'!B3="万元",IF(A14="估价对象1（结果表）",结果表!D125,'结果表 (1修多)'!D129),IF(A14="估价对象1（结果表）",结果表!D125,'结果表 (1修多)'!D129)/10000)</f>
        <v>361</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c r="A15" s="2506" t="s">
        <v>990</v>
      </c>
      <c r="B15" s="2507"/>
      <c r="C15" s="2507"/>
      <c r="D15" s="2507"/>
      <c r="E15" s="2835" t="e">
        <f t="shared" ref="E15:E23" si="2">ROUND(D15*10000/B15,0)</f>
        <v>#DIV/0!</v>
      </c>
      <c r="F15" s="2835" t="e">
        <f t="shared" ref="F15:F23" si="3">ROUND(D15*10000/C15,0)</f>
        <v>#DIV/0!</v>
      </c>
      <c r="G15" s="1233"/>
      <c r="H15" s="1233"/>
      <c r="I15" s="2507"/>
    </row>
    <row r="16" spans="1:9">
      <c r="A16" s="2506" t="s">
        <v>991</v>
      </c>
      <c r="B16" s="2507"/>
      <c r="C16" s="2507"/>
      <c r="D16" s="2507"/>
      <c r="E16" s="2835" t="e">
        <f t="shared" si="2"/>
        <v>#DIV/0!</v>
      </c>
      <c r="F16" s="2835" t="e">
        <f t="shared" si="3"/>
        <v>#DIV/0!</v>
      </c>
      <c r="G16" s="1233"/>
      <c r="H16" s="1233"/>
      <c r="I16" s="2507"/>
    </row>
    <row r="17" spans="1:9">
      <c r="A17" s="2506" t="s">
        <v>992</v>
      </c>
      <c r="B17" s="2507"/>
      <c r="C17" s="2507"/>
      <c r="D17" s="2507"/>
      <c r="E17" s="2835" t="e">
        <f t="shared" si="2"/>
        <v>#DIV/0!</v>
      </c>
      <c r="F17" s="2835" t="e">
        <f t="shared" si="3"/>
        <v>#DIV/0!</v>
      </c>
      <c r="G17" s="1233"/>
      <c r="H17" s="1233"/>
      <c r="I17" s="2507"/>
    </row>
    <row r="18" spans="1:9">
      <c r="A18" s="2506" t="s">
        <v>993</v>
      </c>
      <c r="B18" s="2507"/>
      <c r="C18" s="2507"/>
      <c r="D18" s="2507"/>
      <c r="E18" s="2835" t="e">
        <f t="shared" si="2"/>
        <v>#DIV/0!</v>
      </c>
      <c r="F18" s="2835" t="e">
        <f t="shared" si="3"/>
        <v>#DIV/0!</v>
      </c>
      <c r="G18" s="2507"/>
      <c r="H18" s="2507"/>
      <c r="I18" s="2507"/>
    </row>
    <row r="19" spans="1:9">
      <c r="A19" s="2506" t="s">
        <v>994</v>
      </c>
      <c r="B19" s="2507"/>
      <c r="C19" s="2507"/>
      <c r="D19" s="2507"/>
      <c r="E19" s="2835" t="e">
        <f t="shared" si="2"/>
        <v>#DIV/0!</v>
      </c>
      <c r="F19" s="2835" t="e">
        <f t="shared" si="3"/>
        <v>#DIV/0!</v>
      </c>
      <c r="G19" s="2507"/>
      <c r="H19" s="2507"/>
      <c r="I19" s="2507"/>
    </row>
    <row r="20" spans="1:9">
      <c r="A20" s="2506" t="s">
        <v>995</v>
      </c>
      <c r="B20" s="2507"/>
      <c r="C20" s="2507"/>
      <c r="D20" s="2507"/>
      <c r="E20" s="2835" t="e">
        <f t="shared" si="2"/>
        <v>#DIV/0!</v>
      </c>
      <c r="F20" s="2835" t="e">
        <f t="shared" si="3"/>
        <v>#DIV/0!</v>
      </c>
      <c r="G20" s="2507"/>
      <c r="H20" s="2507"/>
      <c r="I20" s="2507"/>
    </row>
    <row r="21" spans="1:9">
      <c r="A21" s="2506" t="s">
        <v>996</v>
      </c>
      <c r="B21" s="2507"/>
      <c r="C21" s="2507"/>
      <c r="D21" s="2507"/>
      <c r="E21" s="2835" t="e">
        <f t="shared" si="2"/>
        <v>#DIV/0!</v>
      </c>
      <c r="F21" s="2835" t="e">
        <f t="shared" si="3"/>
        <v>#DIV/0!</v>
      </c>
      <c r="G21" s="2507"/>
      <c r="H21" s="2507"/>
      <c r="I21" s="2507"/>
    </row>
    <row r="22" spans="1:9">
      <c r="A22" s="2506" t="s">
        <v>997</v>
      </c>
      <c r="B22" s="2507"/>
      <c r="C22" s="2507"/>
      <c r="D22" s="2507"/>
      <c r="E22" s="2835" t="e">
        <f t="shared" si="2"/>
        <v>#DIV/0!</v>
      </c>
      <c r="F22" s="2835" t="e">
        <f t="shared" si="3"/>
        <v>#DIV/0!</v>
      </c>
      <c r="G22" s="2507"/>
      <c r="H22" s="2507"/>
      <c r="I22" s="2507"/>
    </row>
    <row r="23" spans="1:9">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H25" sqref="H25"/>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3039</v>
      </c>
      <c r="D4" s="2632" t="s">
        <v>3040</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成本法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6</v>
      </c>
      <c r="D14" s="3490">
        <v>4</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507" t="s">
        <v>2576</v>
      </c>
      <c r="F18" s="3508"/>
      <c r="G18" s="3508"/>
      <c r="H18" s="3508"/>
      <c r="I18" s="3508"/>
      <c r="J18" s="2765"/>
    </row>
    <row r="19" spans="1:36" ht="15">
      <c r="A19" s="2638" t="s">
        <v>1494</v>
      </c>
      <c r="B19" s="2639" t="s">
        <v>1495</v>
      </c>
      <c r="C19" s="2640">
        <f ca="1">SUMIF(INDIRECT("'"&amp;C4&amp;"'"&amp;"!A:A"),结果表!B19,INDIRECT("'"&amp;C4&amp;"'"&amp;"!B:B"))</f>
        <v>310</v>
      </c>
      <c r="D19" s="2641">
        <f ca="1">SUMIF(INDIRECT("'"&amp;D4&amp;"'"&amp;"!A:A"),结果表!B19,INDIRECT("'"&amp;D4&amp;"'"&amp;"!B:B"))</f>
        <v>437</v>
      </c>
      <c r="E19" s="2638" t="s">
        <v>1496</v>
      </c>
      <c r="F19" s="2639" t="s">
        <v>1495</v>
      </c>
      <c r="G19" s="2642">
        <f ca="1">ROUND(C19*$C$18+D19*$D$18,0)</f>
        <v>361</v>
      </c>
      <c r="H19" s="2643" t="str">
        <f>'数据-取费表'!B3</f>
        <v>万元</v>
      </c>
      <c r="I19" s="2691"/>
      <c r="J19" s="2766"/>
    </row>
    <row r="20" spans="1:36" ht="15">
      <c r="A20" s="2644"/>
      <c r="B20" s="1622" t="s">
        <v>1497</v>
      </c>
      <c r="C20" s="1847">
        <f ca="1">SUMIF(INDIRECT("'"&amp;C4&amp;"'"&amp;"!A:A"),结果表!B20,INDIRECT("'"&amp;C4&amp;"'"&amp;"!B:B"))</f>
        <v>10066</v>
      </c>
      <c r="D20" s="1850">
        <f ca="1">SUMIF(INDIRECT("'"&amp;D4&amp;"'"&amp;"!A:A"),结果表!B20,INDIRECT("'"&amp;D4&amp;"'"&amp;"!B:B"))</f>
        <v>14213</v>
      </c>
      <c r="E20" s="2644"/>
      <c r="F20" s="1622" t="s">
        <v>1497</v>
      </c>
      <c r="G20" s="2021">
        <f ca="1">ROUND(C20*$C$18+D20*$D$18,0)</f>
        <v>11725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0.4096774193548387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11725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7176</v>
      </c>
      <c r="D34" s="2668">
        <f ca="1">IF(D33="自定义",ROUND(C34/C32,3),1-D35)</f>
        <v>0.61199999999999999</v>
      </c>
      <c r="E34" s="1363" t="s">
        <v>1510</v>
      </c>
      <c r="F34" s="2669">
        <v>2000</v>
      </c>
      <c r="G34" s="905"/>
      <c r="H34" s="905"/>
      <c r="I34" s="905"/>
      <c r="J34" s="2765"/>
    </row>
    <row r="35" spans="1:17" ht="15.75" thickBot="1">
      <c r="A35" s="1395"/>
      <c r="B35" s="2670" t="s">
        <v>1511</v>
      </c>
      <c r="C35" s="2671">
        <f ca="1">IF(D33="自定义",F35,ROUND(C32*D35,0))</f>
        <v>4549</v>
      </c>
      <c r="D35" s="2672">
        <f ca="1">IF(D33="自定义",ROUND(C35/C32,3),IF(D33="成本法成本比率",成本法!C56,IF(D33="收益法收益比率",收益法!J38,收益法!J41)))</f>
        <v>0.38800000000000001</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361</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44746</v>
      </c>
      <c r="O47" s="3430"/>
      <c r="P47" s="3430"/>
      <c r="Q47" s="1236"/>
    </row>
    <row r="48" spans="1:17" ht="25.5">
      <c r="A48" s="3503" t="s">
        <v>1536</v>
      </c>
      <c r="B48" s="3437"/>
      <c r="C48" s="3437"/>
      <c r="D48" s="12">
        <f ca="1">IF(H48="情况1",0,IF(H48="情况2",D52,IF(H48="情况3",D53,IF(H48="情况4",D54))))</f>
        <v>19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8" t="s">
        <v>2508</v>
      </c>
      <c r="M48" s="3428"/>
      <c r="N48" s="3429">
        <f ca="1">I102</f>
        <v>361</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房地产抵押价值</v>
      </c>
      <c r="M49" s="3428"/>
      <c r="N49" s="3429">
        <f ca="1">IF(项目基本情况!F5="房地产抵押价值",I110,I112)</f>
        <v>361</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19</v>
      </c>
      <c r="E52" s="2020" t="s">
        <v>1553</v>
      </c>
      <c r="F52" s="2493">
        <f>'数据-取费表'!E29</f>
        <v>5.5000000000000007E-2</v>
      </c>
      <c r="G52" s="2494"/>
      <c r="H52" s="905"/>
      <c r="I52" s="2898"/>
      <c r="J52" s="2773"/>
      <c r="K52" s="2454">
        <v>1</v>
      </c>
      <c r="L52" s="3417" t="s">
        <v>2515</v>
      </c>
      <c r="M52" s="3417"/>
      <c r="N52" s="2456">
        <f ca="1">D48</f>
        <v>19</v>
      </c>
      <c r="O52" s="2454" t="str">
        <f>E48</f>
        <v>销售额×税（费）率</v>
      </c>
      <c r="P52" s="2457">
        <f>F48</f>
        <v>5.5000000000000007E-2</v>
      </c>
      <c r="Q52" s="1236"/>
    </row>
    <row r="53" spans="1:17" ht="12" customHeight="1">
      <c r="A53" s="2010" t="s">
        <v>1555</v>
      </c>
      <c r="B53" s="3488" t="s">
        <v>2593</v>
      </c>
      <c r="C53" s="3477"/>
      <c r="D53" s="1028">
        <f ca="1">ROUND(D45*'数据-取费表'!E29/(1+'数据-取费表'!F30),0)</f>
        <v>19</v>
      </c>
      <c r="E53" s="2020" t="s">
        <v>1553</v>
      </c>
      <c r="F53" s="2493">
        <f>'数据-取费表'!E29</f>
        <v>5.5000000000000007E-2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19</v>
      </c>
      <c r="E54" s="264" t="s">
        <v>1558</v>
      </c>
      <c r="F54" s="2493">
        <f>'数据-取费表'!E29</f>
        <v>5.5000000000000007E-2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19</v>
      </c>
      <c r="P57" s="2465"/>
      <c r="Q57" s="1234">
        <f ca="1">O57/N49</f>
        <v>5.2631578947368418E-2</v>
      </c>
    </row>
    <row r="58" spans="1:17" ht="24.75">
      <c r="A58" s="2010" t="s">
        <v>1551</v>
      </c>
      <c r="B58" s="3488" t="s">
        <v>1569</v>
      </c>
      <c r="C58" s="3476"/>
      <c r="D58" s="12">
        <f ca="1">IF(H58="转让取得",C81,C97)</f>
        <v>205</v>
      </c>
      <c r="E58" s="2020" t="s">
        <v>1564</v>
      </c>
      <c r="F58" s="235" t="s">
        <v>48</v>
      </c>
      <c r="G58" s="2494"/>
      <c r="H58" s="2496" t="s">
        <v>1570</v>
      </c>
      <c r="I58" s="2900"/>
      <c r="J58" s="2773"/>
      <c r="K58" s="3417"/>
      <c r="L58" s="3417"/>
      <c r="M58" s="2462" t="s">
        <v>2520</v>
      </c>
      <c r="N58" s="2466"/>
      <c r="O58" s="2467" t="str">
        <f ca="1">IF(H19="元",NUMBERSTRING(INT(O57),2)&amp;"元整",NUMBERSTRING(INT(O57*10000),2)&amp;"元整")</f>
        <v>壹拾玖万元整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f ca="1">N49-O57</f>
        <v>342</v>
      </c>
      <c r="P59" s="2471"/>
      <c r="Q59" s="1236"/>
    </row>
    <row r="60" spans="1:17" ht="12" customHeight="1">
      <c r="A60" s="1385"/>
      <c r="B60" s="1389"/>
      <c r="C60" s="1389"/>
      <c r="D60" s="1389"/>
      <c r="E60" s="770"/>
      <c r="F60" s="2901"/>
      <c r="G60" s="2901"/>
      <c r="H60" s="2902"/>
      <c r="I60" s="31"/>
      <c r="K60" s="3471"/>
      <c r="L60" s="3417"/>
      <c r="M60" s="2462" t="s">
        <v>2520</v>
      </c>
      <c r="N60" s="2466"/>
      <c r="O60" s="2467" t="str">
        <f ca="1">IF(H19="元",NUMBERSTRING(INT(O59),2)&amp;"元整",NUMBERSTRING(INT(O59*10000),2)&amp;"元整")</f>
        <v>叁佰肆拾贰万元整</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f ca="1">IF(H19="元",ROUND(O59/项目基本情况!C12,0),ROUND(O59*10000/项目基本情况!C12,0))</f>
        <v>11122</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344</v>
      </c>
      <c r="D63" s="47"/>
      <c r="E63" s="48"/>
      <c r="F63" s="2901"/>
      <c r="G63" s="2901"/>
      <c r="H63" s="2903"/>
      <c r="I63" s="31"/>
      <c r="K63" s="3436" t="s">
        <v>2523</v>
      </c>
      <c r="L63" s="2476" t="s">
        <v>2524</v>
      </c>
      <c r="M63" s="2476">
        <f ca="1">IF(N49&gt;10000,N49*0.5%,IF(AND(N49&gt;1000,N49&lt;=10000),N49*1%,IF(AND(N49&gt;100,N49&lt;=1000),N49*3%,IF(AND(N49&gt;10,N49&lt;=100),N49*5%,N49*8%))))</f>
        <v>10.83</v>
      </c>
      <c r="N63" s="2477">
        <f ca="1">ROUND(M63,1)</f>
        <v>10.8</v>
      </c>
      <c r="O63" s="2475"/>
      <c r="P63" s="2475"/>
      <c r="Q63" s="1236"/>
    </row>
    <row r="64" spans="1:17" ht="12.75">
      <c r="A64" s="49" t="s">
        <v>71</v>
      </c>
      <c r="B64" s="50" t="s">
        <v>1582</v>
      </c>
      <c r="C64" s="2705">
        <f ca="1">D45</f>
        <v>361</v>
      </c>
      <c r="D64" s="50" t="s">
        <v>41</v>
      </c>
      <c r="E64" s="52"/>
      <c r="F64" s="2901"/>
      <c r="G64" s="2901"/>
      <c r="H64" s="2903"/>
      <c r="I64" s="31"/>
      <c r="K64" s="3436"/>
      <c r="L64" s="2476" t="s">
        <v>2525</v>
      </c>
      <c r="M64" s="2476">
        <f ca="1">IF(N49&gt;2000,N49*0.5%,IF(AND(N49&gt;1000,N49&lt;=2000),N49*0.6%,IF(AND(N49&gt;500,N49&lt;=1000),N49*0.7%,IF(AND(N49&gt;200,N49&lt;=500),N49*0.8%,IF(AND(N49&gt;100,N49&lt;=200),N49*0.9%,IF(AND(N49&gt;50,N49&lt;=100),N49*1%,IF(AND(N49&gt;20,N49&lt;=50),N49*1.5%,IF(AND(N49&gt;10,N49&lt;=20),N49*2%,IF(AND(N49&gt;1,N49&lt;=10),N49*2.5%)))))))))</f>
        <v>2.8879999999999999</v>
      </c>
      <c r="N64" s="2477">
        <f t="shared" ref="N64:N65" ca="1" si="2">ROUND(M64,1)</f>
        <v>2.9</v>
      </c>
      <c r="O64" s="2475" t="s">
        <v>2526</v>
      </c>
      <c r="P64" s="2475"/>
      <c r="Q64" s="1236"/>
    </row>
    <row r="65" spans="1:36" ht="12.75">
      <c r="A65" s="49" t="s">
        <v>72</v>
      </c>
      <c r="B65" s="50" t="s">
        <v>1585</v>
      </c>
      <c r="C65" s="2706"/>
      <c r="D65" s="50"/>
      <c r="E65" s="52"/>
      <c r="F65" s="2901"/>
      <c r="G65" s="2901"/>
      <c r="H65" s="2903"/>
      <c r="I65" s="31"/>
      <c r="K65" s="3436"/>
      <c r="L65" s="2476" t="s">
        <v>2527</v>
      </c>
      <c r="M65" s="2476">
        <f ca="1">IF(N49&gt;1000,N49*0.1%,IF(AND(N49&gt;500,N49&lt;=1000),N49*0.5%,IF(AND(N49&gt;50,N49&lt;=500),N49*1%,IF(AND(N49&gt;1,N49&lt;=50),N49*1.5%))))</f>
        <v>3.61</v>
      </c>
      <c r="N65" s="2477">
        <f t="shared" ca="1" si="2"/>
        <v>3.6</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f ca="1">N49*0.5%</f>
        <v>1.8049999999999999</v>
      </c>
      <c r="N66" s="2477">
        <f ca="1">IF(M66&gt;0.5,0.5,ROUND(M66,0))</f>
        <v>0.5</v>
      </c>
      <c r="O66" s="2475" t="s">
        <v>2529</v>
      </c>
      <c r="P66" s="2475"/>
      <c r="Q66" s="1236"/>
    </row>
    <row r="67" spans="1:36" ht="12.75">
      <c r="A67" s="53" t="s">
        <v>42</v>
      </c>
      <c r="B67" s="54" t="s">
        <v>1591</v>
      </c>
      <c r="C67" s="2708">
        <f ca="1">C63-C66</f>
        <v>344</v>
      </c>
      <c r="D67" s="50" t="s">
        <v>41</v>
      </c>
      <c r="E67" s="52"/>
      <c r="F67" s="2901"/>
      <c r="G67" s="2901"/>
      <c r="H67" s="2903"/>
      <c r="I67" s="31"/>
      <c r="K67" s="3436"/>
      <c r="L67" s="2476" t="s">
        <v>2530</v>
      </c>
      <c r="M67" s="2476">
        <f ca="1">IF(N49&gt;=10000,(8.25+(N49-10000)*0.01%),IF(AND(N49&gt;=8000,N49&lt;10000),(7.85+(N49-8000)*0.02%),IF(AND(N49&gt;=5000,N49&lt;8000),(6.65+(N49-5000)*0.04%),IF(AND(N49&gt;=2000,N49&lt;5000),(4.25+(PN49-2000)*0.08%),IF(AND(N49&gt;=1000,N49&lt;2000),(2.75+(N49-1000)*0.15%),IF(AND(N49&gt;=100,N49&lt;1000),(0.5+(N49-100)*0.25%),IF(AND(N49&gt;0,N49&lt;100),N49*0.5%)))))))</f>
        <v>1.1524999999999999</v>
      </c>
      <c r="N67" s="2477">
        <f ca="1">ROUND(M67*0.9,1)</f>
        <v>1</v>
      </c>
      <c r="O67" s="2475"/>
      <c r="P67" s="2475"/>
      <c r="Q67" s="1236"/>
    </row>
    <row r="68" spans="1:36" ht="13.5" thickBot="1">
      <c r="A68" s="55" t="s">
        <v>46</v>
      </c>
      <c r="B68" s="56" t="s">
        <v>1593</v>
      </c>
      <c r="C68" s="2709">
        <f ca="1">IF(C67&lt;=0,0,ROUND(C67*D68,0))</f>
        <v>19</v>
      </c>
      <c r="D68" s="2170">
        <f>'数据-取费表'!E29</f>
        <v>5.5000000000000007E-2</v>
      </c>
      <c r="E68" s="57"/>
      <c r="F68" s="2901"/>
      <c r="G68" s="2901"/>
      <c r="H68" s="2903"/>
      <c r="I68" s="31"/>
      <c r="K68" s="3436"/>
      <c r="L68" s="2476" t="s">
        <v>2531</v>
      </c>
      <c r="M68" s="2476">
        <f ca="1">IF(N49&gt;10000,N49*0.5%,IF(AND(N49&gt;5000,N49&lt;=10000),N49*1%,IF(AND(N49&gt;1000,N49&lt;=5000),N49*2%,IF(AND(N49&gt;200,N49&lt;=1000),N49*3%,N49*5%))))</f>
        <v>10.83</v>
      </c>
      <c r="N68" s="2477">
        <f ca="1">ROUND(M68,1)</f>
        <v>10.8</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f ca="1">ROUND(SUM(N63:N68),0)</f>
        <v>30</v>
      </c>
      <c r="O69" s="2478">
        <f ca="1">N69/N49</f>
        <v>8.3102493074792241E-2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344</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342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205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344</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342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205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收益法</v>
      </c>
      <c r="D100" s="2727" t="str">
        <f>D4</f>
        <v>成本法</v>
      </c>
      <c r="E100" s="1389"/>
      <c r="F100" s="3461" t="s">
        <v>2537</v>
      </c>
      <c r="G100" s="3463"/>
      <c r="H100" s="3461" t="s">
        <v>2538</v>
      </c>
      <c r="I100" s="3462"/>
      <c r="J100" s="2780"/>
    </row>
    <row r="101" spans="1:36" ht="12.75">
      <c r="A101" s="3478" t="s">
        <v>2570</v>
      </c>
      <c r="B101" s="2235" t="str">
        <f>IF(H19="元","总价（元）","总价（万元）")</f>
        <v>总价（万元）</v>
      </c>
      <c r="C101" s="1235">
        <f ca="1">C19</f>
        <v>310</v>
      </c>
      <c r="D101" s="2727">
        <f ca="1">D19</f>
        <v>437</v>
      </c>
      <c r="E101" s="1389"/>
      <c r="F101" s="3461" t="str">
        <f>项目基本情况!I1</f>
        <v>北京市房地产</v>
      </c>
      <c r="G101" s="3463"/>
      <c r="H101" s="3465">
        <f>项目基本情况!C12</f>
        <v>307.49</v>
      </c>
      <c r="I101" s="3462"/>
      <c r="J101" s="2780"/>
    </row>
    <row r="102" spans="1:36" ht="12.75">
      <c r="A102" s="3478"/>
      <c r="B102" s="2235" t="s">
        <v>2571</v>
      </c>
      <c r="C102" s="2728">
        <f ca="1">C20</f>
        <v>10066</v>
      </c>
      <c r="D102" s="2729">
        <f ca="1">D20</f>
        <v>14213</v>
      </c>
      <c r="E102" s="1389"/>
      <c r="F102" s="3448" t="s">
        <v>2567</v>
      </c>
      <c r="G102" s="3449"/>
      <c r="H102" s="2737" t="str">
        <f>C106</f>
        <v>总价（万元）</v>
      </c>
      <c r="I102" s="2738">
        <f ca="1">H121</f>
        <v>361</v>
      </c>
      <c r="J102" s="2780"/>
    </row>
    <row r="103" spans="1:36" ht="12.75">
      <c r="A103" s="3478" t="s">
        <v>2572</v>
      </c>
      <c r="B103" s="2173" t="str">
        <f>B101</f>
        <v>总价（万元）</v>
      </c>
      <c r="C103" s="2732">
        <f ca="1">H121</f>
        <v>361</v>
      </c>
      <c r="D103" s="2730"/>
      <c r="E103" s="1389"/>
      <c r="F103" s="3448"/>
      <c r="G103" s="3449"/>
      <c r="H103" s="2737" t="s">
        <v>2540</v>
      </c>
      <c r="I103" s="52">
        <f ca="1">I121</f>
        <v>11725</v>
      </c>
      <c r="J103" s="2764"/>
    </row>
    <row r="104" spans="1:36" ht="13.5" thickBot="1">
      <c r="A104" s="3479"/>
      <c r="B104" s="2734" t="s">
        <v>2571</v>
      </c>
      <c r="C104" s="2735">
        <f ca="1">I121</f>
        <v>11725</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361</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11725</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361</v>
      </c>
      <c r="J110" s="2780"/>
    </row>
    <row r="111" spans="1:36" ht="12.75">
      <c r="A111" s="3450" t="s">
        <v>2545</v>
      </c>
      <c r="B111" s="3451"/>
      <c r="C111" s="2739" t="str">
        <f>C108</f>
        <v>总额（万元）</v>
      </c>
      <c r="D111" s="52">
        <f>C38</f>
        <v>0</v>
      </c>
      <c r="E111" s="1389"/>
      <c r="F111" s="3433"/>
      <c r="G111" s="3434"/>
      <c r="H111" s="2737" t="s">
        <v>2540</v>
      </c>
      <c r="I111" s="2741">
        <f ca="1">D113</f>
        <v>11725</v>
      </c>
      <c r="J111" s="2783"/>
    </row>
    <row r="112" spans="1:36" ht="26.25" customHeight="1">
      <c r="A112" s="3448" t="str">
        <f>IF(项目基本情况!F5="已注销","——","3.房地产抵押价值")</f>
        <v>3.房地产抵押价值</v>
      </c>
      <c r="B112" s="3449"/>
      <c r="C112" s="2737" t="str">
        <f>B101</f>
        <v>总价（万元）</v>
      </c>
      <c r="D112" s="2738">
        <f ca="1">IF(A112="——","——",D106-D108)</f>
        <v>361</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11725</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307.49</v>
      </c>
      <c r="C121" s="2020">
        <f>项目基本情况!C13</f>
        <v>0</v>
      </c>
      <c r="D121" s="2020">
        <f ca="1">ROUND(IF(B32="总价",C34,IF('数据-取费表'!B3="万元",E121*B121/10000,E121*B121)),0)</f>
        <v>221</v>
      </c>
      <c r="E121" s="2020">
        <f ca="1">ROUND(IF(B32="楼面单价",C34,IF(H19="元",D121/B121,D121*10000/B121)),0)</f>
        <v>7176</v>
      </c>
      <c r="F121" s="2020">
        <f ca="1">ROUND(IF(B32="总价",C35,IF('数据-取费表'!B3="万元",G121*B121/10000,G121*B121)),0)</f>
        <v>140</v>
      </c>
      <c r="G121" s="2020">
        <f ca="1">ROUND(IF(B32="楼面单价",C35,IF(H19="元",F121/B121,F121*10000/B121)),0)</f>
        <v>4549</v>
      </c>
      <c r="H121" s="2020">
        <f ca="1">ROUND(IF(B32="总价",C32,IF('数据-取费表'!B3="万元",I121*B121/10000,I121*B121)),0)</f>
        <v>361</v>
      </c>
      <c r="I121" s="52">
        <f ca="1">ROUND(IF(B32="楼面单价",C32,IF(H19="元",H121/B121,H121*10000/B121)),0)</f>
        <v>11725</v>
      </c>
      <c r="J121" s="2764"/>
    </row>
    <row r="122" spans="1:16" ht="12.75">
      <c r="A122" s="3441" t="s">
        <v>2557</v>
      </c>
      <c r="B122" s="3437"/>
      <c r="C122" s="3437"/>
      <c r="D122" s="3472" t="str">
        <f ca="1">IF(H19="元",NUMBERSTRING(INT(D121),2)&amp;"元整",NUMBERSTRING(INT(D121*10000),2)&amp;"元整")</f>
        <v>贰佰贰拾壹万元整</v>
      </c>
      <c r="E122" s="3473"/>
      <c r="F122" s="3472" t="str">
        <f ca="1">IF(H19="元",NUMBERSTRING(INT(F121),2)&amp;"元整",NUMBERSTRING(INT(F121*10000),2)&amp;"元整")</f>
        <v>壹佰肆拾万元整</v>
      </c>
      <c r="G122" s="3473"/>
      <c r="H122" s="3472" t="str">
        <f ca="1">IF(H19="元",NUMBERSTRING(INT(H121),2)&amp;"元整",NUMBERSTRING(INT(H121*10000),2)&amp;"元整")</f>
        <v>叁佰陆拾壹万元整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361</v>
      </c>
      <c r="E125" s="3474"/>
      <c r="F125" s="3474"/>
      <c r="G125" s="3474"/>
      <c r="H125" s="3474"/>
      <c r="I125" s="3462"/>
      <c r="J125" s="2780"/>
    </row>
    <row r="126" spans="1:16" ht="12.75">
      <c r="A126" s="3441" t="s">
        <v>2557</v>
      </c>
      <c r="B126" s="3437"/>
      <c r="C126" s="3437"/>
      <c r="D126" s="3513">
        <f ca="1">I111</f>
        <v>11725</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44746</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房地产抵押价值</v>
      </c>
      <c r="M51" s="3527"/>
      <c r="N51" s="3532">
        <f>IF(项目基本情况!F5="房地产抵押价值",I112,I114)</f>
        <v>0</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5.5000000000000007E-2</v>
      </c>
      <c r="G54" s="2494"/>
      <c r="H54" s="905"/>
      <c r="I54" s="2898"/>
      <c r="J54" s="2773"/>
      <c r="K54" s="2431">
        <v>1</v>
      </c>
      <c r="L54" s="3529" t="s">
        <v>1554</v>
      </c>
      <c r="M54" s="3529"/>
      <c r="N54" s="2433">
        <f>D50</f>
        <v>0</v>
      </c>
      <c r="O54" s="2431" t="str">
        <f>E50</f>
        <v>销售额×税（费）率</v>
      </c>
      <c r="P54" s="2434">
        <f>F50</f>
        <v>5.5000000000000007E-2</v>
      </c>
    </row>
    <row r="55" spans="1:17" ht="12" customHeight="1">
      <c r="A55" s="2010" t="s">
        <v>1555</v>
      </c>
      <c r="B55" s="3488" t="s">
        <v>2593</v>
      </c>
      <c r="C55" s="3477"/>
      <c r="D55" s="1028">
        <f>ROUND(D47*'数据-取费表'!E29/(1+'数据-取费表'!F30),0)</f>
        <v>0</v>
      </c>
      <c r="E55" s="2020" t="s">
        <v>1553</v>
      </c>
      <c r="F55" s="2493">
        <f>'数据-取费表'!E29</f>
        <v>5.5000000000000007E-2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5.5000000000000007E-2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#DIV/0!</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f>N51-O59</f>
        <v>0</v>
      </c>
      <c r="P61" s="2448"/>
    </row>
    <row r="62" spans="1:17" ht="12" customHeight="1">
      <c r="A62" s="1385"/>
      <c r="B62" s="2481"/>
      <c r="C62" s="2481"/>
      <c r="D62" s="2481"/>
      <c r="E62" s="1385"/>
      <c r="F62" s="2900"/>
      <c r="G62" s="2900"/>
      <c r="H62" s="2895"/>
      <c r="I62" s="905"/>
      <c r="J62" s="2773"/>
      <c r="K62" s="3536"/>
      <c r="L62" s="3529"/>
      <c r="M62" s="2439" t="s">
        <v>1571</v>
      </c>
      <c r="N62" s="2443"/>
      <c r="O62" s="2444" t="str">
        <f>IF(H19="元",NUMBERSTRING(INT(O61),2)&amp;"元整",NUMBERSTRING(INT(O61*10000),2)&amp;"元整")</f>
        <v>零元整</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f>IF(H19="元",ROUND(O61/项目基本情况!C12,0),ROUND(O61*10000/项目基本情况!C12,0))</f>
        <v>0</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25"/>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25"/>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25"/>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25"/>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5"/>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5"/>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H22" sqref="H2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437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14213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2323716.0100000002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[2]基准地价修正!$T$4*[2]基准地价修正!$U$4</f>
        <v>2198246.0100000002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67047</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58423</v>
      </c>
      <c r="D8" s="1099"/>
      <c r="E8" s="115"/>
      <c r="F8" s="1098"/>
      <c r="G8" s="1446" t="s">
        <v>3044</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58423</v>
      </c>
      <c r="D10" s="1101">
        <f>IF('数据-取费表'!B10&lt;&gt;"住宅",IF(B1="仅计算典型户型",'数据-取费表'!E5,'数据-取费表'!B5),0)</f>
        <v>307.49</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307.49</v>
      </c>
      <c r="E19" s="111">
        <f>'数据-取费表'!E15</f>
        <v>200</v>
      </c>
      <c r="F19" s="112"/>
      <c r="G19" s="1446" t="s">
        <v>3045</v>
      </c>
    </row>
    <row r="20" spans="1:123" s="91" customFormat="1" ht="13.5" customHeight="1">
      <c r="A20" s="120" t="s">
        <v>1702</v>
      </c>
      <c r="B20" s="89" t="s">
        <v>1703</v>
      </c>
      <c r="C20" s="99">
        <f>ROUND((C5+C19)*F20,0)</f>
        <v>46474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201243</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199291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1952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355529</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355529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3168394</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1186142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1076215</v>
      </c>
      <c r="D34" s="1096"/>
      <c r="E34" s="115"/>
      <c r="F34" s="1107" t="str">
        <f>IF('数据-取费表'!B26=0,"",'数据-取费表'!E20)</f>
        <v/>
      </c>
      <c r="G34" s="95"/>
    </row>
    <row r="35" spans="1:123" ht="13.5" customHeight="1">
      <c r="A35" s="92" t="s">
        <v>1685</v>
      </c>
      <c r="B35" s="93" t="s">
        <v>1734</v>
      </c>
      <c r="C35" s="115">
        <f>ROUND(C34*F35,0)</f>
        <v>32286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61498</v>
      </c>
      <c r="D37" s="1096">
        <f>IF(B1="仅计算典型户型",'数据-取费表'!E5,'数据-取费表'!B5)</f>
        <v>307.49</v>
      </c>
      <c r="E37" s="115">
        <f>'数据-取费表'!E23</f>
        <v>200</v>
      </c>
      <c r="F37" s="1108"/>
      <c r="G37" s="124" t="s">
        <v>1739</v>
      </c>
    </row>
    <row r="38" spans="1:123" ht="13.5" customHeight="1">
      <c r="A38" s="92" t="s">
        <v>1740</v>
      </c>
      <c r="B38" s="93" t="s">
        <v>1741</v>
      </c>
      <c r="C38" s="115">
        <f>ROUND(C34*F38,0)</f>
        <v>16143</v>
      </c>
      <c r="D38" s="115"/>
      <c r="E38" s="115"/>
      <c r="F38" s="1108">
        <f>'数据-取费表'!E24</f>
        <v>1.4999999999999999E-2</v>
      </c>
      <c r="G38" s="95" t="s">
        <v>1735</v>
      </c>
    </row>
    <row r="39" spans="1:123" s="91" customFormat="1" ht="13.5" customHeight="1">
      <c r="A39" s="120" t="s">
        <v>1700</v>
      </c>
      <c r="B39" s="89" t="s">
        <v>1703</v>
      </c>
      <c r="C39" s="99">
        <f>ROUND(C33*F20,0)</f>
        <v>23723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50814</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49818</v>
      </c>
      <c r="D42" s="104"/>
      <c r="E42" s="104"/>
      <c r="F42" s="105"/>
      <c r="G42" s="3554" t="s">
        <v>1745</v>
      </c>
    </row>
    <row r="43" spans="1:123" ht="13.5" customHeight="1">
      <c r="A43" s="92" t="s">
        <v>1685</v>
      </c>
      <c r="B43" s="93" t="s">
        <v>1714</v>
      </c>
      <c r="C43" s="104">
        <f ca="1">ROUND(IF('数据-取费表'!B24&lt;=1,C39*F22*'数据-取费表'!B23/2,C39*(POWER((1+F22),'数据-取费表'!B23/2)-1)),0)</f>
        <v>996</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181480</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181480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1561116</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1202059</v>
      </c>
      <c r="D51" s="99"/>
      <c r="E51" s="99"/>
      <c r="F51" s="126"/>
      <c r="G51" s="100" t="s">
        <v>1759</v>
      </c>
    </row>
    <row r="52" spans="1:123" s="88" customFormat="1" ht="16.5" thickBot="1">
      <c r="A52" s="127" t="s">
        <v>1760</v>
      </c>
      <c r="B52" s="128"/>
      <c r="C52" s="129">
        <f ca="1">C31+C51</f>
        <v>4370453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0.27500000000000002</v>
      </c>
    </row>
    <row r="57" spans="1:123">
      <c r="B57" s="135" t="s">
        <v>1763</v>
      </c>
      <c r="C57" s="137">
        <f ca="1">1-C56</f>
        <v>0.72499999999999998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6</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-58423</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-58423</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-1168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-8939</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-8939</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57909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I71" sqref="I7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310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10066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238795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238497</v>
      </c>
      <c r="D6" s="36" t="s">
        <v>2461</v>
      </c>
      <c r="E6" s="235" t="s">
        <v>1776</v>
      </c>
      <c r="F6" s="236">
        <f>'数据-取费表'!B30</f>
        <v>2.5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307.49</v>
      </c>
      <c r="G7" s="909"/>
      <c r="H7" s="237"/>
      <c r="I7" s="238"/>
      <c r="J7" s="239"/>
      <c r="K7" s="240"/>
      <c r="L7" s="235" t="s">
        <v>1777</v>
      </c>
      <c r="M7" s="236">
        <f>IF('数据-取费表'!B42="",IF(D1="仅计算典型户型",'数据-取费表'!E5,'数据-取费表'!B5),'数据-取费表'!B42)</f>
        <v>307.49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298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1202059</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1076215</v>
      </c>
      <c r="D14" s="1256" t="s">
        <v>1795</v>
      </c>
      <c r="E14" s="1257"/>
      <c r="F14" s="757"/>
      <c r="G14" s="910"/>
      <c r="H14" s="253" t="s">
        <v>1774</v>
      </c>
      <c r="I14" s="235" t="s">
        <v>1796</v>
      </c>
      <c r="J14" s="13">
        <f ca="1">C29</f>
        <v>1561116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32286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20919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61498</v>
      </c>
      <c r="D17" s="235" t="s">
        <v>1809</v>
      </c>
      <c r="E17" s="235" t="s">
        <v>1810</v>
      </c>
      <c r="F17" s="15">
        <f>'数据-取费表'!E23</f>
        <v>200</v>
      </c>
      <c r="G17" s="910"/>
      <c r="H17" s="253" t="s">
        <v>1811</v>
      </c>
      <c r="I17" s="235" t="s">
        <v>1812</v>
      </c>
      <c r="J17" s="2745">
        <f ca="1">ROUND(IF(AND(项目基本情况!B7="自然人",项目基本情况!B6="北京市"),J6*M17/(1+'数据-取费表'!F30),J18+J19+J20),0)</f>
        <v>13113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16143</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1186142</v>
      </c>
      <c r="D19" s="33" t="s">
        <v>1820</v>
      </c>
      <c r="E19" s="1261"/>
      <c r="F19" s="15"/>
      <c r="G19" s="910"/>
      <c r="H19" s="253" t="s">
        <v>1797</v>
      </c>
      <c r="I19" s="235" t="s">
        <v>1821</v>
      </c>
      <c r="J19" s="13">
        <f ca="1">IF(项目基本情况!B7="自然人","——",IF(K19="按租金收入计税",ROUND(J6*M19/(1+'数据-取费表'!F30),0),ROUND(C29*M19*0.7,0)))</f>
        <v>13113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23723</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7806</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50814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-20919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181480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1561116</v>
      </c>
      <c r="D29" s="1034"/>
      <c r="E29" s="1032"/>
      <c r="F29" s="1035"/>
      <c r="G29" s="652"/>
      <c r="H29" s="271" t="s">
        <v>24</v>
      </c>
      <c r="I29" s="272" t="s">
        <v>1869</v>
      </c>
      <c r="J29" s="273">
        <f ca="1">ROUND(J26/(1+F40)^F41,0)</f>
        <v>0</v>
      </c>
      <c r="K29" s="274" t="s">
        <v>1870</v>
      </c>
      <c r="L29" s="275"/>
      <c r="M29" s="276">
        <f>IF(D1="仅计算典型户型",'数据-取费表'!E5,'数据-取费表'!B5)</f>
        <v>307.49</v>
      </c>
    </row>
    <row r="30" spans="1:37" ht="18" customHeight="1" thickTop="1">
      <c r="A30" s="1021" t="s">
        <v>14</v>
      </c>
      <c r="B30" s="1022" t="s">
        <v>1871</v>
      </c>
      <c r="C30" s="243">
        <f ca="1">ROUND(C31+C36+C37+C38,0)</f>
        <v>52941</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39750</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12493</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27257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84144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7806</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1803</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3582</v>
      </c>
      <c r="D38" s="1034" t="s">
        <v>1846</v>
      </c>
      <c r="E38" s="1032" t="s">
        <v>1842</v>
      </c>
      <c r="F38" s="1027">
        <f>'数据-取费表'!B47</f>
        <v>1.4999999999999999E-2</v>
      </c>
      <c r="G38" s="652"/>
      <c r="H38" s="901"/>
      <c r="I38" s="280" t="s">
        <v>1884</v>
      </c>
      <c r="J38" s="136">
        <f ca="1">ROUND(J34/C39,3)</f>
        <v>0.45300000000000001</v>
      </c>
      <c r="K38" s="906"/>
      <c r="L38" s="901"/>
      <c r="M38" s="901"/>
    </row>
    <row r="39" spans="1:18" ht="18" customHeight="1" thickTop="1">
      <c r="A39" s="1021" t="s">
        <v>22</v>
      </c>
      <c r="B39" s="1036" t="s">
        <v>1885</v>
      </c>
      <c r="C39" s="243">
        <f ca="1">C5-C30</f>
        <v>185854</v>
      </c>
      <c r="D39" s="1037" t="s">
        <v>1886</v>
      </c>
      <c r="E39" s="1038"/>
      <c r="F39" s="1039"/>
      <c r="G39" s="652"/>
      <c r="H39" s="901"/>
      <c r="I39" s="280" t="s">
        <v>1887</v>
      </c>
      <c r="J39" s="136">
        <f ca="1">1-J38</f>
        <v>0.54699999999999993</v>
      </c>
      <c r="K39" s="906"/>
      <c r="L39" s="901"/>
      <c r="M39" s="901"/>
    </row>
    <row r="40" spans="1:18" s="652" customFormat="1" ht="18" customHeight="1">
      <c r="A40" s="232" t="s">
        <v>23</v>
      </c>
      <c r="B40" s="233" t="s">
        <v>1888</v>
      </c>
      <c r="C40" s="234">
        <f ca="1">ROUND(C39*(1-((1+F42)/(1+F40))^F41)/(F40-F42),0)</f>
        <v>3095114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24</v>
      </c>
      <c r="H41" s="908"/>
      <c r="I41" s="135" t="s">
        <v>1762</v>
      </c>
      <c r="J41" s="136">
        <f ca="1">ROUND(C13/C40,3)</f>
        <v>0.38800000000000001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0.61199999999999999</v>
      </c>
      <c r="K42" s="905"/>
      <c r="L42" s="908"/>
      <c r="M42" s="908"/>
      <c r="Q42" s="656"/>
    </row>
    <row r="43" spans="1:18" s="652" customFormat="1" ht="18" customHeight="1" thickBot="1">
      <c r="A43" s="271" t="s">
        <v>24</v>
      </c>
      <c r="B43" s="272" t="s">
        <v>1891</v>
      </c>
      <c r="C43" s="273">
        <f ca="1">ROUND(C40/F43,0)</f>
        <v>10066</v>
      </c>
      <c r="D43" s="274" t="s">
        <v>1892</v>
      </c>
      <c r="E43" s="275" t="s">
        <v>1893</v>
      </c>
      <c r="F43" s="276">
        <f>IF(D1="仅计算典型户型",'数据-取费表'!E5,'数据-取费表'!B5)</f>
        <v>307.49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3095114</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-495</v>
      </c>
      <c r="D47" s="1456" t="str">
        <f>C2</f>
        <v>万元</v>
      </c>
      <c r="E47" s="649"/>
      <c r="F47" s="649"/>
      <c r="I47" s="1457" t="s">
        <v>1904</v>
      </c>
      <c r="J47" s="981"/>
      <c r="K47" s="982"/>
      <c r="L47" s="995" t="str">
        <f>IF(M48="住宅",0,IF(L49&gt;J52,L61,J61))</f>
        <v>0</v>
      </c>
      <c r="O47" s="1009" t="s">
        <v>769</v>
      </c>
      <c r="P47" s="1006" t="s">
        <v>1905</v>
      </c>
      <c r="Q47" s="1007">
        <f ca="1">C29</f>
        <v>1561116</v>
      </c>
      <c r="R47" s="1008" t="s">
        <v>1900</v>
      </c>
    </row>
    <row r="48" spans="1:18" s="652" customFormat="1" ht="15.75" thickBot="1">
      <c r="A48" s="228" t="s">
        <v>1906</v>
      </c>
      <c r="B48" s="229" t="s">
        <v>1907</v>
      </c>
      <c r="C48" s="229" t="s">
        <v>1908</v>
      </c>
      <c r="D48" s="229" t="s">
        <v>1909</v>
      </c>
      <c r="E48" s="944" t="s">
        <v>1910</v>
      </c>
      <c r="F48" s="945"/>
      <c r="I48" s="1458" t="s">
        <v>1911</v>
      </c>
      <c r="J48" s="1459" t="s">
        <v>3041</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24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24</v>
      </c>
      <c r="R50" s="1008" t="s">
        <v>1923</v>
      </c>
    </row>
    <row r="51" spans="1:18" s="652" customFormat="1" ht="15.75" thickBot="1">
      <c r="A51" s="237"/>
      <c r="B51" s="238"/>
      <c r="C51" s="239"/>
      <c r="D51" s="240"/>
      <c r="E51" s="255" t="s">
        <v>1777</v>
      </c>
      <c r="F51" s="943">
        <f>F7</f>
        <v>307.49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310</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53836341</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24</v>
      </c>
      <c r="K54" s="3557" t="s">
        <v>2460</v>
      </c>
      <c r="L54" s="3558"/>
      <c r="O54" s="1005" t="s">
        <v>767</v>
      </c>
      <c r="P54" s="1006" t="s">
        <v>1899</v>
      </c>
      <c r="Q54" s="1007">
        <f ca="1">C40+J29</f>
        <v>3095114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1202059</v>
      </c>
      <c r="D57" s="941"/>
      <c r="E57" s="942"/>
      <c r="F57" s="949"/>
      <c r="I57" s="1475" t="s">
        <v>1936</v>
      </c>
      <c r="J57" s="993" t="s">
        <v>3043</v>
      </c>
      <c r="K57" s="1461" t="s">
        <v>1937</v>
      </c>
      <c r="L57" s="821" t="str">
        <f>IF(L49&lt;J52,"——",L49-J52)</f>
        <v>——</v>
      </c>
      <c r="O57" s="1009" t="s">
        <v>770</v>
      </c>
      <c r="P57" s="1006" t="s">
        <v>1938</v>
      </c>
      <c r="Q57" s="1010">
        <f>L53</f>
        <v>0</v>
      </c>
      <c r="R57" s="1008"/>
    </row>
    <row r="58" spans="1:18" s="652" customFormat="1" ht="29.25" thickBot="1">
      <c r="A58" s="948"/>
      <c r="B58" s="235" t="s">
        <v>1868</v>
      </c>
      <c r="C58" s="104">
        <f ca="1">C29</f>
        <v>1561116</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140743</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131134</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310</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131134</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3095114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7806</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53836341</v>
      </c>
      <c r="R65" s="1012" t="s">
        <v>1962</v>
      </c>
    </row>
    <row r="66" spans="1:18" s="652" customFormat="1" ht="20.25" thickBot="1">
      <c r="A66" s="253" t="s">
        <v>20</v>
      </c>
      <c r="B66" s="235" t="s">
        <v>1840</v>
      </c>
      <c r="C66" s="13">
        <f ca="1">ROUND(C57*F66,0)</f>
        <v>1803</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101710</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185854</v>
      </c>
      <c r="R67" s="1008" t="s">
        <v>1900</v>
      </c>
    </row>
    <row r="68" spans="1:18" ht="15.75" thickBot="1">
      <c r="A68" s="248" t="s">
        <v>22</v>
      </c>
      <c r="B68" s="41" t="s">
        <v>1850</v>
      </c>
      <c r="C68" s="250">
        <f ca="1">C49-C59</f>
        <v>-140743</v>
      </c>
      <c r="D68" s="1256" t="s">
        <v>1851</v>
      </c>
      <c r="E68" s="1258"/>
      <c r="F68" s="268"/>
      <c r="H68" s="652"/>
      <c r="I68" s="652"/>
      <c r="J68" s="652"/>
      <c r="K68" s="652"/>
      <c r="L68" s="652"/>
      <c r="M68" s="652"/>
      <c r="O68" s="1009" t="s">
        <v>776</v>
      </c>
      <c r="P68" s="1013" t="s">
        <v>1966</v>
      </c>
      <c r="Q68" s="1007">
        <f ca="1">C13</f>
        <v>1202059</v>
      </c>
      <c r="R68" s="1008" t="s">
        <v>1900</v>
      </c>
    </row>
    <row r="69" spans="1:18" ht="15.75" thickBot="1">
      <c r="A69" s="232" t="s">
        <v>23</v>
      </c>
      <c r="B69" s="233" t="s">
        <v>1888</v>
      </c>
      <c r="C69" s="234">
        <f ca="1">ROUND(C68*(1-((1+F71)/(1+F69))^F70)/(F69-F71),0)</f>
        <v>-1851010</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24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-6020</v>
      </c>
      <c r="D72" s="274" t="s">
        <v>1892</v>
      </c>
      <c r="E72" s="275" t="s">
        <v>1893</v>
      </c>
      <c r="F72" s="276">
        <f>F43</f>
        <v>307.49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310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307.49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44746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307.49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44746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15" sqref="M1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IF(D2="——",IF(C2="元",ROUND(C50*D3,0),ROUND(C50*D3/10000,0)),IF(C2="元",ROUND(C50*D3,0),ROUND(C50*D3/10000,0))-E2)</f>
        <v>#DIV/0!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ROUND(IF(D2="——",C50,IF(C2="万元",B2*10000/D3,B2/D3)),0)</f>
        <v>#DIV/0!</v>
      </c>
      <c r="C3" s="1588" t="s">
        <v>2005</v>
      </c>
      <c r="D3" s="1588">
        <f>IF(C1="仅计算典型户型",'数据-取费表'!E5,'数据-取费表'!B5)</f>
        <v>307.49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44746</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619" t="s">
        <v>2023</v>
      </c>
      <c r="Q8" s="3620"/>
      <c r="R8" s="1609" t="s">
        <v>25</v>
      </c>
      <c r="S8" s="1610">
        <f t="shared" si="0"/>
        <v>100</v>
      </c>
      <c r="T8" s="1609" t="s">
        <v>25</v>
      </c>
      <c r="U8" s="1610">
        <f t="shared" si="1"/>
        <v>100</v>
      </c>
      <c r="V8" s="1609" t="s">
        <v>25</v>
      </c>
      <c r="W8" s="1610">
        <f t="shared" si="2"/>
        <v>100</v>
      </c>
      <c r="X8" s="1611"/>
      <c r="Y8" s="3619" t="s">
        <v>2023</v>
      </c>
      <c r="Z8" s="3620"/>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3"/>
      <c r="Q11" s="2833" t="str">
        <f t="shared" si="6"/>
        <v>容积率</v>
      </c>
      <c r="R11" s="1609" t="s">
        <v>25</v>
      </c>
      <c r="S11" s="1610">
        <f t="shared" si="0"/>
        <v>100</v>
      </c>
      <c r="T11" s="1609" t="s">
        <v>25</v>
      </c>
      <c r="U11" s="1610">
        <f t="shared" si="1"/>
        <v>100</v>
      </c>
      <c r="V11" s="1609" t="s">
        <v>25</v>
      </c>
      <c r="W11" s="1610">
        <f t="shared" si="2"/>
        <v>100</v>
      </c>
      <c r="X11" s="1611"/>
      <c r="Y11" s="3487"/>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7"/>
      <c r="Q37" s="2834"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307.49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44746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307.49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44746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307.49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44746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44746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124</v>
      </c>
      <c r="G10" s="1686"/>
      <c r="H10" s="1626">
        <f>ROUND(100/'数据-取费表'!B14,0)</f>
        <v>124</v>
      </c>
      <c r="I10" s="1686"/>
      <c r="J10" s="1626">
        <f>ROUND(100/'数据-取费表'!B14,0)</f>
        <v>124</v>
      </c>
      <c r="K10" s="1898"/>
      <c r="L10" s="2917"/>
      <c r="M10" s="2918"/>
      <c r="N10" s="2918"/>
      <c r="O10" s="2963"/>
      <c r="P10" s="3623"/>
      <c r="Q10" s="1563" t="str">
        <f t="shared" si="6"/>
        <v>土地使用年限（年）</v>
      </c>
      <c r="R10" s="1609" t="s">
        <v>25</v>
      </c>
      <c r="S10" s="1610">
        <f t="shared" si="0"/>
        <v>124</v>
      </c>
      <c r="T10" s="1609" t="s">
        <v>25</v>
      </c>
      <c r="U10" s="1610">
        <f t="shared" si="1"/>
        <v>124</v>
      </c>
      <c r="V10" s="1609" t="s">
        <v>25</v>
      </c>
      <c r="W10" s="1610">
        <f t="shared" si="2"/>
        <v>124</v>
      </c>
      <c r="X10" s="1611"/>
      <c r="Y10" s="3487"/>
      <c r="Z10" s="1622" t="str">
        <f t="shared" si="7"/>
        <v>土地使用年限（年）</v>
      </c>
      <c r="AA10" s="1612">
        <f t="shared" si="3"/>
        <v>0.80645161290322576</v>
      </c>
      <c r="AB10" s="1612">
        <f t="shared" si="4"/>
        <v>0.80645161290322576</v>
      </c>
      <c r="AC10" s="1612">
        <f t="shared" si="5"/>
        <v>0.80645161290322576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44746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124</v>
      </c>
      <c r="G10" s="322"/>
      <c r="H10" s="29">
        <f>ROUND(100/'数据-取费表'!B14,0)</f>
        <v>124</v>
      </c>
      <c r="I10" s="322"/>
      <c r="J10" s="29">
        <f>ROUND(100/'数据-取费表'!B14,0)</f>
        <v>124</v>
      </c>
      <c r="K10" s="553"/>
      <c r="L10" s="2948"/>
      <c r="M10" s="2949"/>
      <c r="N10" s="2949"/>
      <c r="O10" s="2950"/>
      <c r="P10" s="3637"/>
      <c r="Q10" s="1255" t="str">
        <f t="shared" si="6"/>
        <v>土地使用年限（年）</v>
      </c>
      <c r="R10" s="627" t="s">
        <v>25</v>
      </c>
      <c r="S10" s="628">
        <f t="shared" si="0"/>
        <v>124</v>
      </c>
      <c r="T10" s="627" t="s">
        <v>25</v>
      </c>
      <c r="U10" s="628">
        <f t="shared" si="1"/>
        <v>124</v>
      </c>
      <c r="V10" s="627" t="s">
        <v>25</v>
      </c>
      <c r="W10" s="628">
        <f t="shared" si="2"/>
        <v>124</v>
      </c>
      <c r="X10" s="629"/>
      <c r="Y10" s="3667"/>
      <c r="Z10" s="19" t="str">
        <f t="shared" si="7"/>
        <v>土地使用年限（年）</v>
      </c>
      <c r="AA10" s="630">
        <f t="shared" si="3"/>
        <v>0.80645161290322576</v>
      </c>
      <c r="AB10" s="630">
        <f t="shared" si="4"/>
        <v>0.80645161290322576</v>
      </c>
      <c r="AC10" s="630">
        <f t="shared" si="5"/>
        <v>0.80645161290322576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估价对象为北京市房地产，为XX所有。根据《》[]，估价对象建筑面积为307.49平方米。根据《》[]，估价对象（分摊）出让国有建设用地使用权面积为平方米。估价对象用途为。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307.49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44746</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0.71340000000000003</v>
      </c>
      <c r="D20" s="2130" t="s">
        <v>2354</v>
      </c>
      <c r="E20" s="3072">
        <f>存贷款利率!E21/100</f>
        <v>4.3499999999999997E-2</v>
      </c>
      <c r="F20" s="2130" t="s">
        <v>2343</v>
      </c>
      <c r="G20" s="3073">
        <f>SUMIF(M26:P26,E2,M28:P28)</f>
        <v>0.05</v>
      </c>
      <c r="H20" s="2130" t="s">
        <v>2355</v>
      </c>
      <c r="I20" s="2131">
        <f>'数据-取费表'!B13</f>
        <v>24</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307.49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44746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307.49</v>
      </c>
      <c r="D6" s="3331"/>
      <c r="E6" s="1287"/>
    </row>
    <row r="7" spans="1:5" ht="14.25">
      <c r="A7" s="1287"/>
      <c r="B7" s="3325" t="s">
        <v>594</v>
      </c>
      <c r="C7" s="1293" t="str">
        <f>IF('数据-取费表'!B3="万元","总价（万元）","总价（元）")</f>
        <v>总价（万元）</v>
      </c>
      <c r="D7" s="1294">
        <f>IF('数据-取费表'!E3="否",结果表!I102,'结果表 (1修多)'!I104)</f>
        <v>0</v>
      </c>
      <c r="E7" s="1287"/>
    </row>
    <row r="8" spans="1:5" ht="14.25">
      <c r="A8" s="1287"/>
      <c r="B8" s="3325"/>
      <c r="C8" s="1295" t="s">
        <v>924</v>
      </c>
      <c r="D8" s="1296" t="str">
        <f>IF('数据-取费表'!B3="万元",NUMBERSTRING(INT(D7*10000),2)&amp;"元整",NUMBERSTRING(INT(D7),2)&amp;"元整")</f>
        <v>零元整</v>
      </c>
      <c r="E8" s="1287"/>
    </row>
    <row r="9" spans="1:5" ht="14.25">
      <c r="A9" s="1287"/>
      <c r="B9" s="3325"/>
      <c r="C9" s="1297" t="s">
        <v>1020</v>
      </c>
      <c r="D9" s="1294" t="e">
        <f>IF('数据-取费表'!E3="否",结果表!I103,'结果表 (1修多)'!I105)</f>
        <v>#DIV/0!</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IF('数据-取费表'!E3="否",结果表!I110,'结果表 (1修多)'!I112)</f>
        <v>0</v>
      </c>
      <c r="E15" s="1287"/>
    </row>
    <row r="16" spans="1:5" ht="14.25">
      <c r="A16" s="1287"/>
      <c r="B16" s="3332"/>
      <c r="C16" s="1295" t="s">
        <v>924</v>
      </c>
      <c r="D16" s="1294" t="str">
        <f>IF('数据-取费表'!B3="万元",NUMBERSTRING(INT(D15*10000),2)&amp;"元整",NUMBERSTRING(INT(D15),2)&amp;"元整")</f>
        <v>零元整</v>
      </c>
      <c r="E16" s="1287"/>
    </row>
    <row r="17" spans="1:5" ht="14.25">
      <c r="A17" s="1287"/>
      <c r="B17" s="3332"/>
      <c r="C17" s="1297" t="s">
        <v>1020</v>
      </c>
      <c r="D17" s="1294" t="e">
        <f>IF('数据-取费表'!E3="否",结果表!I111,'结果表 (1修多)'!I113)</f>
        <v>#DIV/0!</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307.49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
      <c r="A9" s="3350" t="s">
        <v>1030</v>
      </c>
      <c r="B9" s="3350"/>
      <c r="C9" s="3350"/>
      <c r="D9" s="3348" t="e">
        <f>IF('数据-取费表'!E3="否",结果表!D126,'结果表 (1修多)'!D130)</f>
        <v>#DIV/0!</v>
      </c>
      <c r="E9" s="3348"/>
      <c r="F9" s="3348"/>
      <c r="G9" s="3348"/>
      <c r="H9" s="3348"/>
      <c r="I9" s="3348"/>
    </row>
    <row r="10" spans="1:9" ht="15.7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59" t="str">
        <f>IF(项目基本情况!D4="抵押","4.本次评估估价师所知悉的法定优先受偿款情况说明如下：","——")</f>
        <v>4.本次评估估价师所知悉的法定优先受偿款情况说明如下：</v>
      </c>
      <c r="B15" s="3361"/>
      <c r="C15" s="3361"/>
      <c r="D15" s="3361"/>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0" t="s">
        <v>1045</v>
      </c>
      <c r="B17" s="3360"/>
      <c r="C17" s="3360"/>
      <c r="D17" s="3360"/>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44746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2022-07-04T07:56:44Z</dcterms:modified>
</cp:coreProperties>
</file>