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34" l="1"/>
  <c r="E47" i="33" l="1"/>
  <c r="G50" i="33"/>
  <c r="G47" i="33" s="1"/>
  <c r="I50" i="33" l="1"/>
  <c r="I47" i="33" s="1"/>
  <c r="B40" i="74"/>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L18"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C169" i="79"/>
  <c r="R168" i="79"/>
  <c r="S168" i="79" s="1"/>
  <c r="Q168" i="79"/>
  <c r="O168" i="79"/>
  <c r="M168" i="79"/>
  <c r="K168" i="79"/>
  <c r="I168" i="79"/>
  <c r="C168" i="79"/>
  <c r="R167" i="79"/>
  <c r="S167" i="79" s="1"/>
  <c r="Q167" i="79"/>
  <c r="O167" i="79"/>
  <c r="M167" i="79"/>
  <c r="K167" i="79"/>
  <c r="I167" i="79"/>
  <c r="C167" i="79"/>
  <c r="R166" i="79"/>
  <c r="S166" i="79" s="1"/>
  <c r="Q166" i="79"/>
  <c r="O166" i="79"/>
  <c r="M166" i="79"/>
  <c r="K166" i="79"/>
  <c r="I166" i="79"/>
  <c r="C166" i="79"/>
  <c r="R165" i="79"/>
  <c r="S165" i="79" s="1"/>
  <c r="Q165" i="79"/>
  <c r="O165" i="79"/>
  <c r="M165" i="79"/>
  <c r="K165" i="79"/>
  <c r="I165" i="79"/>
  <c r="C165" i="79"/>
  <c r="R164" i="79"/>
  <c r="S164" i="79" s="1"/>
  <c r="Q164" i="79"/>
  <c r="O164" i="79"/>
  <c r="M164" i="79"/>
  <c r="K164" i="79"/>
  <c r="I164" i="79"/>
  <c r="C164" i="79"/>
  <c r="R163" i="79"/>
  <c r="S163" i="79" s="1"/>
  <c r="Q163" i="79"/>
  <c r="O163" i="79"/>
  <c r="M163" i="79"/>
  <c r="K163" i="79"/>
  <c r="I163" i="79"/>
  <c r="C163" i="79"/>
  <c r="R162" i="79"/>
  <c r="S162" i="79" s="1"/>
  <c r="Q162" i="79"/>
  <c r="O162" i="79"/>
  <c r="M162" i="79"/>
  <c r="K162" i="79"/>
  <c r="I162" i="79"/>
  <c r="C162" i="79"/>
  <c r="R161" i="79"/>
  <c r="S161" i="79" s="1"/>
  <c r="Q161" i="79"/>
  <c r="O161" i="79"/>
  <c r="M161" i="79"/>
  <c r="K161" i="79"/>
  <c r="I161" i="79"/>
  <c r="C161" i="79"/>
  <c r="R160" i="79"/>
  <c r="S160" i="79" s="1"/>
  <c r="Q160" i="79"/>
  <c r="O160" i="79"/>
  <c r="M160" i="79"/>
  <c r="K160" i="79"/>
  <c r="I160" i="79"/>
  <c r="C160" i="79"/>
  <c r="R159" i="79"/>
  <c r="S159" i="79" s="1"/>
  <c r="Q159" i="79"/>
  <c r="O159" i="79"/>
  <c r="M159" i="79"/>
  <c r="K159" i="79"/>
  <c r="I159" i="79"/>
  <c r="C159" i="79"/>
  <c r="R158" i="79"/>
  <c r="S158" i="79" s="1"/>
  <c r="Q158" i="79"/>
  <c r="O158" i="79"/>
  <c r="M158" i="79"/>
  <c r="K158" i="79"/>
  <c r="I158" i="79"/>
  <c r="C158" i="79"/>
  <c r="R157" i="79"/>
  <c r="S157" i="79" s="1"/>
  <c r="Q157" i="79"/>
  <c r="O157" i="79"/>
  <c r="M157" i="79"/>
  <c r="K157" i="79"/>
  <c r="I157" i="79"/>
  <c r="C157" i="79"/>
  <c r="R156" i="79"/>
  <c r="S156" i="79" s="1"/>
  <c r="Q156" i="79"/>
  <c r="O156" i="79"/>
  <c r="M156" i="79"/>
  <c r="K156" i="79"/>
  <c r="I156" i="79"/>
  <c r="C156" i="79"/>
  <c r="R155" i="79"/>
  <c r="S155" i="79" s="1"/>
  <c r="Q155" i="79"/>
  <c r="O155" i="79"/>
  <c r="M155" i="79"/>
  <c r="K155" i="79"/>
  <c r="I155" i="79"/>
  <c r="C155" i="79"/>
  <c r="R154" i="79"/>
  <c r="S154" i="79" s="1"/>
  <c r="Q154" i="79"/>
  <c r="O154" i="79"/>
  <c r="M154" i="79"/>
  <c r="K154" i="79"/>
  <c r="I154" i="79"/>
  <c r="C154" i="79"/>
  <c r="R153" i="79"/>
  <c r="S153" i="79" s="1"/>
  <c r="Q153" i="79"/>
  <c r="O153" i="79"/>
  <c r="M153" i="79"/>
  <c r="K153" i="79"/>
  <c r="I153" i="79"/>
  <c r="C153" i="79"/>
  <c r="R152" i="79"/>
  <c r="S152" i="79" s="1"/>
  <c r="Q152" i="79"/>
  <c r="O152" i="79"/>
  <c r="M152" i="79"/>
  <c r="K152" i="79"/>
  <c r="I152" i="79"/>
  <c r="C152" i="79"/>
  <c r="R151" i="79"/>
  <c r="S151" i="79" s="1"/>
  <c r="Q151" i="79"/>
  <c r="O151" i="79"/>
  <c r="M151" i="79"/>
  <c r="K151" i="79"/>
  <c r="I151" i="79"/>
  <c r="C151" i="79"/>
  <c r="R150" i="79"/>
  <c r="S150" i="79" s="1"/>
  <c r="Q150" i="79"/>
  <c r="O150" i="79"/>
  <c r="M150" i="79"/>
  <c r="K150" i="79"/>
  <c r="I150" i="79"/>
  <c r="C150" i="79"/>
  <c r="R149" i="79"/>
  <c r="S149" i="79" s="1"/>
  <c r="Q149" i="79"/>
  <c r="O149" i="79"/>
  <c r="M149" i="79"/>
  <c r="K149" i="79"/>
  <c r="I149" i="79"/>
  <c r="C149" i="79"/>
  <c r="R148" i="79"/>
  <c r="S148" i="79" s="1"/>
  <c r="Q148" i="79"/>
  <c r="O148" i="79"/>
  <c r="M148" i="79"/>
  <c r="K148" i="79"/>
  <c r="I148" i="79"/>
  <c r="C148" i="79"/>
  <c r="R147" i="79"/>
  <c r="S147" i="79" s="1"/>
  <c r="Q147" i="79"/>
  <c r="O147" i="79"/>
  <c r="M147" i="79"/>
  <c r="K147" i="79"/>
  <c r="I147" i="79"/>
  <c r="C147" i="79"/>
  <c r="R146" i="79"/>
  <c r="S146" i="79" s="1"/>
  <c r="Q146" i="79"/>
  <c r="O146" i="79"/>
  <c r="M146" i="79"/>
  <c r="K146" i="79"/>
  <c r="I146" i="79"/>
  <c r="C146" i="79"/>
  <c r="R145" i="79"/>
  <c r="S145" i="79" s="1"/>
  <c r="Q145" i="79"/>
  <c r="O145" i="79"/>
  <c r="M145" i="79"/>
  <c r="K145" i="79"/>
  <c r="I145" i="79"/>
  <c r="C145" i="79"/>
  <c r="R144" i="79"/>
  <c r="S144" i="79" s="1"/>
  <c r="Q144" i="79"/>
  <c r="O144" i="79"/>
  <c r="M144" i="79"/>
  <c r="K144" i="79"/>
  <c r="I144" i="79"/>
  <c r="C144" i="79"/>
  <c r="R143" i="79"/>
  <c r="S143" i="79" s="1"/>
  <c r="Q143" i="79"/>
  <c r="O143" i="79"/>
  <c r="M143" i="79"/>
  <c r="K143" i="79"/>
  <c r="I143" i="79"/>
  <c r="C143" i="79"/>
  <c r="R142" i="79"/>
  <c r="S142" i="79" s="1"/>
  <c r="Q142" i="79"/>
  <c r="O142" i="79"/>
  <c r="M142" i="79"/>
  <c r="K142" i="79"/>
  <c r="I142" i="79"/>
  <c r="C142" i="79"/>
  <c r="R141" i="79"/>
  <c r="S141" i="79" s="1"/>
  <c r="Q141" i="79"/>
  <c r="O141" i="79"/>
  <c r="M141" i="79"/>
  <c r="K141" i="79"/>
  <c r="I141" i="79"/>
  <c r="C141" i="79"/>
  <c r="R140" i="79"/>
  <c r="S140" i="79" s="1"/>
  <c r="Q140" i="79"/>
  <c r="O140" i="79"/>
  <c r="M140" i="79"/>
  <c r="K140" i="79"/>
  <c r="I140" i="79"/>
  <c r="C140" i="79"/>
  <c r="R139" i="79"/>
  <c r="S139" i="79" s="1"/>
  <c r="Q139" i="79"/>
  <c r="O139" i="79"/>
  <c r="M139" i="79"/>
  <c r="K139" i="79"/>
  <c r="I139" i="79"/>
  <c r="C139" i="79"/>
  <c r="R138" i="79"/>
  <c r="S138" i="79" s="1"/>
  <c r="Q138" i="79"/>
  <c r="O138" i="79"/>
  <c r="M138" i="79"/>
  <c r="K138" i="79"/>
  <c r="I138" i="79"/>
  <c r="C138" i="79"/>
  <c r="R137" i="79"/>
  <c r="S137" i="79" s="1"/>
  <c r="Q137" i="79"/>
  <c r="O137" i="79"/>
  <c r="M137" i="79"/>
  <c r="K137" i="79"/>
  <c r="I137" i="79"/>
  <c r="C137" i="79"/>
  <c r="R136" i="79"/>
  <c r="S136" i="79" s="1"/>
  <c r="Q136" i="79"/>
  <c r="O136" i="79"/>
  <c r="M136" i="79"/>
  <c r="K136" i="79"/>
  <c r="I136" i="79"/>
  <c r="C136" i="79"/>
  <c r="R135" i="79"/>
  <c r="S135" i="79" s="1"/>
  <c r="Q135" i="79"/>
  <c r="O135" i="79"/>
  <c r="M135" i="79"/>
  <c r="K135" i="79"/>
  <c r="I135" i="79"/>
  <c r="C135" i="79"/>
  <c r="R134" i="79"/>
  <c r="S134" i="79" s="1"/>
  <c r="Q134" i="79"/>
  <c r="O134" i="79"/>
  <c r="M134" i="79"/>
  <c r="K134" i="79"/>
  <c r="I134" i="79"/>
  <c r="C134" i="79"/>
  <c r="R133" i="79"/>
  <c r="S133" i="79" s="1"/>
  <c r="Q133" i="79"/>
  <c r="O133" i="79"/>
  <c r="M133" i="79"/>
  <c r="K133" i="79"/>
  <c r="I133" i="79"/>
  <c r="C133" i="79"/>
  <c r="R132" i="79"/>
  <c r="S132" i="79" s="1"/>
  <c r="Q132" i="79"/>
  <c r="O132" i="79"/>
  <c r="M132" i="79"/>
  <c r="K132" i="79"/>
  <c r="I132" i="79"/>
  <c r="C132" i="79"/>
  <c r="R131" i="79"/>
  <c r="S131" i="79" s="1"/>
  <c r="Q131" i="79"/>
  <c r="O131" i="79"/>
  <c r="M131" i="79"/>
  <c r="K131" i="79"/>
  <c r="I131" i="79"/>
  <c r="C131" i="79"/>
  <c r="R130" i="79"/>
  <c r="S130" i="79" s="1"/>
  <c r="Q130" i="79"/>
  <c r="O130" i="79"/>
  <c r="M130" i="79"/>
  <c r="K130" i="79"/>
  <c r="I130" i="79"/>
  <c r="C130" i="79"/>
  <c r="R129" i="79"/>
  <c r="S129" i="79" s="1"/>
  <c r="Q129" i="79"/>
  <c r="O129" i="79"/>
  <c r="M129" i="79"/>
  <c r="K129" i="79"/>
  <c r="I129" i="79"/>
  <c r="C129" i="79"/>
  <c r="R128" i="79"/>
  <c r="S128" i="79" s="1"/>
  <c r="Q128" i="79"/>
  <c r="O128" i="79"/>
  <c r="M128" i="79"/>
  <c r="K128" i="79"/>
  <c r="I128" i="79"/>
  <c r="C128" i="79"/>
  <c r="R127" i="79"/>
  <c r="S127" i="79" s="1"/>
  <c r="Q127" i="79"/>
  <c r="O127" i="79"/>
  <c r="M127" i="79"/>
  <c r="K127" i="79"/>
  <c r="I127" i="79"/>
  <c r="C127" i="79"/>
  <c r="R126" i="79"/>
  <c r="S126" i="79" s="1"/>
  <c r="Q126" i="79"/>
  <c r="O126" i="79"/>
  <c r="M126" i="79"/>
  <c r="K126" i="79"/>
  <c r="I126" i="79"/>
  <c r="C126" i="79"/>
  <c r="R125" i="79"/>
  <c r="S125" i="79" s="1"/>
  <c r="Q125" i="79"/>
  <c r="O125" i="79"/>
  <c r="M125" i="79"/>
  <c r="K125" i="79"/>
  <c r="I125" i="79"/>
  <c r="C125" i="79"/>
  <c r="R124" i="79"/>
  <c r="S124" i="79" s="1"/>
  <c r="Q124" i="79"/>
  <c r="O124" i="79"/>
  <c r="M124" i="79"/>
  <c r="K124" i="79"/>
  <c r="I124" i="79"/>
  <c r="C124" i="79"/>
  <c r="R123" i="79"/>
  <c r="S123" i="79" s="1"/>
  <c r="Q123" i="79"/>
  <c r="O123" i="79"/>
  <c r="M123" i="79"/>
  <c r="K123" i="79"/>
  <c r="I123" i="79"/>
  <c r="C123" i="79"/>
  <c r="R122" i="79"/>
  <c r="S122" i="79" s="1"/>
  <c r="Q122" i="79"/>
  <c r="O122" i="79"/>
  <c r="M122" i="79"/>
  <c r="K122" i="79"/>
  <c r="I122" i="79"/>
  <c r="C122" i="79"/>
  <c r="R121" i="79"/>
  <c r="S121" i="79" s="1"/>
  <c r="Q121" i="79"/>
  <c r="O121" i="79"/>
  <c r="M121" i="79"/>
  <c r="K121" i="79"/>
  <c r="I121" i="79"/>
  <c r="C121" i="79"/>
  <c r="R120" i="79"/>
  <c r="S120" i="79" s="1"/>
  <c r="Q120" i="79"/>
  <c r="O120" i="79"/>
  <c r="M120" i="79"/>
  <c r="K120" i="79"/>
  <c r="I120" i="79"/>
  <c r="C120" i="79"/>
  <c r="R119" i="79"/>
  <c r="S119" i="79" s="1"/>
  <c r="Q119" i="79"/>
  <c r="O119" i="79"/>
  <c r="M119" i="79"/>
  <c r="K119" i="79"/>
  <c r="I119" i="79"/>
  <c r="C119" i="79"/>
  <c r="R118" i="79"/>
  <c r="S118" i="79" s="1"/>
  <c r="Q118" i="79"/>
  <c r="O118" i="79"/>
  <c r="M118" i="79"/>
  <c r="K118" i="79"/>
  <c r="I118" i="79"/>
  <c r="C118" i="79"/>
  <c r="R117" i="79"/>
  <c r="S117" i="79" s="1"/>
  <c r="Q117" i="79"/>
  <c r="O117" i="79"/>
  <c r="M117" i="79"/>
  <c r="K117" i="79"/>
  <c r="I117" i="79"/>
  <c r="C117" i="79"/>
  <c r="R116" i="79"/>
  <c r="S116" i="79" s="1"/>
  <c r="Q116" i="79"/>
  <c r="O116" i="79"/>
  <c r="M116" i="79"/>
  <c r="K116" i="79"/>
  <c r="I116" i="79"/>
  <c r="C116" i="79"/>
  <c r="R115" i="79"/>
  <c r="S115" i="79" s="1"/>
  <c r="Q115" i="79"/>
  <c r="O115" i="79"/>
  <c r="M115" i="79"/>
  <c r="K115" i="79"/>
  <c r="I115" i="79"/>
  <c r="C115" i="79"/>
  <c r="R114" i="79"/>
  <c r="S114" i="79" s="1"/>
  <c r="Q114" i="79"/>
  <c r="O114" i="79"/>
  <c r="M114" i="79"/>
  <c r="K114" i="79"/>
  <c r="I114" i="79"/>
  <c r="C114" i="79"/>
  <c r="R113" i="79"/>
  <c r="S113" i="79" s="1"/>
  <c r="Q113" i="79"/>
  <c r="O113" i="79"/>
  <c r="M113" i="79"/>
  <c r="K113" i="79"/>
  <c r="I113" i="79"/>
  <c r="C113" i="79"/>
  <c r="R112" i="79"/>
  <c r="S112" i="79" s="1"/>
  <c r="Q112" i="79"/>
  <c r="O112" i="79"/>
  <c r="M112" i="79"/>
  <c r="K112" i="79"/>
  <c r="I112" i="79"/>
  <c r="C112" i="79"/>
  <c r="R111" i="79"/>
  <c r="S111" i="79" s="1"/>
  <c r="Q111" i="79"/>
  <c r="O111" i="79"/>
  <c r="M111" i="79"/>
  <c r="K111" i="79"/>
  <c r="I111" i="79"/>
  <c r="C111" i="79"/>
  <c r="R110" i="79"/>
  <c r="S110" i="79" s="1"/>
  <c r="Q110" i="79"/>
  <c r="O110" i="79"/>
  <c r="M110" i="79"/>
  <c r="K110" i="79"/>
  <c r="I110" i="79"/>
  <c r="C110" i="79"/>
  <c r="R109" i="79"/>
  <c r="S109" i="79" s="1"/>
  <c r="Q109" i="79"/>
  <c r="O109" i="79"/>
  <c r="M109" i="79"/>
  <c r="K109" i="79"/>
  <c r="I109" i="79"/>
  <c r="C109" i="79"/>
  <c r="R108" i="79"/>
  <c r="S108" i="79" s="1"/>
  <c r="Q108" i="79"/>
  <c r="O108" i="79"/>
  <c r="M108" i="79"/>
  <c r="K108" i="79"/>
  <c r="I108" i="79"/>
  <c r="C108" i="79"/>
  <c r="R107" i="79"/>
  <c r="S107" i="79" s="1"/>
  <c r="Q107" i="79"/>
  <c r="O107" i="79"/>
  <c r="M107" i="79"/>
  <c r="K107" i="79"/>
  <c r="I107" i="79"/>
  <c r="C107" i="79"/>
  <c r="R106" i="79"/>
  <c r="S106" i="79" s="1"/>
  <c r="Q106" i="79"/>
  <c r="O106" i="79"/>
  <c r="M106" i="79"/>
  <c r="K106" i="79"/>
  <c r="I106" i="79"/>
  <c r="C106" i="79"/>
  <c r="R105" i="79"/>
  <c r="S105" i="79" s="1"/>
  <c r="Q105" i="79"/>
  <c r="O105" i="79"/>
  <c r="M105" i="79"/>
  <c r="K105" i="79"/>
  <c r="I105" i="79"/>
  <c r="C105" i="79"/>
  <c r="R104" i="79"/>
  <c r="S104" i="79" s="1"/>
  <c r="Q104" i="79"/>
  <c r="O104" i="79"/>
  <c r="M104" i="79"/>
  <c r="K104" i="79"/>
  <c r="I104" i="79"/>
  <c r="C104" i="79"/>
  <c r="R103" i="79"/>
  <c r="S103" i="79" s="1"/>
  <c r="Q103" i="79"/>
  <c r="O103" i="79"/>
  <c r="M103" i="79"/>
  <c r="K103" i="79"/>
  <c r="I103" i="79"/>
  <c r="C103" i="79"/>
  <c r="R102" i="79"/>
  <c r="S102" i="79" s="1"/>
  <c r="Q102" i="79"/>
  <c r="O102" i="79"/>
  <c r="M102" i="79"/>
  <c r="K102" i="79"/>
  <c r="I102" i="79"/>
  <c r="C102" i="79"/>
  <c r="R101" i="79"/>
  <c r="S101" i="79" s="1"/>
  <c r="Q101" i="79"/>
  <c r="O101" i="79"/>
  <c r="M101" i="79"/>
  <c r="K101" i="79"/>
  <c r="I101" i="79"/>
  <c r="C101" i="79"/>
  <c r="R100" i="79"/>
  <c r="S100" i="79" s="1"/>
  <c r="Q100" i="79"/>
  <c r="O100" i="79"/>
  <c r="M100" i="79"/>
  <c r="K100" i="79"/>
  <c r="I100" i="79"/>
  <c r="C100" i="79"/>
  <c r="R99" i="79"/>
  <c r="S99" i="79" s="1"/>
  <c r="Q99" i="79"/>
  <c r="O99" i="79"/>
  <c r="M99" i="79"/>
  <c r="K99" i="79"/>
  <c r="I99" i="79"/>
  <c r="C99" i="79"/>
  <c r="R98" i="79"/>
  <c r="S98" i="79" s="1"/>
  <c r="Q98" i="79"/>
  <c r="O98" i="79"/>
  <c r="M98" i="79"/>
  <c r="K98" i="79"/>
  <c r="I98" i="79"/>
  <c r="C98" i="79"/>
  <c r="R97" i="79"/>
  <c r="S97" i="79" s="1"/>
  <c r="Q97" i="79"/>
  <c r="O97" i="79"/>
  <c r="M97" i="79"/>
  <c r="K97" i="79"/>
  <c r="I97" i="79"/>
  <c r="C97" i="79"/>
  <c r="R96" i="79"/>
  <c r="S96" i="79" s="1"/>
  <c r="Q96" i="79"/>
  <c r="O96" i="79"/>
  <c r="M96" i="79"/>
  <c r="K96" i="79"/>
  <c r="I96" i="79"/>
  <c r="C96" i="79"/>
  <c r="R95" i="79"/>
  <c r="S95" i="79" s="1"/>
  <c r="Q95" i="79"/>
  <c r="O95" i="79"/>
  <c r="M95" i="79"/>
  <c r="K95" i="79"/>
  <c r="I95" i="79"/>
  <c r="C95" i="79"/>
  <c r="R94" i="79"/>
  <c r="S94" i="79" s="1"/>
  <c r="Q94" i="79"/>
  <c r="O94" i="79"/>
  <c r="M94" i="79"/>
  <c r="K94" i="79"/>
  <c r="I94" i="79"/>
  <c r="C94" i="79"/>
  <c r="R93" i="79"/>
  <c r="S93" i="79" s="1"/>
  <c r="Q93" i="79"/>
  <c r="O93" i="79"/>
  <c r="M93" i="79"/>
  <c r="K93" i="79"/>
  <c r="I93" i="79"/>
  <c r="C93" i="79"/>
  <c r="R92" i="79"/>
  <c r="S92" i="79" s="1"/>
  <c r="Q92" i="79"/>
  <c r="O92" i="79"/>
  <c r="M92" i="79"/>
  <c r="K92" i="79"/>
  <c r="I92" i="79"/>
  <c r="C92" i="79"/>
  <c r="R91" i="79"/>
  <c r="S91" i="79" s="1"/>
  <c r="Q91" i="79"/>
  <c r="O91" i="79"/>
  <c r="M91" i="79"/>
  <c r="K91" i="79"/>
  <c r="I91" i="79"/>
  <c r="C91" i="79"/>
  <c r="R90" i="79"/>
  <c r="S90" i="79" s="1"/>
  <c r="Q90" i="79"/>
  <c r="O90" i="79"/>
  <c r="M90" i="79"/>
  <c r="K90" i="79"/>
  <c r="I90" i="79"/>
  <c r="C90" i="79"/>
  <c r="R89" i="79"/>
  <c r="S89" i="79" s="1"/>
  <c r="Q89" i="79"/>
  <c r="O89" i="79"/>
  <c r="M89" i="79"/>
  <c r="K89" i="79"/>
  <c r="I89" i="79"/>
  <c r="C89" i="79"/>
  <c r="R88" i="79"/>
  <c r="S88" i="79" s="1"/>
  <c r="Q88" i="79"/>
  <c r="O88" i="79"/>
  <c r="M88" i="79"/>
  <c r="K88" i="79"/>
  <c r="I88" i="79"/>
  <c r="C88" i="79"/>
  <c r="R87" i="79"/>
  <c r="S87" i="79" s="1"/>
  <c r="Q87" i="79"/>
  <c r="O87" i="79"/>
  <c r="M87" i="79"/>
  <c r="K87" i="79"/>
  <c r="I87" i="79"/>
  <c r="C87" i="79"/>
  <c r="R86" i="79"/>
  <c r="S86" i="79" s="1"/>
  <c r="Q86" i="79"/>
  <c r="O86" i="79"/>
  <c r="M86" i="79"/>
  <c r="K86" i="79"/>
  <c r="I86" i="79"/>
  <c r="C86" i="79"/>
  <c r="R85" i="79"/>
  <c r="S85" i="79" s="1"/>
  <c r="Q85" i="79"/>
  <c r="O85" i="79"/>
  <c r="M85" i="79"/>
  <c r="K85" i="79"/>
  <c r="I85" i="79"/>
  <c r="C85" i="79"/>
  <c r="R84" i="79"/>
  <c r="S84" i="79" s="1"/>
  <c r="Q84" i="79"/>
  <c r="O84" i="79"/>
  <c r="M84" i="79"/>
  <c r="K84" i="79"/>
  <c r="I84" i="79"/>
  <c r="C84" i="79"/>
  <c r="R83" i="79"/>
  <c r="S83" i="79" s="1"/>
  <c r="Q83" i="79"/>
  <c r="O83" i="79"/>
  <c r="M83" i="79"/>
  <c r="K83" i="79"/>
  <c r="I83" i="79"/>
  <c r="C83" i="79"/>
  <c r="R82" i="79"/>
  <c r="S82" i="79" s="1"/>
  <c r="Q82" i="79"/>
  <c r="O82" i="79"/>
  <c r="M82" i="79"/>
  <c r="K82" i="79"/>
  <c r="I82" i="79"/>
  <c r="C82" i="79"/>
  <c r="R81" i="79"/>
  <c r="S81" i="79" s="1"/>
  <c r="Q81" i="79"/>
  <c r="O81" i="79"/>
  <c r="M81" i="79"/>
  <c r="K81" i="79"/>
  <c r="I81" i="79"/>
  <c r="C81" i="79"/>
  <c r="R80" i="79"/>
  <c r="S80" i="79" s="1"/>
  <c r="Q80" i="79"/>
  <c r="O80" i="79"/>
  <c r="M80" i="79"/>
  <c r="K80" i="79"/>
  <c r="I80" i="79"/>
  <c r="C80" i="79"/>
  <c r="R79" i="79"/>
  <c r="S79" i="79" s="1"/>
  <c r="Q79" i="79"/>
  <c r="O79" i="79"/>
  <c r="M79" i="79"/>
  <c r="K79" i="79"/>
  <c r="I79" i="79"/>
  <c r="C79" i="79"/>
  <c r="R78" i="79"/>
  <c r="S78" i="79" s="1"/>
  <c r="Q78" i="79"/>
  <c r="O78" i="79"/>
  <c r="M78" i="79"/>
  <c r="K78" i="79"/>
  <c r="I78" i="79"/>
  <c r="C78" i="79"/>
  <c r="R77" i="79"/>
  <c r="S77" i="79" s="1"/>
  <c r="Q77" i="79"/>
  <c r="O77" i="79"/>
  <c r="M77" i="79"/>
  <c r="K77" i="79"/>
  <c r="I77" i="79"/>
  <c r="C77" i="79"/>
  <c r="R76" i="79"/>
  <c r="S76" i="79" s="1"/>
  <c r="Q76" i="79"/>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Q31" i="79"/>
  <c r="O31" i="79"/>
  <c r="M31" i="79"/>
  <c r="K31" i="79"/>
  <c r="I31" i="79"/>
  <c r="Q30" i="79"/>
  <c r="O30" i="79"/>
  <c r="M30" i="79"/>
  <c r="K30" i="79"/>
  <c r="I30" i="79"/>
  <c r="Q29" i="79"/>
  <c r="O29" i="79"/>
  <c r="M29" i="79"/>
  <c r="K29" i="79"/>
  <c r="I29" i="79"/>
  <c r="Q28" i="79"/>
  <c r="O28" i="79"/>
  <c r="M28" i="79"/>
  <c r="K28" i="79"/>
  <c r="I28" i="79"/>
  <c r="Q27" i="79"/>
  <c r="O27" i="79"/>
  <c r="M27" i="79"/>
  <c r="K27" i="79"/>
  <c r="I27" i="79"/>
  <c r="Q26" i="79"/>
  <c r="O26" i="79"/>
  <c r="M26" i="79"/>
  <c r="K26" i="79"/>
  <c r="I26" i="79"/>
  <c r="Q25" i="79"/>
  <c r="O25" i="79"/>
  <c r="M25" i="79"/>
  <c r="K25" i="79"/>
  <c r="I25" i="79"/>
  <c r="P23" i="79"/>
  <c r="N23" i="79"/>
  <c r="L23" i="79"/>
  <c r="J23" i="79"/>
  <c r="H23" i="79"/>
  <c r="F23" i="79"/>
  <c r="D23" i="79"/>
  <c r="C18" i="79"/>
  <c r="G12" i="79"/>
  <c r="H12" i="79" s="1"/>
  <c r="I12" i="79" s="1"/>
  <c r="J12" i="79" s="1"/>
  <c r="K12" i="79" s="1"/>
  <c r="L12" i="79" s="1"/>
  <c r="M12" i="79" s="1"/>
  <c r="N12" i="79" s="1"/>
  <c r="O12" i="79" s="1"/>
  <c r="P12" i="79" s="1"/>
  <c r="Q12" i="79" s="1"/>
  <c r="R12" i="79" s="1"/>
  <c r="S12" i="79" s="1"/>
  <c r="E12" i="79"/>
  <c r="F12" i="79" s="1"/>
  <c r="D12" i="79"/>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7" i="1"/>
  <c r="Y6" i="1"/>
  <c r="I37" i="34"/>
  <c r="E37" i="34"/>
  <c r="C37" i="34"/>
  <c r="N6" i="1"/>
  <c r="C34" i="34"/>
  <c r="F20" i="6"/>
  <c r="F19" i="6"/>
  <c r="W7" i="1"/>
  <c r="L7" i="1"/>
  <c r="N7" i="1"/>
  <c r="D35" i="80"/>
  <c r="M29" i="78"/>
  <c r="F26" i="78"/>
  <c r="F37" i="78"/>
  <c r="F36" i="78"/>
  <c r="F13" i="78"/>
  <c r="F6" i="78"/>
  <c r="D34" i="80"/>
  <c r="M26" i="78"/>
  <c r="F20" i="79"/>
  <c r="F16" i="78"/>
  <c r="M27" i="78"/>
  <c r="M6" i="78"/>
  <c r="F38" i="78"/>
  <c r="M23" i="78"/>
  <c r="M8" i="78"/>
  <c r="M9" i="78"/>
  <c r="J15" i="78"/>
  <c r="E35" i="79" l="1"/>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43" i="78"/>
  <c r="L47" i="78"/>
  <c r="F9" i="78"/>
  <c r="M28" i="78"/>
  <c r="M22" i="78"/>
  <c r="F42" i="78"/>
  <c r="F40" i="78"/>
  <c r="F8" i="78"/>
  <c r="C76" i="78"/>
  <c r="M24" i="78"/>
  <c r="F7" i="78"/>
  <c r="F8" i="79" l="1"/>
  <c r="G26" i="79"/>
  <c r="D124" i="80"/>
  <c r="D125" i="80" s="1"/>
  <c r="H110" i="80"/>
  <c r="F70" i="78"/>
  <c r="M7" i="78"/>
  <c r="J6" i="78" s="1"/>
  <c r="F50" i="78"/>
  <c r="Q71" i="78"/>
  <c r="F71" i="78"/>
  <c r="F68" i="78"/>
  <c r="F51" i="78"/>
  <c r="C6" i="78"/>
  <c r="C14" i="78"/>
  <c r="C17" i="78"/>
  <c r="C16" i="78"/>
  <c r="G8" i="79" l="1"/>
  <c r="G41" i="79"/>
  <c r="G40" i="79"/>
  <c r="C18" i="78"/>
  <c r="C15" i="78"/>
  <c r="C49"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U30" i="34" s="1"/>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c r="H31" i="34"/>
  <c r="AB31" i="34" s="1"/>
  <c r="F31" i="34"/>
  <c r="S31" i="34"/>
  <c r="H45" i="34"/>
  <c r="U45" i="34" s="1"/>
  <c r="J45" i="34"/>
  <c r="W45" i="34"/>
  <c r="F45" i="34"/>
  <c r="S45" i="34"/>
  <c r="H47" i="34"/>
  <c r="U47" i="34" s="1"/>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36" i="34"/>
  <c r="AC14" i="34"/>
  <c r="AC32" i="34"/>
  <c r="AC29" i="34"/>
  <c r="W29" i="34"/>
  <c r="W46" i="34"/>
  <c r="AC46" i="34"/>
  <c r="S32" i="34"/>
  <c r="AA32" i="34"/>
  <c r="AB30" i="34"/>
  <c r="AA19" i="34"/>
  <c r="AA36" i="34"/>
  <c r="S36" i="34"/>
  <c r="AA8" i="34"/>
  <c r="S8"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U41" i="33"/>
  <c r="J27" i="33"/>
  <c r="W27" i="33" s="1"/>
  <c r="AB23" i="33"/>
  <c r="U23" i="33"/>
  <c r="F23" i="33"/>
  <c r="AA23" i="33" s="1"/>
  <c r="W23" i="33"/>
  <c r="H19" i="33"/>
  <c r="AB19" i="33" s="1"/>
  <c r="H17" i="33"/>
  <c r="AB17" i="33" s="1"/>
  <c r="F17" i="33"/>
  <c r="AA17" i="33" s="1"/>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10" i="76"/>
  <c r="M26" i="15"/>
  <c r="M6" i="67"/>
  <c r="F6" i="15"/>
  <c r="M9" i="15"/>
  <c r="E12" i="76"/>
  <c r="C76" i="15"/>
  <c r="B7" i="76"/>
  <c r="F40" i="15"/>
  <c r="F42" i="15"/>
  <c r="D2" i="21"/>
  <c r="F13" i="15"/>
  <c r="AO10" i="1"/>
  <c r="J15" i="15"/>
  <c r="F37" i="15"/>
  <c r="F43" i="15"/>
  <c r="F7" i="73"/>
  <c r="L48" i="78"/>
  <c r="E13" i="76"/>
  <c r="AO12" i="1"/>
  <c r="F38" i="67"/>
  <c r="L48" i="15"/>
  <c r="M26" i="67"/>
  <c r="D4" i="73"/>
  <c r="M8" i="67"/>
  <c r="M22" i="15"/>
  <c r="E2" i="69"/>
  <c r="F13" i="67"/>
  <c r="F26" i="15"/>
  <c r="F38" i="15"/>
  <c r="F37" i="67"/>
  <c r="F16" i="15"/>
  <c r="E2" i="68"/>
  <c r="B11" i="76"/>
  <c r="AO13" i="1"/>
  <c r="B8" i="76"/>
  <c r="L47" i="15"/>
  <c r="F40" i="67"/>
  <c r="F3" i="73"/>
  <c r="D35" i="9"/>
  <c r="M8" i="15"/>
  <c r="D3" i="73"/>
  <c r="D34" i="9"/>
  <c r="M24" i="67"/>
  <c r="M23" i="15"/>
  <c r="L48" i="67"/>
  <c r="E11" i="76"/>
  <c r="B12" i="76"/>
  <c r="E7" i="76"/>
  <c r="F6" i="67"/>
  <c r="F8" i="67"/>
  <c r="F9" i="15"/>
  <c r="F42" i="67"/>
  <c r="F43" i="67"/>
  <c r="M29" i="67"/>
  <c r="E8" i="76"/>
  <c r="F8" i="15"/>
  <c r="D7" i="73"/>
  <c r="M23" i="67"/>
  <c r="AO9" i="1"/>
  <c r="M9" i="67"/>
  <c r="B13" i="76"/>
  <c r="C76" i="67"/>
  <c r="D2" i="33"/>
  <c r="E9" i="76"/>
  <c r="J15" i="67"/>
  <c r="F16" i="67"/>
  <c r="D2" i="36"/>
  <c r="AO8" i="1"/>
  <c r="F20" i="31"/>
  <c r="F9" i="67"/>
  <c r="AO11" i="1"/>
  <c r="B10" i="76"/>
  <c r="F36" i="15"/>
  <c r="D2" i="37"/>
  <c r="M22" i="67"/>
  <c r="M28" i="67"/>
  <c r="D2" i="35"/>
  <c r="F26" i="67"/>
  <c r="D2" i="34"/>
  <c r="F5" i="73"/>
  <c r="M6" i="15"/>
  <c r="M24" i="15"/>
  <c r="D6" i="73"/>
  <c r="F4" i="73"/>
  <c r="F36" i="67"/>
  <c r="M29" i="15"/>
  <c r="L47" i="67"/>
  <c r="B9" i="76"/>
  <c r="M27" i="15"/>
  <c r="D5" i="73"/>
  <c r="F6" i="73"/>
  <c r="M28" i="15"/>
  <c r="M27" i="67"/>
  <c r="U10" i="34" l="1"/>
  <c r="U38" i="34"/>
  <c r="AB47" i="34"/>
  <c r="U29" i="34"/>
  <c r="W17" i="33"/>
  <c r="H15" i="33"/>
  <c r="J15" i="33"/>
  <c r="AC15" i="33" s="1"/>
  <c r="F15" i="33"/>
  <c r="L58" i="78"/>
  <c r="C77" i="9"/>
  <c r="C74" i="9" s="1"/>
  <c r="C28" i="78"/>
  <c r="C77" i="80"/>
  <c r="C74" i="80" s="1"/>
  <c r="C33" i="78"/>
  <c r="C32" i="78"/>
  <c r="J18" i="78"/>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C16" i="15"/>
  <c r="G1" i="73"/>
  <c r="C16" i="67"/>
  <c r="F7" i="15"/>
  <c r="F7" i="67"/>
  <c r="AA15" i="33" l="1"/>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L46" i="78" l="1"/>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67"/>
  <c r="F41" i="15"/>
  <c r="AE6" i="1"/>
  <c r="F69" i="15" l="1"/>
  <c r="J29" i="15"/>
  <c r="M19" i="80"/>
  <c r="C118" i="80" s="1"/>
  <c r="L19" i="80"/>
  <c r="F69" i="67"/>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F41" i="78"/>
  <c r="E6" i="76"/>
  <c r="B6" i="76"/>
  <c r="F69" i="78" l="1"/>
  <c r="J29" i="78"/>
  <c r="Q49" i="78"/>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67"/>
  <c r="C17" i="15"/>
  <c r="C17" i="67"/>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78"/>
  <c r="M21" i="67"/>
  <c r="F35" i="67"/>
  <c r="M21" i="78"/>
  <c r="F35" i="15"/>
  <c r="M21" i="15"/>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78"/>
  <c r="L51" i="15"/>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AO7" i="1"/>
  <c r="C20" i="9"/>
  <c r="C19" i="80"/>
  <c r="D19" i="9"/>
  <c r="D20" i="9"/>
  <c r="C20" i="80"/>
  <c r="D19" i="80"/>
  <c r="D20" i="80"/>
  <c r="AO6" i="1"/>
  <c r="C19" i="9"/>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S22" i="79"/>
  <c r="H40" i="74" s="1"/>
  <c r="F40" i="74"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40" i="74" l="1"/>
  <c r="D14" i="74"/>
  <c r="G14" i="74" s="1"/>
  <c r="H39" i="74"/>
  <c r="E75" i="81"/>
  <c r="E76" i="81" s="1"/>
  <c r="R22" i="79"/>
  <c r="D15" i="74"/>
  <c r="B20" i="79"/>
  <c r="B21" i="79" s="1"/>
  <c r="B20" i="31"/>
  <c r="B21" i="31" s="1"/>
  <c r="R22" i="31"/>
  <c r="F14" i="74"/>
  <c r="F39" i="74" l="1"/>
  <c r="D39" i="74" s="1"/>
  <c r="B5" i="74"/>
  <c r="C5" i="74" s="1"/>
  <c r="E14" i="74"/>
  <c r="L14" i="74" s="1"/>
  <c r="G15" i="74"/>
  <c r="B6" i="74" s="1"/>
  <c r="D6" i="74" s="1"/>
  <c r="L15" i="74"/>
  <c r="E15" i="74"/>
  <c r="F15" i="74"/>
  <c r="D5" i="74"/>
  <c r="L16" i="74" l="1"/>
  <c r="C6" i="74"/>
  <c r="H119" i="80"/>
  <c r="C104" i="80"/>
  <c r="D52" i="80"/>
  <c r="D53" i="80"/>
  <c r="C105" i="80"/>
  <c r="H102" i="80"/>
  <c r="C105" i="9"/>
  <c r="I4" i="52"/>
  <c r="N61" i="9"/>
  <c r="N60" i="9"/>
  <c r="N58" i="80"/>
  <c r="P57" i="80"/>
  <c r="P57" i="9"/>
  <c r="N58" i="9"/>
  <c r="D53" i="9"/>
  <c r="D52" i="9"/>
  <c r="H4" i="52"/>
  <c r="C104" i="9"/>
  <c r="N60" i="80"/>
  <c r="N61" i="80"/>
  <c r="M48" i="9"/>
  <c r="M54" i="9"/>
  <c r="N59" i="80"/>
  <c r="N59" i="9"/>
  <c r="B22" i="72"/>
  <c r="E81" i="80"/>
  <c r="B51" i="72"/>
  <c r="B52" i="72"/>
  <c r="F119" i="80"/>
  <c r="H108" i="80"/>
  <c r="D8" i="52"/>
  <c r="C78" i="9"/>
  <c r="C73" i="9"/>
  <c r="N69" i="80"/>
  <c r="E81" i="9"/>
  <c r="B48" i="72"/>
  <c r="B20" i="72"/>
  <c r="D5" i="53"/>
  <c r="D6" i="53"/>
  <c r="B31" i="72"/>
  <c r="C81" i="9"/>
  <c r="N57" i="9"/>
  <c r="D122" i="80"/>
  <c r="D123" i="80"/>
  <c r="N69" i="9"/>
  <c r="B30" i="72"/>
  <c r="B47" i="72"/>
  <c r="M69" i="9"/>
  <c r="D123" i="9"/>
  <c r="D9" i="52"/>
  <c r="L64" i="9"/>
  <c r="M64" i="9"/>
  <c r="L68" i="80"/>
  <c r="M68" i="80"/>
  <c r="L66" i="80"/>
  <c r="M66" i="80"/>
  <c r="C81" i="80"/>
  <c r="D59" i="9"/>
  <c r="M55" i="9"/>
  <c r="M48" i="80"/>
  <c r="E97" i="80"/>
  <c r="C72" i="9"/>
  <c r="C79" i="9"/>
  <c r="C80" i="9"/>
  <c r="E80" i="9"/>
  <c r="F4" i="52"/>
  <c r="G4" i="52"/>
  <c r="D122" i="9"/>
  <c r="N57" i="80"/>
  <c r="B21" i="72"/>
  <c r="E4" i="52"/>
  <c r="B49" i="72"/>
  <c r="C68" i="80"/>
  <c r="D54" i="80"/>
  <c r="C93" i="80"/>
  <c r="C86" i="80"/>
  <c r="C78" i="80"/>
  <c r="C73" i="80"/>
  <c r="H119" i="9"/>
  <c r="H5" i="52"/>
  <c r="L68" i="9"/>
  <c r="M68" i="9"/>
  <c r="D4" i="52"/>
  <c r="C68" i="9"/>
  <c r="D54" i="9"/>
  <c r="L67" i="80"/>
  <c r="M67" i="80"/>
  <c r="D59" i="80"/>
  <c r="M55" i="80"/>
  <c r="D56" i="9"/>
  <c r="G118" i="80"/>
  <c r="F118" i="80"/>
  <c r="C93" i="9"/>
  <c r="C86" i="9"/>
  <c r="E96" i="80"/>
  <c r="L63" i="9"/>
  <c r="M63" i="9"/>
  <c r="D119" i="80"/>
  <c r="D55" i="9"/>
  <c r="M53" i="9"/>
  <c r="C80" i="80"/>
  <c r="E80" i="80"/>
  <c r="D13" i="53"/>
  <c r="D14" i="53"/>
  <c r="B32" i="72"/>
  <c r="C67" i="9"/>
  <c r="H102" i="9"/>
  <c r="D7" i="53"/>
  <c r="L67" i="9"/>
  <c r="M67" i="9"/>
  <c r="E97" i="9"/>
  <c r="E118" i="9"/>
  <c r="D118" i="9"/>
  <c r="D119" i="9"/>
  <c r="D5" i="52"/>
  <c r="C64" i="9"/>
  <c r="C63" i="9"/>
  <c r="C96" i="80"/>
  <c r="D55" i="80"/>
  <c r="M53" i="80"/>
  <c r="C96" i="9"/>
  <c r="E96" i="9"/>
  <c r="H108" i="9"/>
  <c r="D15" i="53"/>
  <c r="L64" i="80"/>
  <c r="M64" i="80"/>
  <c r="L65" i="9"/>
  <c r="M65" i="9"/>
  <c r="L65" i="80"/>
  <c r="M65" i="80"/>
  <c r="G118" i="9"/>
  <c r="F118" i="9"/>
  <c r="F119" i="9"/>
  <c r="F5" i="52"/>
  <c r="B53" i="72"/>
  <c r="H107" i="80"/>
  <c r="M49" i="80"/>
  <c r="L63" i="80"/>
  <c r="M63" i="80"/>
  <c r="M69" i="80"/>
  <c r="D56" i="80"/>
  <c r="M54" i="80"/>
  <c r="E118" i="80"/>
  <c r="D118" i="80"/>
  <c r="C67" i="80"/>
  <c r="C85" i="80"/>
  <c r="C95" i="80"/>
  <c r="C97" i="80"/>
  <c r="D58" i="80"/>
  <c r="H107" i="9"/>
  <c r="M49" i="9"/>
  <c r="L66" i="9"/>
  <c r="M66" i="9"/>
  <c r="I118" i="9"/>
  <c r="H118" i="9"/>
  <c r="H101" i="9"/>
  <c r="D45" i="9"/>
  <c r="C85" i="9"/>
  <c r="C95" i="9"/>
  <c r="C97" i="9"/>
  <c r="D58" i="9"/>
  <c r="C64" i="80"/>
  <c r="C63" i="80"/>
  <c r="I118" i="80"/>
  <c r="H118" i="80"/>
  <c r="H101" i="80"/>
  <c r="D45" i="80"/>
  <c r="C72" i="80"/>
  <c r="C79"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<sst xmlns="http://schemas.openxmlformats.org/spreadsheetml/2006/main" count="8949" uniqueCount="3400">
  <si>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</si>
  <si>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</si>
  <si>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</si>
  <si>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</si>
  <si>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</si>
  <si>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</si>
  <si>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</si>
  <si>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</si>
  <si>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</si>
  <si>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</si>
  <si>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</si>
  <si>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</si>
  <si>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</si>
  <si>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</si>
  <si>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</si>
  <si>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</si>
  <si>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</si>
  <si>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</si>
  <si>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</si>
  <si>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</si>
  <si>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</si>
  <si>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</si>
  <si>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</si>
  <si>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</si>
  <si>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</si>
  <si>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</si>
  <si>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</si>
  <si>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</si>
  <si>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</si>
  <si>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</si>
  <si>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</si>
  <si>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</si>
  <si>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</si>
  <si>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</si>
  <si>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</si>
  <si>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</si>
  <si>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</si>
  <si>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</si>
  <si>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</si>
  <si>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</si>
  <si>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</si>
  <si>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</si>
  <si>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</si>
  <si>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</si>
  <si>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</si>
  <si>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</si>
  <si>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</si>
  <si>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</si>
  <si>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</si>
  <si>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</si>
  <si>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</si>
  <si>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</si>
  <si>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</si>
  <si>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</si>
  <si>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</si>
  <si>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</si>
  <si>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</si>
  <si>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</si>
  <si>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</si>
  <si>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</si>
  <si>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</si>
  <si>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</si>
  <si>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</si>
  <si>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</si>
  <si>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</si>
  <si>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</si>
  <si>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</si>
  <si>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</si>
  <si>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</si>
  <si>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</si>
  <si>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</si>
  <si>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</si>
  <si>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</si>
  <si>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</si>
  <si>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</si>
  <si>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</si>
  <si>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</si>
  <si>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</si>
  <si>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</si>
  <si>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</si>
  <si>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</si>
  <si>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</si>
  <si>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</si>
  <si>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</si>
  <si>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</si>
  <si>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</si>
  <si>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</si>
  <si>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</si>
  <si>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</si>
  <si>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</si>
  <si>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</si>
  <si>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</si>
  <si>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</si>
  <si>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</si>
  <si>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</si>
  <si>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</si>
  <si>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</si>
  <si>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</si>
  <si>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</si>
  <si>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</si>
  <si>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</si>
  <si>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</si>
  <si>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</si>
  <si>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</si>
  <si>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</si>
  <si>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</si>
  <si>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</si>
  <si>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</si>
  <si>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</si>
  <si>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</si>
  <si>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</si>
  <si>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</si>
  <si>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</si>
  <si>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</si>
  <si>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</si>
  <si>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</si>
  <si>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</si>
  <si>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</si>
  <si>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</si>
  <si>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</si>
  <si>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</si>
  <si>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</si>
  <si>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</si>
  <si>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</si>
  <si>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</si>
  <si>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</si>
  <si>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</si>
  <si>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</si>
  <si>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</si>
  <si>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</si>
  <si>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</si>
  <si>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</si>
  <si>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</si>
  <si>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</si>
  <si>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</si>
  <si>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</si>
  <si>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</si>
  <si>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</si>
  <si>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</si>
  <si>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</si>
  <si>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</si>
  <si>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</si>
  <si>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</si>
  <si>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</si>
  <si>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</si>
  <si>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</si>
  <si>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</si>
  <si>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</si>
  <si>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</si>
  <si>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</si>
  <si>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</si>
  <si>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</si>
  <si>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</si>
  <si>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</si>
  <si>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</si>
  <si>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</si>
  <si>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</si>
  <si>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</si>
  <si>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</si>
  <si>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</si>
  <si>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</si>
  <si>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</si>
  <si>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</si>
  <si>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</si>
  <si>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</si>
  <si>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</si>
  <si>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</si>
  <si>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</si>
  <si>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</si>
  <si>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</si>
  <si>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</si>
  <si>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</si>
  <si>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</si>
  <si>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</si>
  <si>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</si>
  <si>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</si>
  <si>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</si>
  <si>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</si>
  <si>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</si>
  <si>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</si>
  <si>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</si>
  <si>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</si>
  <si>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</si>
  <si>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</si>
  <si>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</si>
  <si>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</si>
  <si>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</si>
  <si>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</si>
  <si>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</si>
  <si>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</si>
  <si>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</si>
  <si>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</si>
  <si>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</si>
  <si>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</si>
  <si>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</si>
  <si>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</si>
  <si>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</si>
  <si>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</si>
  <si>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</si>
  <si>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</si>
  <si>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</si>
  <si>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</si>
  <si>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</si>
  <si>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</si>
  <si>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</si>
  <si>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</si>
  <si>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</si>
  <si>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</si>
  <si>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</si>
  <si>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</si>
  <si>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</si>
  <si>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</si>
  <si>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</si>
  <si>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</si>
  <si>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</si>
  <si>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</si>
  <si>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</si>
  <si>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</si>
  <si>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</si>
  <si>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</si>
  <si>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</si>
  <si>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</si>
  <si>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</si>
  <si>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</si>
  <si>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</si>
  <si>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</si>
  <si>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</si>
  <si>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</si>
  <si>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</si>
  <si>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</si>
  <si>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</si>
  <si>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</si>
  <si>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</si>
  <si>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</si>
  <si>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</si>
  <si>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</si>
  <si>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</si>
  <si>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</si>
  <si>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</si>
  <si>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</si>
  <si>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</si>
  <si>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</si>
  <si>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</si>
  <si>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</si>
  <si>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</si>
  <si>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</si>
  <si>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</si>
  <si>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</si>
  <si>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</si>
  <si>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</si>
  <si>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</si>
  <si>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</si>
  <si>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</si>
  <si>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</si>
  <si>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</si>
  <si>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</si>
  <si>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</si>
  <si>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</si>
  <si>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</si>
  <si>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</si>
  <si>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</si>
  <si>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</si>
  <si>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</si>
  <si>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</si>
  <si>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</si>
  <si>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</si>
  <si>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</si>
  <si>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</si>
  <si>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</si>
  <si>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</si>
  <si>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</si>
  <si>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</si>
  <si>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</si>
  <si>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</si>
  <si>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</si>
  <si>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</si>
  <si>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</si>
  <si>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</si>
  <si>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</si>
  <si>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</si>
  <si>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</si>
  <si>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</si>
  <si>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</si>
  <si>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</si>
  <si>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</si>
  <si>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</si>
  <si>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</si>
  <si>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</si>
  <si>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</si>
  <si>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</si>
  <si>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</si>
  <si>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</si>
  <si>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</si>
  <si>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</si>
  <si>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</si>
  <si>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</si>
  <si>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</si>
  <si>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</si>
  <si>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</si>
  <si>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</si>
  <si>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</si>
  <si>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</si>
  <si>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</si>
  <si>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</si>
  <si>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</si>
  <si>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</si>
  <si>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</si>
  <si>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</si>
  <si>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</si>
  <si>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</si>
  <si>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</si>
  <si>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</si>
  <si>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</si>
  <si>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</si>
  <si>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</si>
  <si>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</si>
  <si>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</si>
  <si>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</si>
  <si>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</si>
  <si>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</si>
  <si>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</si>
  <si>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</si>
  <si>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</si>
  <si>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</si>
  <si>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</si>
  <si>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</si>
  <si>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</si>
  <si>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</si>
  <si>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</si>
  <si>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</si>
  <si>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</si>
  <si>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</si>
  <si>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</si>
  <si>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</si>
  <si>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</si>
  <si>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</si>
  <si>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</si>
  <si>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</si>
  <si>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</si>
  <si>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</si>
  <si>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</si>
  <si>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</si>
  <si>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</si>
  <si>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</si>
  <si>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</si>
  <si>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</si>
  <si>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</si>
  <si>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</si>
  <si>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</si>
  <si>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</si>
  <si>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</si>
  <si>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</si>
  <si>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</si>
  <si>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</si>
  <si>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</si>
  <si>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</si>
  <si>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</si>
  <si>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</si>
  <si>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</si>
  <si>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</si>
  <si>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</si>
  <si>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</si>
  <si>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</si>
  <si>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</si>
  <si>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</si>
  <si>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</si>
  <si>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</si>
  <si>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</si>
  <si>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</si>
  <si>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</si>
  <si>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</si>
  <si>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</si>
  <si>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</si>
  <si>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</si>
  <si>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</si>
  <si>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</si>
  <si>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</si>
  <si>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</si>
  <si>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</si>
  <si>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</si>
  <si>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</si>
  <si>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</si>
  <si>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</si>
  <si>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</si>
  <si>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</si>
  <si>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</si>
  <si>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</si>
  <si>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</si>
  <si>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</si>
  <si>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</si>
  <si>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</si>
  <si>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</si>
  <si>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</si>
  <si>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</si>
  <si>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</si>
  <si>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</si>
  <si>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</si>
  <si>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</si>
  <si>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</si>
  <si>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</si>
  <si>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</si>
  <si>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</si>
  <si>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</si>
  <si>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</si>
  <si>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</si>
  <si>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</si>
  <si>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</si>
  <si>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</si>
  <si>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</si>
  <si>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</si>
  <si>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</si>
  <si>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</si>
  <si>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</si>
  <si>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</si>
  <si>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</si>
  <si>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</si>
  <si>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</si>
  <si>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</si>
  <si>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</si>
  <si>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</si>
  <si>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</si>
  <si>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</si>
  <si>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</si>
  <si>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</si>
  <si>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</si>
  <si>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</si>
  <si>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</si>
  <si>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</si>
  <si>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</si>
  <si>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</si>
  <si>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</si>
  <si>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</si>
  <si>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</si>
  <si>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</si>
  <si>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</si>
  <si>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</si>
  <si>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</si>
  <si>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</si>
  <si>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</si>
  <si>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</si>
  <si>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</si>
  <si>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</si>
  <si>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</si>
  <si>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</si>
  <si>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</si>
  <si>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</si>
  <si>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</si>
  <si>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</si>
  <si>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</si>
  <si>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</si>
  <si>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</si>
  <si>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</si>
  <si>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</si>
  <si>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</si>
  <si>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</si>
  <si>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</si>
  <si>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</si>
  <si>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</si>
  <si>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</si>
  <si>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</si>
  <si>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</si>
  <si>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</si>
  <si>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</si>
  <si>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</si>
  <si>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</si>
  <si>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</si>
  <si>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</si>
  <si>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</si>
  <si>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</si>
  <si>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</si>
  <si>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</si>
  <si>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</si>
  <si>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</si>
  <si>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</si>
  <si>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</si>
  <si>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</si>
  <si>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</si>
  <si>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</si>
  <si>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</si>
  <si>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</si>
  <si>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</si>
  <si>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</si>
  <si>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</si>
  <si>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</si>
  <si>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</si>
  <si>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</si>
  <si>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</si>
  <si>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</si>
  <si>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</si>
  <si>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</si>
  <si>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</si>
  <si>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</si>
  <si>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</si>
  <si>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</si>
  <si>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</si>
  <si>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</si>
  <si>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</si>
  <si>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</si>
  <si>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</si>
  <si>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</si>
  <si>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</si>
  <si>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</si>
  <si>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</si>
  <si>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</si>
  <si>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</si>
  <si>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</si>
  <si>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</si>
  <si>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</si>
  <si>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</si>
  <si>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</si>
  <si>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</si>
  <si>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</si>
  <si>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</si>
  <si>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</si>
  <si>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</si>
  <si>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</si>
  <si>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</si>
  <si>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</si>
  <si>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</si>
  <si>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</si>
  <si>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</si>
  <si>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</si>
  <si>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</si>
  <si>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</si>
  <si>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</si>
  <si>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</si>
  <si>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</si>
  <si>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</si>
  <si>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</si>
  <si>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</si>
  <si>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</si>
  <si>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</si>
  <si>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</si>
  <si>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</si>
  <si>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</si>
  <si>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</si>
  <si>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</si>
  <si>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</si>
  <si>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</si>
  <si>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</si>
  <si>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</si>
  <si>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</si>
  <si>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</si>
  <si>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</si>
  <si>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</si>
  <si>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</si>
  <si>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</si>
  <si>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</si>
  <si>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</si>
  <si>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</si>
  <si>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</si>
  <si>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</si>
  <si>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</si>
  <si>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</si>
  <si>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</si>
  <si>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</si>
  <si>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</si>
  <si>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</si>
  <si>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</si>
  <si>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</si>
  <si>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</si>
  <si>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</si>
  <si>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</si>
  <si>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</si>
  <si>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</si>
  <si>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</si>
  <si>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</si>
  <si>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</si>
  <si>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</si>
  <si>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</si>
  <si>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</si>
  <si>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</si>
  <si>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</si>
  <si>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</si>
  <si>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</si>
  <si>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</si>
  <si>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</si>
  <si>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</si>
  <si>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</si>
  <si>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</si>
  <si>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</si>
  <si>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</si>
  <si>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</si>
  <si>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</si>
  <si>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</si>
  <si>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</si>
  <si>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</si>
  <si>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</si>
  <si>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</si>
  <si>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</si>
  <si>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</si>
  <si>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</si>
  <si>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</si>
  <si>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</si>
  <si>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</si>
  <si>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</si>
  <si>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</si>
  <si>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</si>
  <si>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</si>
  <si>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</si>
  <si>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</si>
  <si>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</si>
  <si>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</si>
  <si>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</si>
  <si>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</si>
  <si>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</si>
  <si>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</si>
  <si>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</si>
  <si>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</si>
  <si>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</si>
  <si>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</si>
  <si>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</si>
  <si>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</si>
  <si>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</si>
  <si>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</si>
  <si>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</si>
  <si>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</si>
  <si>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</si>
  <si>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</si>
  <si>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</si>
  <si>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</si>
  <si>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</si>
  <si>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</si>
  <si>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</si>
  <si>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</si>
  <si>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</si>
  <si>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</si>
  <si>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</si>
  <si>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</si>
  <si>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</si>
  <si>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</si>
  <si>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</si>
  <si>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</si>
  <si>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</si>
  <si>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</si>
  <si>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</si>
  <si>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</si>
  <si>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</si>
  <si>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</si>
  <si>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</si>
  <si>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</si>
  <si>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</si>
  <si>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</si>
  <si>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</si>
  <si>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</si>
  <si>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</si>
  <si>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</si>
  <si>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</si>
  <si>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</si>
  <si>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</si>
  <si>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</si>
  <si>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</si>
  <si>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</si>
  <si>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</si>
  <si>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</si>
  <si>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</si>
  <si>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</si>
  <si>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</si>
  <si>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</si>
  <si>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</si>
  <si>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</si>
  <si>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</si>
  <si>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</si>
  <si>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</si>
  <si>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</si>
  <si>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</si>
  <si>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</si>
  <si>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</si>
  <si>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</si>
  <si>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</si>
  <si>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</si>
  <si>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</si>
  <si>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</si>
  <si>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</si>
  <si>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</si>
  <si>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</si>
  <si>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</si>
  <si>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</si>
  <si>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</si>
  <si>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</si>
  <si>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</si>
  <si>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</si>
  <si>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</si>
  <si>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</si>
  <si>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</si>
  <si>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</si>
  <si>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</si>
  <si>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</si>
  <si>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</si>
  <si>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</si>
  <si>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</si>
  <si>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</si>
  <si>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</si>
  <si>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</si>
  <si>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</si>
  <si>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</si>
  <si>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</si>
  <si>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</si>
  <si>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</si>
  <si>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</si>
  <si>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</si>
  <si>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</si>
  <si>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</si>
  <si>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</si>
  <si>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</si>
  <si>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</si>
  <si>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</si>
  <si>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</si>
  <si>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</si>
  <si>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</si>
  <si>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</si>
  <si>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</si>
  <si>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</si>
  <si>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</si>
  <si>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</si>
  <si>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</si>
  <si>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</si>
  <si>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</si>
  <si>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</si>
  <si>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</si>
  <si>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</si>
  <si>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</si>
  <si>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</si>
  <si>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</si>
  <si>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</si>
  <si>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</si>
  <si>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</si>
  <si>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</si>
  <si>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</si>
  <si>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</si>
  <si>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</si>
  <si>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</si>
  <si>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</si>
  <si>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</si>
  <si>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</si>
  <si>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</si>
  <si>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</si>
  <si>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</si>
  <si>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</si>
  <si>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</si>
  <si>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</si>
  <si>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</si>
  <si>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</si>
  <si>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</si>
  <si>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</si>
  <si>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</si>
  <si>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</si>
  <si>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</si>
  <si>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</si>
  <si>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</si>
  <si>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</si>
  <si>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</si>
  <si>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</si>
  <si>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</si>
  <si>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</si>
  <si>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</si>
  <si>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</si>
  <si>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</si>
  <si>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</si>
  <si>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</si>
  <si>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</si>
  <si>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</si>
  <si>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</si>
  <si>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</si>
  <si>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</si>
  <si>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</si>
  <si>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</si>
  <si>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</si>
  <si>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</si>
  <si>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</si>
  <si>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</si>
  <si>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</si>
  <si>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</si>
  <si>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</si>
  <si>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</si>
  <si>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</si>
  <si>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</si>
  <si>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</si>
  <si>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</si>
  <si>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</si>
  <si>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</si>
  <si>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</si>
  <si>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</si>
  <si>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</si>
  <si>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</si>
  <si>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</si>
  <si>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</si>
  <si>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</si>
  <si>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</si>
  <si>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</si>
  <si>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</si>
  <si>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</si>
  <si>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</si>
  <si>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</si>
  <si>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</si>
  <si>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</si>
  <si>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</si>
  <si>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</si>
  <si>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</si>
  <si>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</si>
  <si>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</si>
  <si>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</si>
  <si>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</si>
  <si>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</si>
  <si>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</si>
  <si>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</si>
  <si>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</si>
  <si>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</si>
  <si>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</si>
  <si>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</si>
  <si>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</si>
  <si>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</si>
  <si>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</si>
  <si>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</si>
  <si>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</si>
  <si>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</si>
  <si>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</si>
  <si>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</si>
  <si>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</si>
  <si>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</si>
  <si>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</si>
  <si>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</si>
  <si>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</si>
  <si>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</si>
  <si>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</si>
  <si>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</si>
  <si>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</si>
  <si>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</si>
  <si>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</si>
  <si>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</si>
  <si>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</si>
  <si>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</si>
  <si>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</si>
  <si>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</si>
  <si>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</si>
  <si>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</si>
  <si>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</si>
  <si>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</si>
  <si>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</si>
  <si>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</si>
  <si>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</si>
  <si>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</si>
  <si>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</si>
  <si>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</si>
  <si>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</si>
  <si>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</si>
  <si>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</si>
  <si>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</si>
  <si>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</si>
  <si>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</si>
  <si>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</si>
  <si>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</si>
  <si>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</si>
  <si>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</si>
  <si>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</si>
  <si>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</si>
  <si>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</si>
  <si>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</si>
  <si>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</si>
  <si>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</si>
  <si>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</si>
  <si>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</si>
  <si>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</si>
  <si>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</si>
  <si>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</si>
  <si>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</si>
  <si>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</si>
  <si>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</si>
  <si>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</si>
  <si>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</si>
  <si>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</si>
  <si>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</si>
  <si>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</si>
  <si>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</si>
  <si>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</si>
  <si>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</si>
  <si>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</si>
  <si>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</si>
  <si>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</si>
  <si>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</si>
  <si>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</si>
  <si>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</si>
  <si>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</si>
  <si>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</si>
  <si>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</si>
  <si>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</si>
  <si>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</si>
  <si>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</si>
  <si>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</si>
  <si>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</si>
  <si>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</si>
  <si>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</si>
  <si>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</si>
  <si>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</si>
  <si>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</si>
  <si>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</si>
  <si>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</si>
  <si>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</si>
  <si>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</si>
  <si>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</si>
  <si>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</si>
  <si>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</si>
  <si>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</si>
  <si>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</si>
  <si>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</si>
  <si>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</si>
  <si>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</si>
  <si>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</si>
  <si>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</si>
  <si>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</si>
  <si>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</si>
  <si>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</si>
  <si>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</si>
  <si>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</si>
  <si>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</si>
  <si>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</si>
  <si>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</si>
  <si>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</si>
  <si>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</si>
  <si>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</si>
  <si>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</si>
  <si>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</si>
  <si>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</si>
  <si>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</si>
  <si>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</si>
  <si>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</si>
  <si>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</si>
  <si>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</si>
  <si>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</si>
  <si>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</si>
  <si>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</si>
  <si>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</si>
  <si>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</si>
  <si>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</si>
  <si>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</si>
  <si>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</si>
  <si>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</si>
  <si>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</si>
  <si>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</si>
  <si>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</si>
  <si>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</si>
  <si>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</si>
  <si>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</si>
  <si>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</si>
  <si>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</si>
  <si>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</si>
  <si>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</si>
  <si>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</si>
  <si>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</si>
  <si>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</si>
  <si>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</si>
  <si>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</si>
  <si>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</si>
  <si>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</si>
  <si>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</si>
  <si>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</si>
  <si>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</si>
  <si>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</si>
  <si>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</si>
  <si>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</si>
  <si>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</si>
  <si>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</si>
  <si>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</si>
  <si>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</si>
  <si>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</si>
  <si>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</si>
  <si>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</si>
  <si>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</si>
  <si>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</si>
  <si>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</si>
  <si>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</si>
  <si>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</si>
  <si>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</si>
  <si>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</si>
  <si>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</si>
  <si>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</si>
  <si>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</si>
  <si>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</si>
  <si>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</si>
  <si>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</si>
  <si>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</si>
  <si>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</si>
  <si>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</si>
  <si>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</si>
  <si>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</si>
  <si>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</si>
  <si>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</si>
  <si>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</si>
  <si>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</si>
  <si>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</si>
  <si>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</si>
  <si>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</si>
  <si>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</si>
  <si>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</si>
  <si>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</si>
  <si>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</si>
  <si>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</si>
  <si>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</si>
  <si>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</si>
  <si>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</si>
  <si>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</si>
  <si>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</si>
  <si>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</si>
  <si>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</si>
  <si>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</si>
  <si>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</si>
  <si>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</si>
  <si>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</si>
  <si>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</si>
  <si>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</si>
  <si>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</si>
  <si>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</si>
  <si>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</si>
  <si>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</si>
  <si>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</si>
  <si>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</si>
  <si>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</si>
  <si>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</si>
  <si>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</si>
  <si>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</si>
  <si>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</si>
  <si>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</si>
  <si>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</si>
  <si>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</si>
  <si>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</si>
  <si>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</si>
  <si>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</si>
  <si>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</si>
  <si>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</si>
  <si>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</si>
  <si>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</si>
  <si>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</si>
  <si>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</si>
  <si>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</si>
  <si>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</si>
  <si>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</si>
  <si>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</si>
  <si>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</si>
  <si>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</si>
  <si>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</si>
  <si>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</si>
  <si>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</si>
  <si>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</si>
  <si>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</si>
  <si>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</si>
  <si>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</si>
  <si>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</si>
  <si>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</si>
  <si>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</si>
  <si>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</si>
  <si>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</si>
  <si>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</si>
  <si>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</si>
  <si>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</si>
  <si>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</si>
  <si>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</si>
  <si>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</si>
  <si>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</si>
  <si>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</si>
  <si>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</si>
  <si>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</si>
  <si>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</si>
  <si>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</si>
  <si>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</si>
  <si>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</si>
  <si>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</si>
  <si>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</si>
  <si>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</si>
  <si>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</si>
  <si>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</si>
  <si>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</si>
  <si>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</si>
  <si>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</si>
  <si>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</si>
  <si>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</si>
  <si>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</si>
  <si>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</si>
  <si>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</si>
  <si>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</si>
  <si>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</si>
  <si>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</si>
  <si>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</si>
  <si>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</si>
  <si>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</si>
  <si>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</si>
  <si>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</si>
  <si>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</si>
  <si>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</si>
  <si>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</si>
  <si>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</si>
  <si>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</si>
  <si>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</si>
  <si>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</si>
  <si>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</si>
  <si>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</si>
  <si>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</si>
  <si>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</si>
  <si>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</si>
  <si>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</si>
  <si>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</si>
  <si>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</si>
  <si>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</si>
  <si>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</si>
  <si>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</si>
  <si>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</si>
  <si>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</si>
  <si>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</si>
  <si>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</si>
  <si>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</si>
  <si>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</si>
  <si>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</si>
  <si>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</si>
  <si>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</si>
  <si>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</si>
  <si>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</si>
  <si>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</si>
  <si>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</si>
  <si>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</si>
  <si>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</si>
  <si>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</si>
  <si>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</si>
  <si>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</si>
  <si>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</si>
  <si>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</si>
  <si>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</si>
  <si>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</si>
  <si>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</si>
  <si>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</si>
  <si>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</si>
  <si>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</si>
  <si>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</si>
  <si>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</si>
  <si>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</si>
  <si>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</si>
  <si>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</si>
  <si>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</si>
  <si>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</si>
  <si>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</si>
  <si>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</si>
  <si>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</si>
  <si>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</si>
  <si>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</si>
  <si>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</si>
  <si>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</si>
  <si>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</si>
  <si>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</si>
  <si>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</si>
  <si>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</si>
  <si>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</si>
  <si>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</si>
  <si>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</si>
  <si>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</si>
  <si>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</si>
  <si>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</si>
  <si>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</si>
  <si>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</si>
  <si>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</si>
  <si>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</si>
  <si>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</si>
  <si>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</si>
  <si>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</si>
  <si>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</si>
  <si>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</si>
  <si>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</si>
  <si>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</si>
  <si>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</si>
  <si>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</si>
  <si>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</si>
  <si>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</si>
  <si>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</si>
  <si>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</si>
  <si>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</si>
  <si>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</si>
  <si>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</si>
  <si>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</si>
  <si>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</si>
  <si>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</si>
  <si>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</si>
  <si>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</si>
  <si>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</si>
  <si>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</si>
  <si>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</si>
  <si>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</si>
  <si>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</si>
  <si>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</si>
  <si>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</si>
  <si>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</si>
  <si>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</si>
  <si>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</si>
  <si>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</si>
  <si>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</si>
  <si>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</si>
  <si>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</si>
  <si>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</si>
  <si>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</si>
  <si>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</si>
  <si>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</si>
  <si>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</si>
  <si>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</si>
  <si>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</si>
  <si>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</si>
  <si>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</si>
  <si>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</si>
  <si>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</si>
  <si>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</si>
  <si>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</si>
  <si>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</si>
  <si>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</si>
  <si>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</si>
  <si>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</si>
  <si>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</si>
  <si>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</si>
  <si>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</si>
  <si>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</si>
  <si>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</si>
  <si>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</si>
  <si>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</si>
  <si>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</si>
  <si>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</si>
  <si>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</si>
  <si>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</si>
  <si>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</si>
  <si>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</si>
  <si>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</si>
  <si>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</si>
  <si>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</si>
  <si>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</si>
  <si>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</si>
  <si>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</si>
  <si>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</si>
  <si>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</si>
  <si>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</si>
  <si>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</si>
  <si>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</si>
  <si>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</si>
  <si>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</si>
  <si>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</si>
  <si>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</si>
  <si>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</si>
  <si>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</si>
  <si>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</si>
  <si>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</si>
  <si>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</si>
  <si>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</si>
  <si>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</si>
  <si>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</si>
  <si>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</si>
  <si>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</si>
  <si>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</si>
  <si>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</si>
  <si>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</si>
  <si>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</si>
  <si>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</si>
  <si>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</si>
  <si>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</si>
  <si>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</si>
  <si>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</si>
  <si>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</si>
  <si>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</si>
  <si>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</si>
  <si>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</si>
  <si>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</si>
  <si>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</si>
  <si>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</si>
  <si>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</si>
  <si>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</si>
  <si>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</si>
  <si>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</si>
  <si>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</si>
  <si>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</si>
  <si>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</si>
  <si>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</si>
  <si>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</si>
  <si>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</si>
  <si>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</si>
  <si>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</si>
  <si>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</si>
  <si>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</si>
  <si>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</si>
  <si>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</si>
  <si>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</si>
  <si>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</si>
  <si>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</si>
  <si>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</si>
  <si>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</si>
  <si>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</si>
  <si>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</si>
  <si>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</si>
  <si>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</si>
  <si>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</si>
  <si>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</si>
  <si>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</si>
  <si>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</si>
  <si>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</si>
  <si>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</si>
  <si>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</si>
  <si>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</si>
  <si>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</si>
  <si>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</si>
  <si>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</si>
  <si>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</si>
  <si>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</si>
  <si>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</si>
  <si>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</si>
  <si>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</si>
  <si>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</si>
  <si>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</si>
  <si>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</si>
  <si>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</si>
  <si>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</si>
  <si>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</si>
  <si>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</si>
  <si>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</si>
  <si>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</si>
  <si>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</si>
  <si>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</si>
  <si>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</si>
  <si>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</si>
  <si>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</si>
  <si>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</si>
  <si>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</si>
  <si>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</si>
  <si>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</si>
  <si>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</si>
  <si>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</si>
  <si>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</si>
  <si>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</si>
  <si>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</si>
  <si>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</si>
  <si>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</si>
  <si>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</si>
  <si>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</si>
  <si>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</si>
  <si>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</si>
  <si>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</si>
  <si>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</si>
  <si>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</si>
  <si>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</si>
  <si>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</si>
  <si>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</si>
  <si>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</si>
  <si>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</si>
  <si>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</si>
  <si>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</si>
  <si>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</si>
  <si>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</si>
  <si>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</si>
  <si>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</si>
  <si>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</si>
  <si>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</si>
  <si>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</si>
  <si>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</si>
  <si>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</si>
  <si>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</si>
  <si>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</si>
  <si>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</si>
  <si>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</si>
  <si>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</si>
  <si>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</si>
  <si>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</si>
  <si>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</si>
  <si>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</si>
  <si>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</si>
  <si>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</si>
  <si>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</si>
  <si>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</si>
  <si>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</si>
  <si>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</si>
  <si>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</si>
  <si>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</si>
  <si>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</si>
  <si>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</si>
  <si>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</si>
  <si>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</si>
  <si>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</si>
  <si>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</si>
  <si>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</si>
  <si>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</si>
  <si>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</si>
  <si>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</si>
  <si>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</si>
  <si>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</si>
  <si>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</si>
  <si>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</si>
  <si>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</si>
  <si>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</si>
  <si>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</si>
  <si>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</si>
  <si>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</si>
  <si>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</si>
  <si>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</si>
  <si>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</si>
  <si>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</si>
  <si>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</si>
  <si>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</si>
  <si>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</si>
  <si>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</si>
  <si>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</si>
  <si>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</si>
  <si>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</si>
  <si>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</si>
  <si>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</si>
  <si>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</si>
  <si>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</si>
  <si>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</si>
  <si>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</si>
  <si>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</si>
  <si>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</si>
  <si>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</si>
  <si>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</si>
  <si>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</si>
  <si>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</si>
  <si>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</si>
  <si>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</si>
  <si>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</si>
  <si>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</si>
  <si>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</si>
  <si>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</si>
  <si>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</si>
  <si>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</si>
  <si>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</si>
  <si>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</si>
  <si>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</si>
  <si>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</si>
  <si>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</si>
  <si>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</si>
  <si>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</si>
  <si>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</si>
  <si>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</si>
  <si>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</si>
  <si>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</si>
  <si>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</si>
  <si>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</si>
  <si>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</si>
  <si>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</si>
  <si>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</si>
  <si>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</si>
  <si>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</si>
  <si>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</si>
  <si>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</si>
  <si>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</si>
  <si>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</si>
  <si>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</si>
  <si>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</si>
  <si>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</si>
  <si>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</si>
  <si>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</si>
  <si>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</si>
  <si>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</si>
  <si>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</si>
  <si>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</si>
  <si>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</si>
  <si>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</si>
  <si>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</si>
  <si>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</si>
  <si>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</si>
  <si>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</si>
  <si>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</si>
  <si>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</si>
  <si>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</si>
  <si>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</si>
  <si>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</si>
  <si>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</si>
  <si>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</si>
  <si>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</si>
  <si>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</si>
  <si>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</si>
  <si>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</si>
  <si>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</si>
  <si>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</si>
  <si>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</si>
  <si>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</si>
  <si>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</si>
  <si>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</si>
  <si>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</si>
  <si>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</si>
  <si>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</si>
  <si>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</si>
  <si>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</si>
  <si>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</si>
  <si>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</si>
  <si>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</si>
  <si>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</si>
  <si>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</si>
  <si>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</si>
  <si>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</si>
  <si>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</si>
  <si>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</si>
  <si>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</si>
  <si>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</si>
  <si>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</si>
  <si>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</si>
  <si>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</si>
  <si>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</si>
  <si>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</si>
  <si>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</si>
  <si>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</si>
  <si>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</si>
  <si>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</si>
  <si>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</si>
  <si>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</si>
  <si>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</si>
  <si>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</si>
  <si>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</si>
  <si>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</si>
  <si>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</si>
  <si>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</si>
  <si>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</si>
  <si>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</si>
  <si>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</si>
  <si>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</si>
  <si>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</si>
  <si>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</si>
  <si>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</si>
  <si>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</si>
  <si>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</si>
  <si>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</si>
  <si>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</si>
  <si>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</si>
  <si>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</si>
  <si>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</si>
  <si>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</si>
  <si>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</si>
  <si>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</si>
  <si>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</si>
  <si>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</si>
  <si>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</si>
  <si>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</si>
  <si>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</si>
  <si>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</si>
  <si>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</si>
  <si>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</si>
  <si>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</si>
  <si>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</si>
  <si>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</si>
  <si>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</si>
  <si>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</si>
  <si>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</si>
  <si>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</si>
  <si>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</si>
  <si>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</si>
  <si>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</si>
  <si>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</si>
  <si>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</si>
  <si>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</si>
  <si>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</si>
  <si>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</si>
  <si>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</si>
  <si>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</si>
  <si>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</si>
  <si>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</si>
  <si>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</si>
  <si>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</si>
  <si>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</si>
  <si>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</si>
  <si>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</si>
  <si>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</si>
  <si>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</si>
  <si>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</si>
  <si>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</si>
  <si>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</si>
  <si>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</si>
  <si>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</si>
  <si>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</si>
  <si>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</si>
  <si>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</si>
  <si>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</si>
  <si>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</si>
  <si>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</si>
  <si>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</si>
  <si>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</si>
  <si>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</si>
  <si>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</si>
  <si>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</si>
  <si>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</si>
  <si>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</si>
  <si>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</si>
  <si>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</si>
  <si>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</si>
  <si>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</si>
  <si>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</si>
  <si>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</si>
  <si>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</si>
  <si>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</si>
  <si>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</si>
  <si>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</si>
  <si>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</si>
  <si>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</si>
  <si>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</si>
  <si>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</si>
  <si>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</si>
  <si>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</si>
  <si>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</si>
  <si>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</si>
  <si>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</si>
  <si>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</si>
  <si>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</si>
  <si>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</si>
  <si>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</si>
  <si>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</si>
  <si>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</si>
  <si>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</si>
  <si>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</si>
  <si>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</si>
  <si>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</si>
  <si>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</si>
  <si>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</si>
  <si>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</si>
  <si>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</si>
  <si>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</si>
  <si>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</si>
  <si>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</si>
  <si>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</si>
  <si>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</si>
  <si>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</si>
  <si>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</si>
  <si>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</si>
  <si>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</si>
  <si>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</si>
  <si>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</si>
  <si>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</si>
  <si>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</si>
  <si>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</si>
  <si>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</si>
  <si>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</si>
  <si>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</si>
  <si>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</si>
  <si>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</si>
  <si>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</si>
  <si>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</si>
  <si>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</si>
  <si>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</si>
  <si>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</si>
  <si>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</si>
  <si>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</si>
  <si>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</si>
  <si>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</si>
  <si>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</si>
  <si>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</si>
  <si>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</si>
  <si>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</si>
  <si>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</si>
  <si>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</si>
  <si>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</si>
  <si>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</si>
  <si>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</si>
  <si>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</si>
  <si>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</si>
  <si>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</si>
  <si>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</si>
  <si>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</si>
  <si>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</si>
  <si>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</si>
  <si>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</si>
  <si>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</si>
  <si>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</si>
  <si>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</si>
  <si>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</si>
  <si>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</si>
  <si>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</si>
  <si>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</si>
  <si>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</si>
  <si>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</si>
  <si>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</si>
  <si>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</si>
  <si>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</si>
  <si>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</si>
  <si>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</si>
  <si>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</si>
  <si>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</si>
  <si>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</si>
  <si>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</si>
  <si>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</si>
  <si>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</si>
  <si>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</si>
  <si>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</si>
  <si>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</si>
  <si>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</si>
  <si>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</si>
  <si>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</si>
  <si>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</si>
  <si>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</si>
  <si>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</si>
  <si>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</si>
  <si>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</si>
  <si>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</si>
  <si>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</si>
  <si>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</si>
  <si>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</si>
  <si>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</si>
  <si>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</si>
  <si>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</si>
  <si>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</si>
  <si>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</si>
  <si>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</si>
  <si>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</si>
  <si>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</si>
  <si>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</si>
  <si>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</si>
  <si>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</si>
  <si>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</si>
  <si>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</si>
  <si>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</si>
  <si>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</si>
  <si>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</si>
  <si>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</si>
  <si>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</si>
  <si>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</si>
  <si>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</si>
  <si>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</si>
  <si>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</si>
  <si>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</si>
  <si>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</si>
  <si>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</si>
  <si>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</si>
  <si>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</si>
  <si>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</si>
  <si>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</si>
  <si>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</si>
  <si>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</si>
  <si>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</si>
  <si>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</si>
  <si>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</si>
  <si>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</si>
  <si>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</si>
  <si>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</si>
  <si>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</si>
  <si>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</si>
  <si>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</si>
  <si>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</si>
  <si>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</si>
  <si>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</si>
  <si>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</si>
  <si>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</si>
  <si>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</si>
  <si>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</si>
  <si>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</si>
  <si>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</si>
  <si>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</si>
  <si>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</si>
  <si>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</si>
  <si>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</si>
  <si>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</si>
  <si>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</si>
  <si>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</si>
  <si>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</si>
  <si>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</si>
  <si>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</si>
  <si>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</si>
  <si>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</si>
  <si>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</si>
  <si>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</si>
  <si>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</si>
  <si>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</si>
  <si>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</si>
  <si>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</si>
  <si>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</si>
  <si>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</si>
  <si>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</si>
  <si>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</si>
  <si>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</si>
  <si>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</si>
  <si>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</si>
  <si>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</si>
  <si>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</si>
  <si>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</si>
  <si>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</si>
  <si>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</si>
  <si>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</si>
  <si>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</si>
  <si>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</si>
  <si>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</si>
  <si>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</si>
  <si>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</si>
  <si>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</si>
  <si>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</si>
  <si>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</si>
  <si>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</si>
  <si>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</si>
  <si>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</si>
  <si>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</si>
  <si>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</si>
  <si>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</si>
  <si>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</si>
  <si>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</si>
  <si>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</si>
  <si>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</si>
  <si>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</si>
  <si>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</si>
  <si>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</si>
  <si>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</si>
  <si>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</si>
  <si>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</si>
  <si>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</si>
  <si>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</si>
  <si>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</si>
  <si>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</si>
  <si>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</si>
  <si>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</si>
  <si>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</si>
  <si>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</si>
  <si>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</si>
  <si>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</si>
  <si>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</si>
  <si>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</si>
  <si>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</si>
  <si>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</si>
  <si>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</si>
  <si>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</si>
  <si>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</si>
  <si>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</si>
  <si>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</si>
  <si>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</si>
  <si>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</si>
  <si>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</si>
  <si>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</si>
  <si>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</si>
  <si>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</si>
  <si>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</si>
  <si>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</si>
  <si>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</si>
  <si>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</si>
  <si>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</si>
  <si>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</si>
  <si>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</si>
  <si>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</si>
  <si>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</si>
  <si>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</si>
  <si>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</si>
  <si>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</si>
  <si>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</si>
  <si>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</si>
  <si>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</si>
  <si>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</si>
  <si>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</si>
  <si>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</si>
  <si>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</si>
  <si>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</si>
  <si>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</si>
  <si>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</si>
  <si>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</si>
  <si>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</si>
  <si>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</si>
  <si>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</si>
  <si>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</si>
  <si>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</si>
  <si>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</si>
  <si>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</si>
  <si>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</si>
  <si>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</si>
  <si>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</si>
  <si>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</si>
  <si>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</si>
  <si>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</si>
  <si>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</si>
  <si>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</si>
  <si>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</si>
  <si>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</si>
  <si>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</si>
  <si>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</si>
  <si>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</si>
  <si>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</si>
  <si>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</si>
  <si>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</si>
  <si>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</si>
  <si>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</si>
  <si>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</si>
  <si>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</si>
  <si>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</si>
  <si>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</si>
  <si>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</si>
  <si>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</si>
  <si>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</si>
  <si>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</si>
  <si>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</si>
  <si>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</si>
  <si>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</si>
  <si>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</si>
  <si>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</si>
  <si>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</si>
  <si>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</si>
  <si>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</si>
  <si>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</si>
  <si>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</si>
  <si>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</si>
  <si>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</si>
  <si>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</si>
  <si>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</si>
  <si>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</si>
  <si>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</si>
  <si>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</si>
  <si>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</si>
  <si>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</si>
  <si>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</si>
  <si>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</si>
  <si>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</si>
  <si>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</si>
  <si>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</si>
  <si>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</si>
  <si>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</si>
  <si>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</si>
  <si>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</si>
  <si>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</si>
  <si>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</si>
  <si>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</si>
  <si>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</si>
  <si>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</si>
  <si>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</si>
  <si>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</si>
  <si>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</si>
  <si>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</si>
  <si>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</si>
  <si>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</si>
  <si>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</si>
  <si>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</si>
  <si>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</si>
  <si>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</si>
  <si>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</si>
  <si>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</si>
  <si>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</si>
  <si>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</si>
  <si>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</si>
  <si>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</si>
  <si>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</si>
  <si>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</si>
  <si>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</si>
  <si>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</si>
  <si>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</si>
  <si>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</si>
  <si>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</si>
  <si>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</si>
  <si>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</si>
  <si>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</si>
  <si>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</si>
  <si>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</si>
  <si>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</si>
  <si>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</si>
  <si>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</si>
  <si>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</si>
  <si>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</si>
  <si>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</si>
  <si>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</si>
  <si>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</si>
  <si>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</si>
  <si>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</si>
  <si>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</si>
  <si>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</si>
  <si>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</si>
  <si>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</si>
  <si>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</si>
  <si>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</si>
  <si>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</si>
  <si>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</si>
  <si>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</si>
  <si>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</si>
  <si>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</si>
  <si>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</si>
  <si>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</si>
  <si>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</si>
  <si>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</si>
  <si>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</si>
  <si>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</si>
  <si>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</si>
  <si>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</si>
  <si>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</si>
  <si>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</si>
  <si>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</si>
  <si>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</si>
  <si>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</si>
  <si>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</si>
  <si>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</si>
  <si>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</si>
  <si>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</si>
  <si>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</si>
  <si>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</si>
  <si>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</si>
  <si>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</si>
  <si>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</si>
  <si>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</si>
  <si>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</si>
  <si>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</si>
  <si>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</si>
  <si>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</si>
  <si>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</si>
  <si>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</si>
  <si>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</si>
  <si>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</si>
  <si>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</si>
  <si>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</si>
  <si>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</si>
  <si>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</si>
  <si>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</si>
  <si>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</si>
  <si>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</si>
  <si>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</si>
  <si>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</si>
  <si>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</si>
  <si>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</si>
  <si>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</si>
  <si>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</si>
  <si>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</si>
  <si>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</si>
  <si>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</si>
  <si>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</si>
  <si>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</si>
  <si>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</si>
  <si>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</si>
  <si>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</si>
  <si>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</si>
  <si>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</si>
  <si>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</si>
  <si>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</si>
  <si>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</si>
  <si>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</si>
  <si>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</si>
  <si>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</si>
  <si>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</si>
  <si>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</si>
  <si>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</si>
  <si>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</si>
  <si>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</si>
  <si>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</si>
  <si>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</si>
  <si>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</si>
  <si>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</si>
  <si>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</si>
  <si>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</si>
  <si>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</si>
  <si>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</si>
  <si>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</si>
  <si>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</si>
  <si>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</si>
  <si>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</si>
  <si>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</si>
  <si>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</si>
  <si>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</si>
  <si>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</si>
  <si>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</si>
  <si>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</si>
  <si>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</si>
  <si>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</si>
  <si>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</si>
  <si>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</si>
  <si>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</si>
  <si>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</si>
  <si>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</si>
  <si>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</si>
  <si>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</si>
  <si>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</si>
  <si>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</si>
  <si>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</si>
  <si>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</si>
  <si>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</si>
  <si>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</si>
  <si>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</si>
  <si>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</si>
  <si>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</si>
  <si>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</si>
  <si>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</si>
  <si>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</si>
  <si>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</si>
  <si>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</si>
  <si>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</si>
  <si>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</si>
  <si>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</si>
  <si>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</si>
  <si>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</si>
  <si>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</si>
  <si>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</si>
  <si>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</si>
  <si>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</si>
  <si>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</si>
  <si>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</si>
  <si>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</si>
  <si>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</si>
  <si>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</si>
  <si>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</si>
  <si>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</si>
  <si>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</si>
  <si>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</si>
  <si>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</si>
  <si>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</si>
  <si>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</si>
  <si>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</si>
  <si>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</si>
  <si>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</si>
  <si>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</si>
  <si>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</si>
  <si>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</si>
  <si>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</si>
  <si>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</si>
  <si>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</si>
  <si>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</si>
  <si>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</si>
  <si>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</si>
  <si>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</si>
  <si>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</si>
  <si>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</si>
  <si>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</si>
  <si>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</si>
  <si>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</si>
  <si>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</si>
  <si>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</si>
  <si>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</si>
  <si>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</si>
  <si>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</si>
  <si>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</si>
  <si>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</si>
  <si>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</si>
  <si>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</si>
  <si>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</si>
  <si>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</si>
  <si>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</si>
  <si>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</si>
  <si>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</si>
  <si>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</si>
  <si>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</si>
  <si>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</si>
  <si>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</si>
  <si>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</si>
  <si>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</si>
  <si>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</si>
  <si>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</si>
  <si>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</si>
  <si>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</si>
  <si>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</si>
  <si>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</si>
  <si>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</si>
  <si>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</si>
  <si>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</si>
  <si>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</si>
  <si>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</si>
  <si>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</si>
  <si>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</si>
  <si>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</si>
  <si>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</si>
  <si>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</si>
  <si>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</si>
  <si>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</si>
  <si>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</si>
  <si>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</si>
  <si>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</si>
  <si>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</si>
  <si>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</si>
  <si>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</si>
  <si>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</si>
  <si>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</si>
  <si>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</si>
  <si>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</si>
  <si>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</si>
  <si>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</si>
  <si>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</si>
  <si>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</si>
  <si>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</si>
  <si>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</si>
  <si>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</si>
  <si>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</si>
  <si>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</si>
  <si>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</si>
  <si>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</si>
  <si>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</si>
  <si>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</si>
  <si>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</si>
  <si>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</si>
  <si>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</si>
  <si>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</si>
  <si>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</si>
  <si>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</si>
  <si>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</si>
  <si>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</si>
  <si>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</si>
  <si>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</si>
  <si>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</si>
  <si>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</si>
  <si>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</si>
  <si>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</si>
  <si>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</si>
  <si>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</si>
  <si>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</si>
  <si>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</si>
  <si>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</si>
  <si>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</si>
  <si>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</si>
  <si>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</si>
  <si>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</si>
  <si>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</si>
  <si>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</si>
  <si>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</si>
  <si>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</si>
  <si>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</si>
  <si>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</si>
  <si>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</si>
  <si>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</si>
  <si>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</si>
  <si>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</si>
  <si>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</si>
  <si>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</si>
  <si>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</si>
  <si>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</si>
  <si>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</si>
  <si>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</si>
  <si>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</si>
  <si>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</si>
  <si>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</si>
  <si>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</si>
  <si>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</si>
  <si>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</si>
  <si>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</si>
  <si>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</si>
  <si>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</si>
  <si>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</si>
  <si>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</si>
  <si>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</si>
  <si>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</si>
  <si>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</si>
  <si>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</si>
  <si>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</si>
  <si>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</si>
  <si>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</si>
  <si>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</si>
  <si>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</si>
  <si>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</si>
  <si>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</si>
  <si>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</si>
  <si>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</si>
  <si>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</si>
  <si>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</si>
  <si>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</si>
  <si>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</si>
  <si>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</si>
  <si>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</si>
  <si>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</si>
  <si>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</si>
  <si>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</si>
  <si>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</si>
  <si>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</si>
  <si>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</si>
  <si>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</si>
  <si>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</si>
  <si>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</si>
  <si>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</si>
  <si>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</si>
  <si>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</si>
  <si>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</si>
  <si>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</si>
  <si>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</si>
  <si>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</si>
  <si>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</si>
  <si>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</si>
  <si>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</si>
  <si>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</si>
  <si>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</si>
  <si>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</si>
  <si>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</si>
  <si>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</si>
  <si>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</si>
  <si>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</si>
  <si>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</si>
  <si>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</si>
  <si>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</si>
  <si>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</si>
  <si>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</si>
  <si>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</si>
  <si>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</si>
  <si>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</si>
  <si>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</si>
  <si>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</si>
  <si>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</si>
  <si>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</si>
  <si>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</si>
  <si>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</si>
  <si>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</si>
  <si>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</si>
  <si>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</si>
  <si>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</si>
  <si>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</si>
  <si>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</si>
  <si>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</si>
  <si>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</si>
  <si>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</si>
  <si>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</si>
  <si>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</si>
  <si>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</si>
  <si>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</si>
  <si>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</si>
  <si>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</si>
  <si>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</si>
  <si>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</si>
  <si>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</si>
  <si>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</si>
  <si>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</si>
  <si>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</si>
  <si>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</si>
  <si>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</si>
  <si>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</si>
  <si>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</si>
  <si>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</si>
  <si>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</si>
  <si>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</si>
  <si>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</si>
  <si>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</si>
  <si>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</si>
  <si>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</si>
  <si>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</si>
  <si>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</si>
  <si>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</si>
  <si>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</si>
  <si>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</si>
  <si>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</si>
  <si>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</si>
  <si>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</si>
  <si>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</si>
  <si>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</si>
  <si>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</si>
  <si>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</si>
  <si>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</si>
  <si>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</si>
  <si>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</si>
  <si>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</si>
  <si>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</si>
  <si>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</si>
  <si>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</si>
  <si>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</si>
  <si>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</si>
  <si>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</si>
  <si>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</si>
  <si>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</si>
  <si>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</si>
  <si>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</si>
  <si>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</si>
  <si>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</si>
  <si>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</si>
  <si>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</si>
  <si>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</si>
  <si>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</si>
  <si>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</si>
  <si>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</si>
  <si>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</si>
  <si>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</si>
  <si>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</si>
  <si>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</si>
  <si>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</si>
  <si>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</si>
  <si>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</si>
  <si>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</si>
  <si>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</si>
  <si>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</si>
  <si>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</si>
  <si>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</si>
  <si>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</si>
  <si>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</si>
  <si>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</si>
  <si>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</si>
  <si>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</si>
  <si>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</si>
  <si>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</si>
  <si>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</si>
  <si>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</si>
  <si>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</si>
  <si>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</si>
  <si>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</si>
  <si>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</si>
  <si>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</si>
  <si>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</si>
  <si>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</si>
  <si>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</si>
  <si>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</si>
  <si>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</si>
  <si>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</si>
  <si>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</si>
  <si>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</si>
  <si>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</si>
  <si>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</si>
  <si>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</si>
  <si>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</si>
  <si>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</si>
  <si>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</si>
  <si>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</si>
  <si>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</si>
  <si>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</si>
  <si>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</si>
  <si>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</si>
  <si>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</si>
  <si>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</si>
  <si>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</si>
  <si>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</si>
  <si>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</si>
  <si>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</si>
  <si>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</si>
  <si>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</si>
  <si>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</si>
  <si>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</si>
  <si>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</si>
  <si>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</si>
  <si>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</si>
  <si>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</si>
  <si>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</si>
  <si>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</si>
  <si>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</si>
  <si>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</si>
  <si>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</si>
  <si>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</si>
  <si>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</si>
  <si>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</si>
  <si>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</si>
  <si>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</si>
  <si>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</si>
  <si>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</si>
  <si>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</si>
  <si>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</si>
  <si>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</si>
  <si>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</si>
  <si>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</si>
  <si>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</si>
  <si>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</si>
  <si>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</si>
  <si>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</si>
  <si>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</si>
  <si>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</si>
  <si>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</si>
  <si>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</si>
  <si>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</si>
  <si>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</si>
  <si>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</si>
  <si>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</si>
  <si>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</si>
  <si>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</si>
  <si>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</si>
  <si>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</si>
  <si>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</si>
  <si>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</si>
  <si>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</si>
  <si>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</si>
  <si>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</si>
  <si>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</si>
  <si>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</si>
  <si>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</si>
  <si>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</si>
  <si>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</si>
  <si>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</si>
  <si>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</si>
  <si>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</si>
  <si>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</si>
  <si>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</si>
  <si>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</si>
  <si>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</si>
  <si>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</si>
  <si>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</si>
  <si>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</si>
  <si>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</si>
  <si>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</si>
  <si>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</si>
  <si>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</si>
  <si>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</si>
  <si>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</si>
  <si>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</si>
  <si>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</si>
  <si>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</si>
  <si>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</si>
  <si>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</si>
  <si>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</si>
  <si>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</si>
  <si>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</si>
  <si>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</si>
  <si>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</si>
  <si>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</si>
  <si>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</si>
  <si>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</si>
  <si>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</si>
  <si>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</si>
  <si>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</si>
  <si>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</si>
  <si>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</si>
  <si>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</si>
  <si>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</si>
  <si>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</si>
  <si>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</si>
  <si>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</si>
  <si>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</si>
  <si>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</si>
  <si>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</si>
  <si>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</si>
  <si>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</si>
  <si>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</si>
  <si>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</si>
  <si>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</si>
  <si>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</si>
  <si>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</si>
  <si>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</si>
  <si>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</si>
  <si>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</si>
  <si>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</si>
  <si>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</si>
  <si>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</si>
  <si>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</si>
  <si>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</si>
  <si>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</si>
  <si>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</si>
  <si>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</si>
  <si>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</si>
  <si>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</si>
  <si>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</si>
  <si>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</si>
  <si>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</si>
  <si>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</si>
  <si>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</si>
  <si>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</si>
  <si>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</si>
  <si>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</si>
  <si>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</si>
  <si>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</si>
  <si>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</si>
  <si>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</si>
  <si>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</si>
  <si>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</si>
  <si>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</si>
  <si>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</si>
  <si>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</si>
  <si>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</si>
  <si>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</si>
  <si>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</si>
  <si>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</si>
  <si>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</si>
  <si>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</si>
  <si>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</si>
  <si>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</si>
  <si>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</si>
  <si>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</si>
  <si>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</si>
  <si>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</si>
  <si>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</si>
  <si>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</si>
  <si>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</si>
  <si>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</si>
  <si>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</si>
  <si>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</si>
  <si>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</si>
  <si>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</si>
  <si>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</si>
  <si>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</si>
  <si>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</si>
  <si>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</si>
  <si>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</si>
  <si>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</si>
  <si>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</si>
  <si>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</si>
  <si>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</si>
  <si>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</si>
  <si>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</si>
  <si>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</si>
  <si>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</si>
  <si>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</si>
  <si>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</si>
  <si>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</si>
  <si>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</si>
  <si>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</si>
  <si>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</si>
  <si>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</si>
  <si>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</si>
  <si>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</si>
  <si>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</si>
  <si>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</si>
  <si>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</si>
  <si>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</si>
  <si>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</si>
  <si>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</si>
  <si>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</si>
  <si>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</si>
  <si>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</si>
  <si>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</si>
  <si>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</si>
  <si>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</si>
  <si>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</si>
  <si>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</si>
  <si>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</si>
  <si>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</si>
  <si>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</si>
  <si>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</si>
  <si>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</si>
  <si>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</si>
  <si>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</si>
  <si>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</si>
  <si>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</si>
  <si>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</si>
  <si>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</si>
  <si>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</si>
  <si>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</si>
  <si>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</si>
  <si>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</si>
  <si>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</si>
  <si>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</si>
  <si>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</si>
  <si>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</si>
  <si>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</si>
  <si>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</si>
  <si>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</si>
  <si>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</si>
  <si>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</si>
  <si>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</si>
  <si>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</si>
  <si>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</si>
  <si>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</si>
  <si>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</si>
  <si>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</si>
  <si>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</si>
  <si>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</si>
  <si>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</si>
  <si>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</si>
  <si>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</si>
  <si>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</si>
  <si>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</si>
  <si>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</si>
  <si>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</si>
  <si>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</si>
  <si>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</si>
  <si>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</si>
  <si>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</si>
  <si>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</si>
  <si>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</si>
  <si>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</si>
  <si>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</si>
  <si>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</si>
  <si>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</si>
  <si>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</si>
  <si>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</si>
  <si>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</si>
  <si>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</si>
  <si>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</si>
  <si>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</si>
  <si>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</si>
  <si>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</si>
  <si>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</si>
  <si>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</si>
  <si>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</si>
  <si>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</si>
  <si>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</si>
  <si>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</si>
  <si>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</si>
  <si>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</si>
  <si>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</si>
  <si>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</si>
  <si>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</si>
  <si>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</si>
  <si>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</si>
  <si>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</si>
  <si>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</si>
  <si>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</si>
  <si>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</si>
  <si>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</si>
  <si>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</si>
  <si>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</si>
  <si>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</si>
  <si>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</si>
  <si>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</si>
  <si>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</si>
  <si>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</si>
  <si>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</si>
  <si>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</si>
  <si>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</si>
  <si>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</si>
  <si>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</si>
  <si>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</si>
  <si>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</si>
  <si>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</si>
  <si>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</si>
  <si>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</si>
  <si>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</si>
  <si>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</si>
  <si>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</si>
  <si>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</si>
  <si>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</si>
  <si>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</si>
  <si>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</si>
  <si>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</si>
  <si>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</si>
  <si>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</si>
  <si>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</si>
  <si>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</si>
  <si>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</si>
  <si>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</si>
  <si>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</si>
  <si>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</si>
  <si>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</si>
  <si>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</si>
  <si>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</si>
  <si>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</si>
  <si>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</si>
  <si>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</si>
  <si>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</si>
  <si>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</si>
  <si>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</si>
  <si>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</si>
  <si>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</si>
  <si>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</si>
  <si>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</si>
  <si>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</si>
  <si>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</si>
  <si>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</si>
  <si>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</si>
  <si>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</si>
  <si>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</si>
  <si>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</si>
  <si>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</si>
  <si>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</si>
  <si>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</si>
  <si>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</si>
  <si>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</si>
  <si>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</si>
  <si>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</si>
  <si>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</si>
  <si>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</si>
  <si>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</si>
  <si>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</si>
  <si>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</si>
  <si>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</si>
  <si>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</si>
  <si>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</si>
  <si>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</si>
  <si>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</si>
  <si>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</si>
  <si>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</si>
  <si>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</si>
  <si>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</si>
  <si>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</si>
  <si>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</si>
  <si>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</si>
  <si>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</si>
  <si>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</si>
  <si>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</si>
  <si>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</si>
  <si>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</si>
  <si>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</si>
  <si>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</si>
  <si>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</si>
  <si>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</si>
  <si>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</si>
  <si>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</si>
  <si>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</si>
  <si>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</si>
  <si>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</si>
  <si>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</si>
  <si>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</si>
  <si>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</si>
  <si>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</si>
  <si>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</si>
  <si>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</si>
  <si>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</si>
  <si>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</si>
  <si>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</si>
  <si>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</si>
  <si>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</si>
  <si>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</si>
  <si>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</si>
  <si>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</si>
  <si>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</si>
  <si>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</si>
  <si>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</si>
  <si>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</si>
  <si>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</si>
  <si>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</si>
  <si>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</si>
  <si>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</si>
  <si>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</si>
  <si>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</si>
  <si>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</si>
  <si>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</si>
  <si>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</si>
  <si>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</si>
  <si>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</si>
  <si>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</si>
  <si>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</si>
  <si>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</si>
  <si>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</si>
  <si>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</si>
  <si>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</si>
  <si>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</si>
  <si>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</si>
  <si>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</si>
  <si>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</si>
  <si>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</si>
  <si>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</si>
  <si>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</si>
  <si>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</si>
  <si>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</si>
  <si>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</si>
  <si>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</si>
  <si>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</si>
  <si>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</si>
  <si>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</si>
  <si>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</si>
  <si>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</si>
  <si>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</si>
  <si>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</si>
  <si>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</si>
  <si>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</si>
  <si>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</si>
  <si>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</si>
  <si>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</si>
  <si>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</si>
  <si>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</si>
  <si>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</si>
  <si>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</si>
  <si>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</si>
  <si>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</si>
  <si>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</si>
  <si>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</si>
  <si>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</si>
  <si>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</si>
  <si>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</si>
  <si>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</si>
  <si>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</si>
  <si>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</si>
  <si>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</si>
  <si>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</si>
  <si>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</si>
  <si>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</si>
  <si>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</si>
  <si>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</si>
  <si>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</si>
  <si>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</si>
  <si>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</si>
  <si>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</si>
  <si>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</si>
  <si>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</si>
  <si>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</si>
  <si>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</si>
  <si>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</si>
  <si>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</si>
  <si>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</si>
  <si>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</si>
  <si>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</si>
  <si>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</si>
  <si>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</si>
  <si>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</si>
  <si>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</si>
  <si>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</si>
  <si>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</si>
  <si>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</si>
  <si>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</si>
  <si>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</si>
  <si>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</si>
  <si>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</si>
  <si>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</si>
  <si>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</si>
  <si>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</si>
  <si>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</si>
  <si>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</si>
  <si>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</si>
  <si>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</si>
  <si>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</si>
  <si>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</si>
  <si>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</si>
  <si>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</si>
  <si>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</si>
  <si>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</si>
  <si>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</si>
  <si>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</si>
  <si>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</si>
  <si>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</si>
  <si>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</si>
  <si>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</si>
  <si>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</si>
  <si>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</si>
  <si>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</si>
  <si>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</si>
  <si>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</si>
  <si>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</si>
  <si>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</si>
  <si>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</si>
  <si>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</si>
  <si>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</si>
  <si>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</si>
  <si>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</si>
  <si>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</si>
  <si>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</si>
  <si>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</si>
  <si>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</si>
  <si>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</si>
  <si>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</si>
  <si>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</si>
  <si>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</si>
  <si>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</si>
  <si>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</si>
  <si>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</si>
  <si>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</si>
  <si>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</si>
  <si>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</si>
  <si>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</si>
  <si>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</si>
  <si>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</si>
  <si>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</si>
  <si>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</si>
  <si>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</si>
  <si>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</si>
  <si>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</si>
  <si>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</si>
  <si>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</si>
  <si>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</si>
  <si>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</si>
  <si>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</si>
  <si>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</si>
  <si>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</si>
  <si>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</si>
  <si>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</si>
  <si>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</si>
  <si>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</si>
  <si>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</si>
  <si>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</si>
  <si>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</si>
  <si>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</si>
  <si>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</si>
  <si>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</si>
  <si>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</si>
  <si>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</si>
  <si>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</si>
  <si>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</si>
  <si>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</si>
  <si>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</si>
  <si>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</si>
  <si>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</si>
  <si>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</si>
  <si>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</si>
  <si>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</si>
  <si>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</si>
  <si>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</si>
  <si>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</si>
  <si>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</si>
  <si>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</si>
  <si>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</si>
  <si>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</si>
  <si>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</si>
  <si>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</si>
  <si>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</si>
  <si>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</si>
  <si>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</si>
  <si>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</si>
  <si>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</si>
  <si>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</si>
  <si>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</si>
  <si>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</si>
  <si>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</si>
  <si>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</si>
  <si>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</si>
  <si>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</si>
  <si>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</si>
  <si>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</si>
  <si>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</si>
  <si>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</si>
  <si>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</si>
  <si>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</si>
  <si>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</si>
  <si>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</si>
  <si>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</si>
  <si>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</si>
  <si>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</si>
  <si>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</si>
  <si>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</si>
  <si>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</si>
  <si>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</si>
  <si>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</si>
  <si>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</si>
  <si>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</si>
  <si>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</si>
  <si>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</si>
  <si>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</si>
  <si>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</si>
  <si>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</si>
  <si>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</si>
  <si>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</si>
  <si>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</si>
  <si>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</si>
  <si>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</si>
  <si>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</si>
  <si>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</si>
  <si>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</si>
  <si>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</si>
  <si>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</si>
  <si>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</si>
  <si>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</si>
  <si>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</si>
  <si>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</si>
  <si>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</si>
  <si>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</si>
  <si>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</si>
  <si>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</si>
  <si>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</si>
  <si>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</si>
  <si>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</si>
  <si>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</si>
  <si>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</si>
  <si>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</si>
  <si>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</si>
  <si>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</si>
  <si>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</si>
  <si>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</si>
  <si>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</si>
  <si>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</si>
  <si>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</si>
  <si>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</si>
  <si>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</si>
  <si>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</si>
  <si>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</si>
  <si>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</si>
  <si>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</si>
  <si>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</si>
  <si>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</si>
  <si>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</si>
  <si>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</si>
  <si>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</si>
  <si>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</si>
  <si>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</si>
  <si>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</si>
  <si>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</si>
  <si>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</si>
  <si>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</si>
  <si>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</si>
  <si>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</si>
  <si>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</si>
  <si>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</si>
  <si>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</si>
  <si>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</si>
  <si>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</si>
  <si>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</si>
  <si>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</si>
  <si>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</si>
  <si>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</si>
  <si>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</si>
  <si>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</si>
  <si>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</si>
  <si>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</si>
  <si>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</si>
  <si>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</si>
  <si>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</si>
  <si>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</si>
  <si>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</si>
  <si>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</si>
  <si>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</si>
  <si>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</si>
  <si>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</si>
  <si>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</si>
  <si>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</si>
  <si>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</si>
  <si>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</si>
  <si>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</si>
  <si>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</si>
  <si>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</si>
  <si>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</si>
  <si>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</si>
  <si>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</si>
  <si>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</si>
  <si>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</si>
  <si>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</si>
  <si>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</si>
  <si>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</si>
  <si>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</si>
  <si>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</si>
  <si>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</si>
  <si>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</si>
  <si>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</si>
  <si>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</si>
  <si>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</si>
  <si>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</si>
  <si>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</si>
  <si>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</si>
  <si>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</si>
  <si>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</si>
  <si>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</si>
  <si>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</si>
  <si>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</si>
  <si>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</si>
  <si>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</si>
  <si>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</si>
  <si>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</si>
  <si>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</si>
  <si>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</si>
  <si>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</si>
  <si>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</si>
  <si>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</si>
  <si>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</si>
  <si>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</si>
  <si>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</si>
  <si>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</si>
  <si>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</si>
  <si>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</si>
  <si>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</si>
  <si>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</si>
  <si>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</si>
  <si>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</si>
  <si>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</si>
  <si>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</si>
  <si>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</si>
  <si>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</si>
  <si>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</si>
  <si>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</si>
  <si>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</si>
  <si>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</si>
  <si>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</si>
  <si>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</si>
  <si>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</si>
  <si>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</si>
  <si>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</si>
  <si>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</si>
  <si>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</si>
  <si>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</si>
  <si>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</si>
  <si>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</si>
  <si>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</si>
  <si>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</si>
  <si>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</si>
  <si>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</si>
  <si>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</si>
  <si>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</si>
  <si>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</si>
  <si>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</si>
  <si>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</si>
  <si>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</si>
  <si>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</si>
  <si>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</si>
  <si>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</si>
  <si>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</si>
  <si>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</si>
  <si>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</si>
  <si>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</si>
  <si>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</si>
  <si>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</si>
  <si>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</si>
  <si>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</si>
  <si>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</si>
  <si>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</si>
  <si>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</si>
  <si>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</si>
  <si>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</si>
  <si>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</si>
  <si>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</si>
  <si>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</si>
  <si>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</si>
  <si>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</si>
  <si>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</si>
  <si>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</si>
  <si>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</si>
  <si>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</si>
  <si>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</si>
  <si>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</si>
  <si>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</si>
  <si>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</si>
  <si>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</si>
  <si>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</si>
  <si>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</si>
  <si>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</si>
  <si>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</si>
  <si>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</si>
  <si>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</si>
  <si>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</si>
  <si>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</si>
  <si>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</si>
  <si>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</si>
  <si>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</si>
  <si>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</si>
  <si>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</si>
  <si>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</si>
  <si>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</si>
  <si>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</si>
  <si>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</si>
  <si>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</si>
  <si>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</si>
  <si>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</si>
  <si>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</si>
  <si>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</si>
  <si>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</si>
  <si>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</si>
  <si>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</si>
  <si>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</si>
  <si>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</si>
  <si>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</si>
  <si>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</si>
  <si>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</si>
  <si>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</si>
  <si>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</si>
  <si>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</si>
  <si>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</si>
  <si>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</si>
  <si>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</si>
  <si>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</si>
  <si>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</si>
  <si>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</si>
  <si>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</si>
  <si>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</si>
  <si>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</si>
  <si>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</si>
  <si>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</si>
  <si>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</si>
  <si>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</si>
  <si>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</si>
  <si>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</si>
  <si>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</si>
  <si>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</si>
  <si>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</si>
  <si>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</si>
  <si>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</si>
  <si>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</si>
  <si>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</si>
  <si>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</si>
  <si>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</si>
  <si>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</si>
  <si>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</si>
  <si>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</si>
  <si>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</si>
  <si>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</si>
  <si>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</si>
  <si>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</si>
  <si>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</si>
  <si>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</si>
  <si>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</si>
  <si>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</si>
  <si>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</si>
  <si>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</si>
  <si>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</si>
  <si>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</si>
  <si>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</si>
  <si>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</si>
  <si>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</si>
  <si>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</si>
  <si>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</si>
  <si>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</si>
  <si>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</si>
  <si>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</si>
  <si>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</si>
  <si>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</si>
  <si>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</si>
  <si>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</si>
  <si>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</si>
  <si>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</si>
  <si>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</si>
  <si>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</si>
  <si>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</si>
  <si>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</si>
  <si>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</si>
  <si>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</si>
  <si>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</si>
  <si>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</si>
  <si>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</si>
  <si>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</si>
  <si>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</si>
  <si>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</si>
  <si>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</si>
  <si>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</si>
  <si>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</si>
  <si>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</si>
  <si>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</si>
  <si>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</si>
  <si>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</si>
  <si>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</si>
  <si>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</si>
  <si>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</si>
  <si>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</si>
  <si>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</si>
  <si>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</si>
  <si>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</si>
  <si>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</si>
  <si>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</si>
  <si>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</si>
  <si>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</si>
  <si>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</si>
  <si>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</si>
  <si>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</si>
  <si>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</si>
  <si>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</si>
  <si>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</si>
  <si>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</si>
  <si>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</si>
  <si>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</si>
  <si>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</si>
  <si>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</si>
  <si>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</si>
  <si>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</si>
  <si>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</si>
  <si>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</si>
  <si>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</si>
  <si>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</si>
  <si>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</si>
  <si>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</si>
  <si>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</si>
  <si>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</si>
  <si>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</si>
  <si>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</si>
  <si>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</si>
  <si>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</si>
  <si>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</si>
  <si>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</si>
  <si>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</si>
  <si>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</si>
  <si>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</si>
  <si>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</si>
  <si>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</si>
  <si>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</si>
  <si>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</si>
  <si>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</si>
  <si>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</si>
  <si>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</si>
  <si>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</si>
  <si>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</si>
  <si>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</si>
  <si>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</si>
  <si>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</si>
  <si>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</si>
  <si>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</si>
  <si>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</si>
  <si>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</si>
  <si>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</si>
  <si>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</si>
  <si>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</si>
  <si>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</si>
  <si>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</si>
  <si>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</si>
  <si>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</si>
  <si>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</si>
  <si>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</si>
  <si>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</si>
  <si>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</si>
  <si>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</si>
  <si>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</si>
  <si>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</si>
  <si>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</si>
  <si>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</si>
  <si>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</si>
  <si>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</si>
  <si>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</si>
  <si>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</si>
  <si>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</si>
  <si>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</si>
  <si>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</si>
  <si>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</si>
  <si>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</si>
  <si>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</si>
  <si>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</si>
  <si>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</si>
  <si>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</si>
  <si>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</si>
  <si>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</si>
  <si>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</si>
  <si>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</si>
  <si>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</si>
  <si>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</si>
  <si>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</si>
  <si>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</si>
  <si>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</si>
  <si>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</si>
  <si>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</si>
  <si>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</si>
  <si>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</si>
  <si>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</si>
  <si>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</si>
  <si>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</si>
  <si>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</si>
  <si>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</si>
  <si>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</si>
  <si>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</si>
  <si>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</si>
  <si>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</si>
  <si>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</si>
  <si>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</si>
  <si>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</si>
  <si>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</si>
  <si>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</si>
  <si>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</si>
  <si>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</si>
  <si>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</si>
  <si>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</si>
  <si>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</si>
  <si>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</si>
  <si>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</si>
  <si>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</si>
  <si>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</si>
  <si>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</si>
  <si>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</si>
  <si>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</si>
  <si>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</si>
  <si>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</si>
  <si>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</si>
  <si>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</si>
  <si>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</si>
  <si>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</si>
  <si>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</si>
  <si>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</si>
  <si>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</si>
  <si>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</si>
  <si>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</si>
  <si>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</si>
  <si>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</si>
  <si>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</si>
  <si>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</si>
  <si>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</si>
  <si>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</si>
  <si>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</si>
  <si>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</si>
  <si>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</si>
  <si>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</si>
  <si>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</si>
  <si>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</si>
  <si>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西直门外大街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</si>
</sst>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53" fillId="0" borderId="39"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35" xfId="0" applyFont="1" applyFill="1" applyBorder="1" applyAlignment="1" applyProtection="1">
      <alignment horizontal="center"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0" borderId="37"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46" fillId="0" borderId="41" xfId="0" applyFont="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2022年8月25日</v>
      </c>
    </row>
    <row r="13" spans="1:2" s="1315" customFormat="1">
      <c r="A13" s="1313" t="s">
        <v>954</v>
      </c>
      <c r="B13" s="1314"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3317</v>
      </c>
      <c r="C19" s="1680"/>
    </row>
    <row r="20" spans="1:3">
      <c r="A20" s="1679" t="s">
        <v>1493</v>
      </c>
      <c r="B20" s="1679" t="s">
        <v>3318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35"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5"/>
      <c r="B54" s="1687" t="s">
        <v>651</v>
      </c>
      <c r="C54" s="1684" t="s">
        <v>1008</v>
      </c>
    </row>
    <row r="55" spans="1:4">
      <c r="A55" s="3335"/>
      <c r="B55" s="1687" t="s">
        <v>652</v>
      </c>
      <c r="C55" s="1684" t="s">
        <v>1009</v>
      </c>
    </row>
    <row r="56" spans="1:4">
      <c r="A56" s="3335"/>
      <c r="B56" s="1687" t="s">
        <v>653</v>
      </c>
      <c r="C56" s="1684" t="s">
        <v>1013</v>
      </c>
    </row>
    <row r="57" spans="1:4">
      <c r="A57" s="3335"/>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6" t="s">
        <v>2666</v>
      </c>
      <c r="B1" s="3336" t="str">
        <f>IF(B10="北京市","北京市",C10)&amp;F10&amp;IF(结果表!G1="在建","出让国有建设用地使用权及在建建筑物",IF(结果表!G1="土地","出让国有建设用地使用权",))&amp;B9&amp;"预评估"</f>
        <v>北京市西直门外大街18号楼房地产抵押价值预评估</v>
      </c>
      <c r="C1" s="3337"/>
      <c r="D1" s="3337"/>
      <c r="E1" s="3337"/>
      <c r="F1" s="3337"/>
      <c r="G1" s="3337"/>
      <c r="H1" s="3337"/>
      <c r="I1" s="3338"/>
      <c r="J1" s="2642"/>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7" t="s">
        <v>2667</v>
      </c>
      <c r="B2" s="2541"/>
      <c r="C2" s="2542"/>
      <c r="D2" s="2843"/>
      <c r="E2" s="2833"/>
      <c r="F2" s="2833"/>
      <c r="G2" s="2834"/>
      <c r="H2" s="2834"/>
      <c r="I2" s="2834"/>
      <c r="J2" s="2642"/>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3">
        <v>44784</v>
      </c>
      <c r="C3" s="2544" t="s">
        <v>2669</v>
      </c>
      <c r="D3" s="2543">
        <v>44798</v>
      </c>
      <c r="E3" s="2834"/>
      <c r="F3" s="2834"/>
      <c r="G3" s="2834"/>
      <c r="H3" s="2834"/>
      <c r="I3" s="2834"/>
      <c r="J3" s="2642"/>
      <c r="K3" s="2538"/>
      <c r="L3" s="2539"/>
      <c r="M3" s="2539"/>
      <c r="N3" s="2540"/>
      <c r="O3" s="1709"/>
      <c r="P3" s="2540"/>
      <c r="Q3" s="2540"/>
      <c r="R3" s="2540"/>
      <c r="S3" s="1816"/>
      <c r="T3" s="1879"/>
      <c r="U3" s="1879"/>
      <c r="V3" s="1879"/>
      <c r="W3" s="1879"/>
      <c r="X3" s="1879"/>
      <c r="Y3" s="1879"/>
      <c r="Z3" s="1879"/>
      <c r="AA3" s="1879"/>
      <c r="AB3" s="1879"/>
    </row>
    <row r="4" spans="1:28" ht="13.5" thickBot="1">
      <c r="A4" s="1200" t="s">
        <v>2670</v>
      </c>
      <c r="B4" s="2545" t="s">
        <v>3168</v>
      </c>
      <c r="C4" s="2546">
        <f ca="1">SUMIF(注册房地产估价师,B4,估价师及机构信息!B3:B24)</f>
        <v>1120070131</v>
      </c>
      <c r="D4" s="2545" t="s">
        <v>3169</v>
      </c>
      <c r="E4" s="2547">
        <f ca="1">SUMIF(注册房地产估价师,D4,估价师及机构信息!B3:B24)</f>
        <v>1419970001</v>
      </c>
      <c r="F4" s="2545"/>
      <c r="G4" s="2547">
        <f>SUMIF(注册房地产估价师,F4,估价师及机构信息!B3:B24)</f>
        <v>0</v>
      </c>
      <c r="H4" s="2545"/>
      <c r="I4" s="2547">
        <f>SUMIF(注册房地产估价师,H4,估价师及机构信息!B3:B24)</f>
        <v>0</v>
      </c>
      <c r="J4" s="2611"/>
      <c r="K4" s="2548" t="str">
        <f ca="1">CONCATENATE(B4,"（注册号：",C4,")、",D4,"（注册号：",E4,")")</f>
        <v>郑燚（注册号：1120070131)、吴薇（注册号：1419970001)</v>
      </c>
      <c r="L4" s="2539"/>
      <c r="M4" s="2539"/>
      <c r="N4" s="2540"/>
      <c r="O4" s="1709"/>
      <c r="P4" s="2540"/>
      <c r="Q4" s="2540"/>
      <c r="R4" s="2540"/>
      <c r="S4" s="1816"/>
      <c r="T4" s="1879"/>
      <c r="U4" s="1879"/>
      <c r="V4" s="1879"/>
      <c r="W4" s="1879"/>
      <c r="X4" s="1879"/>
      <c r="Y4" s="1879"/>
      <c r="Z4" s="1879"/>
      <c r="AA4" s="1879"/>
      <c r="AB4" s="1879"/>
    </row>
    <row r="5" spans="1:28" ht="13.5" thickTop="1">
      <c r="A5" s="2549" t="s">
        <v>2671</v>
      </c>
      <c r="B5" s="2550"/>
      <c r="C5" s="2551"/>
      <c r="D5" s="2552"/>
      <c r="E5" s="2835"/>
      <c r="F5" s="2835"/>
      <c r="G5" s="2835"/>
      <c r="H5" s="2835"/>
      <c r="I5" s="2835"/>
      <c r="J5" s="2611"/>
      <c r="K5" s="2548" t="str">
        <f>IF(F4="——","",IF(H4="——",F4&amp;"（注册号："&amp;G4&amp;")",CONCATENATE(F4,"（注册号：",G4,")、",H4,"（注册号：",I4,")")))</f>
        <v>（注册号：0)、（注册号：0)</v>
      </c>
      <c r="L5" s="2539"/>
      <c r="M5" s="2539"/>
      <c r="N5" s="2540"/>
      <c r="O5" s="1709"/>
      <c r="P5" s="2540"/>
      <c r="Q5" s="2540"/>
      <c r="R5" s="2540"/>
      <c r="S5" s="1879"/>
      <c r="T5" s="1879"/>
      <c r="U5" s="1879"/>
      <c r="V5" s="1879"/>
      <c r="W5" s="1879"/>
      <c r="X5" s="1879"/>
      <c r="Y5" s="1879"/>
      <c r="Z5" s="1879"/>
      <c r="AA5" s="1879"/>
      <c r="AB5" s="1879"/>
    </row>
    <row r="6" spans="1:28">
      <c r="A6" s="2553" t="s">
        <v>2672</v>
      </c>
      <c r="B6" s="2554"/>
      <c r="C6" s="2555"/>
      <c r="D6" s="2556"/>
      <c r="E6" s="2833"/>
      <c r="F6" s="2835"/>
      <c r="G6" s="2835"/>
      <c r="H6" s="2835"/>
      <c r="I6" s="2835"/>
      <c r="J6" s="2611"/>
      <c r="K6" s="2785" t="str">
        <f>IF(COUNTIF(B6,"*上海银行*"),"上海银行","")</f>
        <v/>
      </c>
      <c r="L6" s="2783"/>
      <c r="M6" s="2783"/>
      <c r="N6" s="2611"/>
      <c r="O6" s="2622"/>
      <c r="P6" s="2611"/>
      <c r="Q6" s="2611"/>
      <c r="R6" s="2611"/>
    </row>
    <row r="7" spans="1:28">
      <c r="A7" s="2553" t="s">
        <v>2673</v>
      </c>
      <c r="B7" s="2557"/>
      <c r="C7" s="2555"/>
      <c r="D7" s="2556"/>
      <c r="E7" s="2833"/>
      <c r="F7" s="2835"/>
      <c r="G7" s="2835"/>
      <c r="H7" s="2835"/>
      <c r="I7" s="2835"/>
      <c r="J7" s="2611"/>
      <c r="K7" s="2786"/>
      <c r="L7" s="2783"/>
      <c r="M7" s="2783"/>
      <c r="N7" s="2611"/>
      <c r="O7" s="2622"/>
      <c r="P7" s="2611"/>
      <c r="Q7" s="2611"/>
      <c r="R7" s="2611"/>
    </row>
    <row r="8" spans="1:28">
      <c r="A8" s="2558" t="s">
        <v>2674</v>
      </c>
      <c r="B8" s="2559" t="s">
        <v>3170</v>
      </c>
      <c r="C8" s="2560"/>
      <c r="D8" s="3339" t="s">
        <v>2675</v>
      </c>
      <c r="E8" s="2561" t="s">
        <v>3171</v>
      </c>
      <c r="F8" s="2562"/>
      <c r="G8" s="2834"/>
      <c r="H8" s="2834"/>
      <c r="I8" s="2834"/>
      <c r="J8" s="2611"/>
      <c r="K8" s="2784"/>
      <c r="L8" s="2783"/>
      <c r="M8" s="2783"/>
      <c r="N8" s="2611"/>
      <c r="O8" s="2622"/>
      <c r="P8" s="2611"/>
      <c r="Q8" s="2611"/>
      <c r="R8" s="2611"/>
    </row>
    <row r="9" spans="1:28" ht="13.5" thickBot="1">
      <c r="A9" s="2563" t="s">
        <v>2676</v>
      </c>
      <c r="B9" s="2564" t="s">
        <v>3171</v>
      </c>
      <c r="C9" s="2565"/>
      <c r="D9" s="3340"/>
      <c r="E9" s="2564" t="s">
        <v>70</v>
      </c>
      <c r="F9" s="2566"/>
      <c r="G9" s="2836"/>
      <c r="H9" s="2836"/>
      <c r="I9" s="2836"/>
      <c r="J9" s="2611"/>
      <c r="K9" s="2786"/>
      <c r="L9" s="2783"/>
      <c r="M9" s="2783"/>
      <c r="N9" s="2611"/>
      <c r="O9" s="2622"/>
      <c r="P9" s="2611"/>
      <c r="Q9" s="2611"/>
      <c r="R9" s="2611"/>
    </row>
    <row r="10" spans="1:28" ht="13.5" thickTop="1">
      <c r="A10" s="2567" t="s">
        <v>2677</v>
      </c>
      <c r="B10" s="2568" t="s">
        <v>3172</v>
      </c>
      <c r="C10" s="2569"/>
      <c r="D10" s="2552"/>
      <c r="E10" s="2570" t="s">
        <v>2678</v>
      </c>
      <c r="F10" s="2837" t="s">
        <v>3175</v>
      </c>
      <c r="G10" s="2838"/>
      <c r="H10" s="2839"/>
      <c r="I10" s="2840"/>
      <c r="J10" s="2611"/>
      <c r="K10" s="2786"/>
      <c r="L10" s="2783"/>
      <c r="M10" s="2783"/>
      <c r="N10" s="2611"/>
      <c r="O10" s="2622"/>
      <c r="P10" s="2611"/>
      <c r="Q10" s="2611"/>
      <c r="R10" s="2611"/>
    </row>
    <row r="11" spans="1:28">
      <c r="A11" s="2571" t="s">
        <v>2679</v>
      </c>
      <c r="B11" s="2572" t="s">
        <v>3173</v>
      </c>
      <c r="C11" s="2573"/>
      <c r="D11" s="2574"/>
      <c r="E11" s="2540"/>
      <c r="F11" s="2540"/>
      <c r="G11" s="2540"/>
      <c r="H11" s="2540"/>
      <c r="I11" s="2540"/>
      <c r="J11" s="2611"/>
      <c r="K11" s="2786"/>
      <c r="L11" s="2783"/>
      <c r="M11" s="2783"/>
      <c r="N11" s="2611"/>
      <c r="O11" s="2622"/>
      <c r="P11" s="2611"/>
      <c r="Q11" s="2611"/>
      <c r="R11" s="2611"/>
    </row>
    <row r="12" spans="1:28">
      <c r="A12" s="2575" t="s">
        <v>2680</v>
      </c>
      <c r="B12" s="2572" t="s">
        <v>3174</v>
      </c>
      <c r="C12" s="329" t="s">
        <v>2681</v>
      </c>
      <c r="D12" s="2576" t="s">
        <v>2682</v>
      </c>
      <c r="E12" s="2576" t="s">
        <v>2683</v>
      </c>
      <c r="F12" s="2576" t="s">
        <v>2684</v>
      </c>
      <c r="G12" s="2576" t="s">
        <v>2685</v>
      </c>
      <c r="H12" s="2576" t="s">
        <v>2686</v>
      </c>
      <c r="I12" s="2576" t="s">
        <v>2687</v>
      </c>
      <c r="J12" s="2611"/>
      <c r="K12" s="2786"/>
      <c r="L12" s="2783"/>
      <c r="M12" s="2783"/>
      <c r="N12" s="2611"/>
      <c r="O12" s="2622"/>
      <c r="P12" s="2611"/>
      <c r="Q12" s="2611"/>
      <c r="R12" s="2611"/>
    </row>
    <row r="13" spans="1:28">
      <c r="A13" s="1191"/>
      <c r="B13" s="2577"/>
      <c r="C13" s="2578" t="s">
        <v>2688</v>
      </c>
      <c r="D13" s="943"/>
      <c r="E13" s="943">
        <v>52662</v>
      </c>
      <c r="F13" s="943">
        <v>56314</v>
      </c>
      <c r="G13" s="943"/>
      <c r="H13" s="943"/>
      <c r="I13" s="943"/>
      <c r="J13" s="2611"/>
      <c r="K13" s="2786"/>
      <c r="L13" s="2783"/>
      <c r="M13" s="2783"/>
      <c r="N13" s="2611"/>
      <c r="O13" s="2622"/>
      <c r="P13" s="2611"/>
      <c r="Q13" s="2611"/>
      <c r="R13" s="2611"/>
    </row>
    <row r="14" spans="1:28">
      <c r="A14" s="1191"/>
      <c r="B14" s="2577"/>
      <c r="C14" s="2578" t="s">
        <v>2689</v>
      </c>
      <c r="D14" s="2579"/>
      <c r="E14" s="2579">
        <v>40</v>
      </c>
      <c r="F14" s="2579">
        <v>50</v>
      </c>
      <c r="G14" s="2579"/>
      <c r="H14" s="2579"/>
      <c r="I14" s="2579"/>
      <c r="J14" s="2611"/>
      <c r="K14" s="2787"/>
      <c r="L14" s="2783"/>
      <c r="M14" s="2783"/>
      <c r="N14" s="2611"/>
      <c r="O14" s="2622"/>
      <c r="P14" s="2611"/>
      <c r="Q14" s="2611"/>
      <c r="R14" s="2611"/>
    </row>
    <row r="15" spans="1:28">
      <c r="A15" s="326"/>
      <c r="B15" s="2580"/>
      <c r="C15" s="2581" t="s">
        <v>2690</v>
      </c>
      <c r="D15" s="2582" t="str">
        <f>IF(B12="出让",IF(D13="","",ROUNDDOWN(MIN((D13-$D$3)/365,D14),2)),D14)</f>
        <v/>
      </c>
      <c r="E15" s="2582">
        <f>IF(B12="出让",IF(E13="","",ROUNDDOWN(MIN((E13-$D$3)/365,E14),2)),E14)</f>
        <v>21.54</v>
      </c>
      <c r="F15" s="2582">
        <f>IF(B12="出让",IF(F13="","",ROUNDDOWN(MIN((F13-$D$3)/365,F14),2)),F14)</f>
        <v>31.55</v>
      </c>
      <c r="G15" s="2582" t="str">
        <f>IF(B12="出让",IF(G13="","",ROUNDDOWN(MIN((G13-$D$3)/365,G14),2)),G14)</f>
        <v/>
      </c>
      <c r="H15" s="2582" t="str">
        <f>IF(B12="出让",IF(H13="","",ROUNDDOWN(MIN((H13-$D$3)/365,H14),2)),H14)</f>
        <v/>
      </c>
      <c r="I15" s="2582" t="str">
        <f>IF(B12="出让",IF(I13="","",ROUNDDOWN(MIN((I13-$D$3)/365,I14),2)),I14)</f>
        <v/>
      </c>
      <c r="J15" s="2611"/>
      <c r="K15" s="2788"/>
      <c r="L15" s="2623"/>
      <c r="M15" s="2623"/>
      <c r="N15" s="2679"/>
      <c r="O15" s="2623"/>
      <c r="P15" s="2679"/>
      <c r="Q15" s="2611"/>
      <c r="R15" s="2611"/>
    </row>
    <row r="16" spans="1:28">
      <c r="A16" s="2570" t="s">
        <v>2691</v>
      </c>
      <c r="B16" s="3346"/>
      <c r="C16" s="3347"/>
      <c r="D16" s="3348"/>
      <c r="E16" s="2585" t="s">
        <v>2692</v>
      </c>
      <c r="F16" s="3349"/>
      <c r="G16" s="3350"/>
      <c r="H16" s="3350"/>
      <c r="I16" s="3351"/>
      <c r="J16" s="2611"/>
      <c r="K16" s="2788"/>
      <c r="L16" s="2623"/>
      <c r="M16" s="2623"/>
      <c r="N16" s="2679"/>
      <c r="O16" s="2623"/>
      <c r="P16" s="2679"/>
      <c r="Q16" s="2611"/>
      <c r="R16" s="2611"/>
    </row>
    <row r="17" spans="1:28">
      <c r="A17" s="319" t="s">
        <v>2693</v>
      </c>
      <c r="B17" s="308" t="s">
        <v>2694</v>
      </c>
      <c r="C17" s="11">
        <f>'数据-汇总表'!E3</f>
        <v>199.12</v>
      </c>
      <c r="D17" s="2492" t="s">
        <v>2695</v>
      </c>
      <c r="E17" s="3352" t="s">
        <v>2696</v>
      </c>
      <c r="F17" s="3353"/>
      <c r="G17" s="3353"/>
      <c r="H17" s="3353"/>
      <c r="I17" s="3354"/>
      <c r="J17" s="2611"/>
      <c r="K17" s="2789"/>
      <c r="L17" s="2623"/>
      <c r="M17" s="2623"/>
      <c r="N17" s="2679"/>
      <c r="O17" s="2623"/>
      <c r="P17" s="2679"/>
      <c r="Q17" s="2611"/>
      <c r="R17" s="2611"/>
      <c r="S17" s="2611"/>
      <c r="T17" s="2611"/>
      <c r="U17" s="2611"/>
      <c r="V17" s="2611"/>
    </row>
    <row r="18" spans="1:28" ht="24.75" thickBot="1">
      <c r="A18" s="2586" t="s">
        <v>2697</v>
      </c>
      <c r="B18" s="1200" t="s">
        <v>2698</v>
      </c>
      <c r="C18" s="2587">
        <f>'数据-汇总表'!D3</f>
        <v>22.44</v>
      </c>
      <c r="D18" s="1202" t="s">
        <v>2699</v>
      </c>
      <c r="E18" s="3355" t="s">
        <v>2700</v>
      </c>
      <c r="F18" s="3356"/>
      <c r="G18" s="3356"/>
      <c r="H18" s="3356"/>
      <c r="I18" s="3357"/>
      <c r="J18" s="2611"/>
      <c r="K18" s="2789"/>
      <c r="L18" s="2623"/>
      <c r="M18" s="2623"/>
      <c r="N18" s="2679"/>
      <c r="O18" s="2623"/>
      <c r="P18" s="2679"/>
      <c r="Q18" s="2611"/>
      <c r="R18" s="2611"/>
      <c r="S18" s="2611"/>
      <c r="T18" s="2611"/>
      <c r="U18" s="2611"/>
      <c r="V18" s="2611"/>
    </row>
    <row r="19" spans="1:28" ht="37.5" thickTop="1" thickBot="1">
      <c r="A19" s="333" t="s">
        <v>1500</v>
      </c>
      <c r="B19" s="313" t="s">
        <v>2701</v>
      </c>
      <c r="C19" s="1696" t="s">
        <v>3176</v>
      </c>
      <c r="D19" s="1697" t="s">
        <v>2702</v>
      </c>
      <c r="E19" s="1698"/>
      <c r="F19" s="1699" t="str">
        <f>IF(AND(C19="是",E19="否"),"是否提供他项权证或相关说明","")</f>
        <v/>
      </c>
      <c r="G19" s="1700"/>
      <c r="H19" s="2835"/>
      <c r="I19" s="2835"/>
      <c r="J19" s="2611"/>
      <c r="K19" s="2786"/>
      <c r="L19" s="2783"/>
      <c r="M19" s="2783"/>
      <c r="N19" s="2679"/>
      <c r="O19" s="2623"/>
      <c r="P19" s="2679"/>
      <c r="Q19" s="2611"/>
      <c r="R19" s="2611"/>
      <c r="S19" s="2611"/>
      <c r="T19" s="2611"/>
      <c r="U19" s="2611"/>
      <c r="V19" s="2611"/>
    </row>
    <row r="20" spans="1:28">
      <c r="A20" s="2803" t="s">
        <v>2703</v>
      </c>
      <c r="B20" s="3342" t="s">
        <v>2704</v>
      </c>
      <c r="C20" s="3343"/>
      <c r="D20" s="3344" t="s">
        <v>2705</v>
      </c>
      <c r="E20" s="3345"/>
      <c r="F20" s="2818" t="s">
        <v>1501</v>
      </c>
      <c r="G20" s="2835"/>
      <c r="H20" s="2835"/>
      <c r="I20" s="2835"/>
      <c r="J20" s="2611"/>
      <c r="K20" s="3341"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9"/>
      <c r="X20" s="1879"/>
      <c r="Y20" s="1879"/>
      <c r="Z20" s="1879"/>
      <c r="AA20" s="1879"/>
      <c r="AB20" s="1879"/>
    </row>
    <row r="21" spans="1:28" ht="24.75" thickBot="1">
      <c r="A21" s="2803"/>
      <c r="B21" s="2804" t="s">
        <v>2707</v>
      </c>
      <c r="C21" s="2805" t="s">
        <v>1502</v>
      </c>
      <c r="D21" s="1701" t="s">
        <v>2708</v>
      </c>
      <c r="E21" s="2806" t="s">
        <v>1502</v>
      </c>
      <c r="F21" s="2819"/>
      <c r="G21" s="2835"/>
      <c r="H21" s="2835"/>
      <c r="I21" s="2835"/>
      <c r="J21" s="2611"/>
      <c r="K21" s="3341"/>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9"/>
      <c r="X21" s="1879"/>
      <c r="Y21" s="1879"/>
      <c r="Z21" s="1879"/>
      <c r="AA21" s="1879"/>
      <c r="AB21" s="1879"/>
    </row>
    <row r="22" spans="1:28" ht="24.75" thickBot="1">
      <c r="A22" s="2803"/>
      <c r="B22" s="2807" t="s">
        <v>2709</v>
      </c>
      <c r="C22" s="2805" t="s">
        <v>1503</v>
      </c>
      <c r="D22" s="2834"/>
      <c r="E22" s="2834"/>
      <c r="F22" s="2834"/>
      <c r="G22" s="2835"/>
      <c r="H22" s="2835"/>
      <c r="I22" s="2835"/>
      <c r="J22" s="2611"/>
      <c r="K22" s="3341"/>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9"/>
      <c r="X22" s="1879"/>
      <c r="Y22" s="1879"/>
      <c r="Z22" s="1879"/>
      <c r="AA22" s="1879"/>
      <c r="AB22" s="1879"/>
    </row>
    <row r="23" spans="1:28">
      <c r="A23" s="2808" t="s">
        <v>2710</v>
      </c>
      <c r="B23" s="2672" t="s">
        <v>2711</v>
      </c>
      <c r="C23" s="2809"/>
      <c r="D23" s="2810" t="s">
        <v>2711</v>
      </c>
      <c r="E23" s="2811"/>
      <c r="F23" s="2834"/>
      <c r="G23" s="2835"/>
      <c r="H23" s="2835"/>
      <c r="I23" s="2835"/>
      <c r="J23" s="2611"/>
      <c r="K23" s="2790"/>
      <c r="L23" s="2646"/>
      <c r="M23" s="2783"/>
      <c r="N23" s="2679"/>
      <c r="O23" s="2623"/>
      <c r="P23" s="2679"/>
      <c r="Q23" s="2611"/>
      <c r="R23" s="2611"/>
      <c r="S23" s="2611"/>
      <c r="T23" s="2611"/>
      <c r="U23" s="2611"/>
      <c r="V23" s="2611"/>
    </row>
    <row r="24" spans="1:28">
      <c r="A24" s="2808"/>
      <c r="B24" s="2672" t="s">
        <v>1504</v>
      </c>
      <c r="C24" s="2812"/>
      <c r="D24" s="2808" t="s">
        <v>1504</v>
      </c>
      <c r="E24" s="2813"/>
      <c r="F24" s="2834"/>
      <c r="G24" s="2835"/>
      <c r="H24" s="2835"/>
      <c r="I24" s="2835"/>
      <c r="J24" s="2611"/>
      <c r="K24" s="2790"/>
      <c r="L24" s="2646"/>
      <c r="M24" s="2783"/>
      <c r="N24" s="2679"/>
      <c r="O24" s="2623"/>
      <c r="P24" s="2679"/>
      <c r="Q24" s="2611"/>
      <c r="R24" s="2611"/>
      <c r="S24" s="2611"/>
      <c r="T24" s="2611"/>
      <c r="U24" s="2611"/>
      <c r="V24" s="2611"/>
    </row>
    <row r="25" spans="1:28">
      <c r="A25" s="2808"/>
      <c r="B25" s="2672" t="s">
        <v>1505</v>
      </c>
      <c r="C25" s="2812"/>
      <c r="D25" s="2808" t="s">
        <v>1505</v>
      </c>
      <c r="E25" s="2813"/>
      <c r="F25" s="2834"/>
      <c r="G25" s="2835"/>
      <c r="H25" s="2835"/>
      <c r="I25" s="2835"/>
      <c r="J25" s="2611"/>
      <c r="K25" s="2786"/>
      <c r="L25" s="2783"/>
      <c r="M25" s="2783"/>
      <c r="N25" s="2679"/>
      <c r="O25" s="2623"/>
      <c r="P25" s="2679"/>
      <c r="Q25" s="2611"/>
      <c r="R25" s="2611"/>
      <c r="S25" s="2611"/>
      <c r="T25" s="2611"/>
      <c r="U25" s="2611"/>
      <c r="V25" s="2611"/>
    </row>
    <row r="26" spans="1:28" ht="13.5" thickBot="1">
      <c r="A26" s="2814"/>
      <c r="B26" s="2815" t="s">
        <v>1506</v>
      </c>
      <c r="C26" s="2816"/>
      <c r="D26" s="2814" t="s">
        <v>1506</v>
      </c>
      <c r="E26" s="2817"/>
      <c r="F26" s="2836"/>
      <c r="G26" s="2836"/>
      <c r="H26" s="2836"/>
      <c r="I26" s="2836"/>
      <c r="J26" s="2611"/>
      <c r="K26" s="2786"/>
      <c r="L26" s="2783"/>
      <c r="M26" s="2783"/>
      <c r="N26" s="2679"/>
      <c r="O26" s="2623"/>
      <c r="P26" s="2679"/>
      <c r="Q26" s="2611"/>
      <c r="R26" s="2611"/>
      <c r="S26" s="2611"/>
      <c r="T26" s="2611"/>
      <c r="U26" s="2611"/>
      <c r="V26" s="2611"/>
    </row>
    <row r="27" spans="1:28" ht="13.5" thickTop="1">
      <c r="A27" s="3359" t="s">
        <v>2712</v>
      </c>
      <c r="B27" s="326" t="s">
        <v>2713</v>
      </c>
      <c r="C27" s="2588"/>
      <c r="D27" s="2589"/>
      <c r="E27" s="2835"/>
      <c r="F27" s="2835"/>
      <c r="G27" s="2835"/>
      <c r="H27" s="2835"/>
      <c r="I27" s="2835"/>
      <c r="J27" s="2611"/>
      <c r="K27" s="2788"/>
      <c r="L27" s="2623"/>
      <c r="M27" s="2623"/>
      <c r="N27" s="2679"/>
      <c r="O27" s="2623"/>
      <c r="P27" s="2679"/>
      <c r="Q27" s="2611"/>
      <c r="R27" s="2611"/>
      <c r="S27" s="2611"/>
      <c r="T27" s="2611"/>
      <c r="U27" s="2611"/>
      <c r="V27" s="2611"/>
    </row>
    <row r="28" spans="1:28">
      <c r="A28" s="3359"/>
      <c r="B28" s="308" t="s">
        <v>2714</v>
      </c>
      <c r="C28" s="2590"/>
      <c r="D28" s="2591"/>
      <c r="E28" s="2835"/>
      <c r="F28" s="2835"/>
      <c r="G28" s="2835"/>
      <c r="H28" s="2835"/>
      <c r="I28" s="2835"/>
      <c r="J28" s="2611"/>
      <c r="K28" s="2786"/>
      <c r="L28" s="2783"/>
      <c r="M28" s="2783"/>
      <c r="N28" s="2611"/>
      <c r="O28" s="2622"/>
      <c r="P28" s="2611"/>
      <c r="Q28" s="2611"/>
      <c r="R28" s="2611"/>
      <c r="S28" s="2611"/>
      <c r="T28" s="2611"/>
      <c r="U28" s="2611"/>
      <c r="V28" s="2611"/>
    </row>
    <row r="29" spans="1:28">
      <c r="A29" s="3359"/>
      <c r="B29" s="308" t="s">
        <v>2715</v>
      </c>
      <c r="C29" s="2592"/>
      <c r="D29" s="2593"/>
      <c r="E29" s="2835"/>
      <c r="F29" s="2835"/>
      <c r="G29" s="2835"/>
      <c r="H29" s="2835"/>
      <c r="I29" s="2835"/>
      <c r="J29" s="2611"/>
      <c r="K29" s="2786"/>
      <c r="L29" s="2783"/>
      <c r="M29" s="2783"/>
      <c r="N29" s="2611"/>
      <c r="O29" s="2622"/>
      <c r="P29" s="2611"/>
      <c r="Q29" s="2611"/>
      <c r="R29" s="2611"/>
      <c r="S29" s="2611"/>
      <c r="T29" s="2611"/>
      <c r="U29" s="2611"/>
      <c r="V29" s="2611"/>
    </row>
    <row r="30" spans="1:28">
      <c r="A30" s="3360"/>
      <c r="B30" s="308" t="s">
        <v>2716</v>
      </c>
      <c r="C30" s="3361"/>
      <c r="D30" s="3362"/>
      <c r="E30" s="2835"/>
      <c r="F30" s="2835"/>
      <c r="G30" s="2835"/>
      <c r="H30" s="2835"/>
      <c r="I30" s="2835"/>
      <c r="J30" s="2611"/>
      <c r="K30" s="2786"/>
      <c r="L30" s="2783"/>
      <c r="M30" s="2783"/>
      <c r="N30" s="2611"/>
      <c r="O30" s="2622"/>
      <c r="P30" s="2611"/>
      <c r="Q30" s="2611"/>
      <c r="R30" s="2611"/>
      <c r="S30" s="2611"/>
      <c r="T30" s="2611"/>
      <c r="U30" s="2611"/>
      <c r="V30" s="2611"/>
    </row>
    <row r="31" spans="1:28">
      <c r="A31" s="3363" t="s">
        <v>2717</v>
      </c>
      <c r="B31" s="2594"/>
      <c r="C31" s="2493" t="str">
        <f>IF(B31="现房","成新及维护状况正常否",IF(B31="在建","工程状态是否正常",IF(B31="土地","是否闲置","-")))</f>
        <v>-</v>
      </c>
      <c r="D31" s="1505"/>
      <c r="E31" s="2595"/>
      <c r="F31" s="2835"/>
      <c r="G31" s="2835"/>
      <c r="H31" s="2835"/>
      <c r="I31" s="2835"/>
      <c r="J31" s="2611"/>
      <c r="K31" s="2785"/>
      <c r="L31" s="2783"/>
      <c r="M31" s="2783"/>
      <c r="N31" s="2611"/>
      <c r="O31" s="2622"/>
      <c r="P31" s="2611"/>
      <c r="Q31" s="2611"/>
      <c r="R31" s="2611"/>
      <c r="S31" s="2611"/>
      <c r="T31" s="2611"/>
      <c r="U31" s="2611"/>
      <c r="V31" s="2611"/>
    </row>
    <row r="32" spans="1:28">
      <c r="A32" s="3364"/>
      <c r="B32" s="2594"/>
      <c r="C32" s="2493" t="str">
        <f>IF(B32="现房","成新及维护状况是否正常",IF(B32="在建","工程状态是否正常",IF(B32="土地","是否闲置","-")))</f>
        <v>-</v>
      </c>
      <c r="D32" s="1505"/>
      <c r="E32" s="2595"/>
      <c r="F32" s="2835"/>
      <c r="G32" s="2835"/>
      <c r="H32" s="2835"/>
      <c r="I32" s="2835"/>
      <c r="J32" s="2611"/>
      <c r="K32" s="2786"/>
      <c r="L32" s="2783"/>
      <c r="M32" s="2783"/>
      <c r="N32" s="2611"/>
      <c r="O32" s="2622"/>
      <c r="P32" s="2611"/>
      <c r="Q32" s="2611"/>
      <c r="R32" s="2611"/>
      <c r="S32" s="2611"/>
      <c r="T32" s="2611"/>
      <c r="U32" s="2611"/>
      <c r="V32" s="2611"/>
    </row>
    <row r="33" spans="1:30">
      <c r="A33" s="3364"/>
      <c r="B33" s="2597"/>
      <c r="C33" s="1723" t="str">
        <f>IF(B33="现房","成新及维护状况是否正常",IF(B33="在建","工程状态是否正常",IF(B33="土地","是否闲置","-")))</f>
        <v>-</v>
      </c>
      <c r="D33" s="1497"/>
      <c r="E33" s="2598"/>
      <c r="F33" s="2835"/>
      <c r="G33" s="2835"/>
      <c r="H33" s="2835"/>
      <c r="I33" s="2835"/>
      <c r="J33" s="2611"/>
      <c r="K33" s="2786"/>
      <c r="L33" s="2783"/>
      <c r="M33" s="2783"/>
      <c r="N33" s="2611"/>
      <c r="O33" s="2622"/>
      <c r="P33" s="2611"/>
      <c r="Q33" s="2611"/>
      <c r="R33" s="2611"/>
      <c r="S33" s="2611"/>
      <c r="T33" s="2611"/>
      <c r="U33" s="2611"/>
      <c r="V33" s="2611"/>
    </row>
    <row r="34" spans="1:30">
      <c r="A34" s="308" t="s">
        <v>2718</v>
      </c>
      <c r="B34" s="2161" t="s">
        <v>3177</v>
      </c>
      <c r="C34" s="2161" t="s">
        <v>3178</v>
      </c>
      <c r="D34" s="2161" t="s">
        <v>3179</v>
      </c>
      <c r="E34" s="2161" t="s">
        <v>3180</v>
      </c>
      <c r="F34" s="2161" t="s">
        <v>3181</v>
      </c>
      <c r="G34" s="2161" t="s">
        <v>3182</v>
      </c>
      <c r="H34" s="2161"/>
      <c r="I34" s="2835"/>
      <c r="J34" s="2611"/>
      <c r="K34" s="2599">
        <f>COUNTIF(B34:H34,"——")</f>
        <v>0</v>
      </c>
      <c r="L34" s="329" t="s">
        <v>2719</v>
      </c>
      <c r="M34" s="329" t="s">
        <v>2720</v>
      </c>
      <c r="N34" s="329" t="s">
        <v>2721</v>
      </c>
      <c r="O34" s="329" t="s">
        <v>2722</v>
      </c>
      <c r="P34" s="329" t="s">
        <v>2723</v>
      </c>
      <c r="Q34" s="329" t="s">
        <v>2724</v>
      </c>
      <c r="R34" s="329" t="s">
        <v>2725</v>
      </c>
      <c r="S34" s="3358" t="s">
        <v>2726</v>
      </c>
      <c r="T34" s="2600" t="str">
        <f>NUMBERSTRING(7-K34,1)&amp;"通"</f>
        <v>七通</v>
      </c>
      <c r="U34" s="2611"/>
      <c r="V34" s="2611"/>
    </row>
    <row r="35" spans="1:30">
      <c r="A35" s="2601"/>
      <c r="B35" s="3365" t="s">
        <v>2727</v>
      </c>
      <c r="C35" s="3365"/>
      <c r="D35" s="3365"/>
      <c r="E35" s="3365"/>
      <c r="F35" s="670">
        <f>C10</f>
        <v>0</v>
      </c>
      <c r="G35" s="2835"/>
      <c r="H35" s="2835"/>
      <c r="I35" s="2835"/>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58"/>
      <c r="T35" s="335" t="str">
        <f>IF(T34="一通",L35,IF(T34="二通",M35,IF(T34="三通",N35,IF(T34="四通",O35,IF(T34="五通",P35,IF(T34="六通",Q35,R35))))))</f>
        <v>通路、通电、通讯、通上水、通下水、燃气、</v>
      </c>
      <c r="U35" s="2611"/>
      <c r="V35" s="2611"/>
    </row>
    <row r="36" spans="1:30">
      <c r="A36" s="2602"/>
      <c r="B36" s="670" t="s">
        <v>2683</v>
      </c>
      <c r="C36" s="670" t="s">
        <v>2684</v>
      </c>
      <c r="D36" s="670" t="s">
        <v>2682</v>
      </c>
      <c r="E36" s="670" t="s">
        <v>2687</v>
      </c>
      <c r="F36" s="2841"/>
      <c r="G36" s="2835"/>
      <c r="H36" s="2835"/>
      <c r="I36" s="2835"/>
      <c r="J36" s="2611"/>
      <c r="K36" s="2786"/>
      <c r="L36" s="2783"/>
      <c r="M36" s="2783"/>
      <c r="N36" s="2611"/>
      <c r="O36" s="2622"/>
      <c r="P36" s="2611"/>
      <c r="Q36" s="2611"/>
      <c r="R36" s="2611"/>
      <c r="S36" s="2611"/>
      <c r="T36" s="2611"/>
      <c r="U36" s="2611"/>
      <c r="V36" s="2611"/>
    </row>
    <row r="37" spans="1:30">
      <c r="A37" s="2801" t="s">
        <v>2728</v>
      </c>
      <c r="B37" s="2603"/>
      <c r="C37" s="2603"/>
      <c r="D37" s="2603"/>
      <c r="E37" s="2603"/>
      <c r="F37" s="2841"/>
      <c r="G37" s="2835"/>
      <c r="H37" s="2835"/>
      <c r="I37" s="2835"/>
      <c r="J37" s="2611"/>
      <c r="K37" s="2786"/>
      <c r="L37" s="2783"/>
      <c r="M37" s="2783"/>
      <c r="N37" s="2611"/>
      <c r="O37" s="2622"/>
      <c r="P37" s="2611"/>
      <c r="Q37" s="2611"/>
      <c r="R37" s="2611"/>
      <c r="S37" s="2611"/>
      <c r="T37" s="2611"/>
      <c r="U37" s="2611"/>
      <c r="V37" s="2611"/>
    </row>
    <row r="38" spans="1:30" ht="13.5" thickBot="1">
      <c r="A38" s="2802" t="s">
        <v>2729</v>
      </c>
      <c r="B38" s="2604"/>
      <c r="C38" s="2604"/>
      <c r="D38" s="2604"/>
      <c r="E38" s="2604"/>
      <c r="F38" s="2842"/>
      <c r="G38" s="2836"/>
      <c r="H38" s="2836"/>
      <c r="I38" s="2836"/>
      <c r="J38" s="2611"/>
      <c r="K38" s="2786"/>
      <c r="L38" s="2783"/>
      <c r="M38" s="2783"/>
      <c r="N38" s="2611"/>
      <c r="O38" s="2622"/>
      <c r="P38" s="2611"/>
      <c r="Q38" s="2611"/>
      <c r="R38" s="2611"/>
      <c r="S38" s="2611"/>
      <c r="T38" s="2611"/>
      <c r="U38" s="2611"/>
      <c r="V38" s="2611"/>
    </row>
    <row r="39" spans="1:30" s="2607" customFormat="1" ht="14.25" thickTop="1" thickBot="1">
      <c r="A39" s="2605" t="s">
        <v>2730</v>
      </c>
      <c r="B39" s="2606"/>
      <c r="C39" s="2606"/>
      <c r="D39" s="2606"/>
      <c r="E39" s="2606"/>
      <c r="F39" s="2606"/>
      <c r="G39" s="2606"/>
      <c r="H39" s="2606"/>
      <c r="I39" s="2606"/>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3"/>
      <c r="M40" s="2623"/>
      <c r="N40" s="2679"/>
      <c r="O40" s="2623"/>
      <c r="P40" s="2611"/>
      <c r="Q40" s="2611"/>
      <c r="R40" s="2611"/>
      <c r="S40" s="2611"/>
      <c r="T40" s="2611"/>
      <c r="U40" s="2611"/>
      <c r="V40" s="2611"/>
    </row>
    <row r="41" spans="1:30">
      <c r="A41" s="2608" t="s">
        <v>2731</v>
      </c>
      <c r="B41" s="1891"/>
      <c r="C41" s="1505"/>
      <c r="D41" s="2540"/>
      <c r="E41" s="2540"/>
      <c r="F41" s="2540"/>
      <c r="G41" s="2540"/>
      <c r="H41" s="2540"/>
      <c r="I41" s="1709"/>
      <c r="J41" s="2611"/>
      <c r="K41" s="2786"/>
      <c r="L41" s="2783"/>
      <c r="M41" s="2783"/>
      <c r="N41" s="2611"/>
      <c r="O41" s="2622"/>
      <c r="P41" s="2611"/>
      <c r="Q41" s="2611"/>
      <c r="R41" s="2611"/>
      <c r="S41" s="2611"/>
      <c r="T41" s="2611"/>
      <c r="U41" s="2611"/>
      <c r="V41" s="2611"/>
    </row>
    <row r="42" spans="1:30" ht="25.5">
      <c r="A42" s="329" t="s">
        <v>2732</v>
      </c>
      <c r="B42" s="11" t="s">
        <v>2733</v>
      </c>
      <c r="C42" s="11" t="s">
        <v>2734</v>
      </c>
      <c r="D42" s="11" t="s">
        <v>2735</v>
      </c>
      <c r="E42" s="11" t="s">
        <v>2736</v>
      </c>
      <c r="F42" s="11" t="s">
        <v>2737</v>
      </c>
      <c r="G42" s="11" t="s">
        <v>2738</v>
      </c>
      <c r="H42" s="11" t="s">
        <v>2739</v>
      </c>
      <c r="I42" s="11" t="s">
        <v>2740</v>
      </c>
      <c r="J42" s="2797" t="s">
        <v>2741</v>
      </c>
      <c r="K42" s="2798" t="s">
        <v>2742</v>
      </c>
      <c r="L42" s="2798" t="s">
        <v>2743</v>
      </c>
      <c r="M42" s="2798" t="s">
        <v>2744</v>
      </c>
      <c r="N42" s="2791" t="s">
        <v>2745</v>
      </c>
      <c r="O42" s="2791" t="s">
        <v>2746</v>
      </c>
      <c r="P42" s="2791" t="s">
        <v>2747</v>
      </c>
      <c r="Q42" s="2792" t="s">
        <v>2748</v>
      </c>
      <c r="R42" s="2792" t="s">
        <v>2749</v>
      </c>
      <c r="S42" s="2611"/>
      <c r="T42" s="2611"/>
      <c r="U42" s="2611"/>
      <c r="V42" s="2611"/>
    </row>
    <row r="43" spans="1:30" s="1877"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7"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7"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7"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7"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7"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7"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7"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7" customFormat="1">
      <c r="A51" s="1703"/>
      <c r="B51" s="1703"/>
      <c r="C51" s="1160"/>
      <c r="D51" s="1160"/>
      <c r="E51" s="1160"/>
      <c r="F51" s="1160"/>
      <c r="G51" s="1160"/>
      <c r="H51" s="1160"/>
      <c r="I51" s="1160"/>
      <c r="J51" s="2609"/>
      <c r="K51" s="2610"/>
      <c r="L51" s="2610"/>
      <c r="M51" s="1160"/>
      <c r="N51" s="1160"/>
      <c r="O51" s="1160"/>
      <c r="P51" s="1160"/>
      <c r="Q51" s="1160"/>
      <c r="R51" s="1160"/>
    </row>
    <row r="52" spans="1:22" s="1877" customFormat="1">
      <c r="A52" s="1703"/>
      <c r="B52" s="1703"/>
      <c r="C52" s="1703"/>
      <c r="D52" s="1703"/>
      <c r="E52" s="1703"/>
      <c r="F52" s="1160"/>
      <c r="G52" s="1703"/>
      <c r="H52" s="1703"/>
      <c r="I52" s="1703"/>
      <c r="J52" s="2612"/>
      <c r="K52" s="2610"/>
      <c r="L52" s="2610"/>
      <c r="M52" s="2610"/>
      <c r="N52" s="1703"/>
      <c r="O52" s="1703"/>
      <c r="P52" s="1703"/>
      <c r="Q52" s="1703"/>
      <c r="R52" s="1703"/>
    </row>
    <row r="53" spans="1:22" s="1877" customFormat="1">
      <c r="A53" s="1703"/>
      <c r="B53" s="1703"/>
      <c r="C53" s="1703"/>
      <c r="D53" s="1703"/>
      <c r="E53" s="1703"/>
      <c r="F53" s="1160"/>
      <c r="G53" s="1703"/>
      <c r="H53" s="1703"/>
      <c r="I53" s="1703"/>
      <c r="J53" s="2612"/>
      <c r="K53" s="2610"/>
      <c r="L53" s="2610"/>
      <c r="M53" s="2610"/>
      <c r="N53" s="1703"/>
      <c r="O53" s="1703"/>
      <c r="P53" s="1703"/>
      <c r="Q53" s="1703"/>
      <c r="R53" s="1703"/>
    </row>
    <row r="54" spans="1:22" s="1877" customFormat="1">
      <c r="A54" s="1703"/>
      <c r="B54" s="1703"/>
      <c r="C54" s="1703"/>
      <c r="D54" s="1703"/>
      <c r="E54" s="1703"/>
      <c r="F54" s="1160"/>
      <c r="G54" s="1703"/>
      <c r="H54" s="1703"/>
      <c r="I54" s="1703"/>
      <c r="J54" s="2612"/>
      <c r="K54" s="2610"/>
      <c r="L54" s="2610"/>
      <c r="M54" s="2610"/>
      <c r="N54" s="1703"/>
      <c r="O54" s="1703"/>
      <c r="P54" s="1703"/>
      <c r="Q54" s="1703"/>
      <c r="R54" s="1703"/>
    </row>
    <row r="55" spans="1:22" s="1877" customFormat="1">
      <c r="A55" s="1703"/>
      <c r="B55" s="1703"/>
      <c r="C55" s="1703"/>
      <c r="D55" s="1703"/>
      <c r="E55" s="1703"/>
      <c r="F55" s="1160"/>
      <c r="G55" s="1703"/>
      <c r="H55" s="1703"/>
      <c r="I55" s="1703"/>
      <c r="J55" s="2612"/>
      <c r="K55" s="2610"/>
      <c r="L55" s="2610"/>
      <c r="M55" s="2610"/>
      <c r="N55" s="1703"/>
      <c r="O55" s="1703"/>
      <c r="P55" s="1703"/>
      <c r="Q55" s="1703"/>
      <c r="R55" s="1703"/>
    </row>
    <row r="56" spans="1:22" s="1877"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1"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1"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1"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1">
        <v>12.863264040000001</v>
      </c>
      <c r="C16" s="3259"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1"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1"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1"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1"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1"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1"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1"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1"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1"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1"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1"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1"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1"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1"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1"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0">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2"/>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6" t="s">
        <v>0</v>
      </c>
      <c r="B1" s="3366" t="s">
        <v>4</v>
      </c>
      <c r="C1" s="3366" t="s">
        <v>5</v>
      </c>
      <c r="D1" s="3367" t="s">
        <v>53</v>
      </c>
      <c r="E1" s="3367" t="s">
        <v>54</v>
      </c>
      <c r="F1" s="3367"/>
      <c r="G1" s="3367"/>
      <c r="H1" s="3367"/>
      <c r="I1" s="3367"/>
      <c r="J1" s="3367"/>
      <c r="K1" s="3367"/>
      <c r="L1" s="3367"/>
      <c r="M1" s="3367"/>
    </row>
    <row r="2" spans="1:13" ht="27" customHeight="1">
      <c r="A2" s="3366"/>
      <c r="B2" s="3366"/>
      <c r="C2" s="3366"/>
      <c r="D2" s="3367"/>
      <c r="E2" s="3367" t="s">
        <v>37</v>
      </c>
      <c r="F2" s="3367" t="s">
        <v>38</v>
      </c>
      <c r="G2" s="3367"/>
      <c r="H2" s="3367"/>
      <c r="I2" s="3367"/>
      <c r="J2" s="3367" t="s">
        <v>39</v>
      </c>
      <c r="K2" s="3367"/>
      <c r="L2" s="3367"/>
      <c r="M2" s="3367"/>
    </row>
    <row r="3" spans="1:13" ht="28.5">
      <c r="A3" s="3366"/>
      <c r="B3" s="3366"/>
      <c r="C3" s="3366"/>
      <c r="D3" s="3367"/>
      <c r="E3" s="33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7" t="s">
        <v>55</v>
      </c>
      <c r="B9" s="3367"/>
      <c r="C9" s="33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77" t="s">
        <v>1576</v>
      </c>
      <c r="B2" s="3377"/>
      <c r="C2" s="3377"/>
      <c r="D2" s="882" t="s">
        <v>1552</v>
      </c>
      <c r="E2" s="1772" t="s">
        <v>1553</v>
      </c>
      <c r="F2" s="2830"/>
      <c r="G2" s="2821"/>
      <c r="H2" s="2822"/>
      <c r="I2" s="2495" t="s">
        <v>1577</v>
      </c>
      <c r="J2" s="2830"/>
      <c r="K2" s="2830"/>
      <c r="L2" s="2830"/>
      <c r="M2" s="2830"/>
      <c r="N2" s="2832"/>
      <c r="O2" s="2830"/>
      <c r="P2" s="2830"/>
    </row>
    <row r="3" spans="1:16" ht="15.75" thickBot="1">
      <c r="A3" s="3378" t="s">
        <v>1550</v>
      </c>
      <c r="B3" s="3378"/>
      <c r="C3" s="3378"/>
      <c r="D3" s="46">
        <f>'数据-基础表'!AY6</f>
        <v>22.44</v>
      </c>
      <c r="E3" s="46">
        <f>'数据-基础表'!AZ5</f>
        <v>199.12</v>
      </c>
      <c r="F3" s="2830"/>
      <c r="G3" s="1257"/>
      <c r="H3" s="1135" t="s">
        <v>1551</v>
      </c>
      <c r="I3" s="942">
        <f>ROUND('数据-基础表'!B3/'数据-基础表'!A3,2)</f>
        <v>8.8699999999999992</v>
      </c>
      <c r="J3" s="2830"/>
      <c r="K3" s="2830"/>
      <c r="L3" s="2830"/>
      <c r="M3" s="2830"/>
      <c r="N3" s="2832"/>
      <c r="O3" s="2830"/>
      <c r="P3" s="2830"/>
    </row>
    <row r="4" spans="1:16" ht="15">
      <c r="A4" s="3379"/>
      <c r="B4" s="3380"/>
      <c r="C4" s="3381"/>
      <c r="D4" s="1774" t="s">
        <v>1552</v>
      </c>
      <c r="E4" s="1775" t="s">
        <v>1553</v>
      </c>
      <c r="F4" s="2830"/>
      <c r="G4" s="2823" t="s">
        <v>1578</v>
      </c>
      <c r="H4" s="1135" t="s">
        <v>1558</v>
      </c>
      <c r="I4" s="942">
        <f>ROUND(SUMIF('数据-基础表'!I9:AS9,"地上",'数据-基础表'!I5:AS5)/'数据-基础表'!A3,2)</f>
        <v>8.8699999999999992</v>
      </c>
      <c r="J4" s="2830"/>
      <c r="K4" s="2830"/>
      <c r="L4" s="2830"/>
      <c r="M4" s="2830"/>
      <c r="N4" s="2832"/>
      <c r="O4" s="2830"/>
      <c r="P4" s="2830"/>
    </row>
    <row r="5" spans="1:16">
      <c r="A5" s="47" t="s">
        <v>1554</v>
      </c>
      <c r="B5" s="3382" t="s">
        <v>1555</v>
      </c>
      <c r="C5" s="3382"/>
      <c r="D5" s="48">
        <f>ROUND($D$3*E5/$E$3,2)</f>
        <v>0</v>
      </c>
      <c r="E5" s="49">
        <f>SUMIF('数据-基础表'!$11:$11,"住宅",'数据-基础表'!$5:$5)</f>
        <v>0</v>
      </c>
      <c r="F5" s="2830"/>
      <c r="G5" s="1257"/>
      <c r="H5" s="1135" t="s">
        <v>1551</v>
      </c>
      <c r="I5" s="942">
        <f>ROUND(E31/D31,2)</f>
        <v>8.8699999999999992</v>
      </c>
      <c r="J5" s="2830"/>
      <c r="K5" s="2830"/>
      <c r="L5" s="2830"/>
      <c r="M5" s="2830"/>
      <c r="N5" s="2830"/>
      <c r="O5" s="2830"/>
      <c r="P5" s="2830"/>
    </row>
    <row r="6" spans="1:16" ht="15" thickBot="1">
      <c r="A6" s="1777"/>
      <c r="B6" s="3382" t="s">
        <v>1556</v>
      </c>
      <c r="C6" s="3382"/>
      <c r="D6" s="48">
        <f>ROUND($D$3*E6/$E$3,2)</f>
        <v>22.44</v>
      </c>
      <c r="E6" s="49">
        <f>E3-E5</f>
        <v>199.12</v>
      </c>
      <c r="F6" s="2830"/>
      <c r="G6" s="2824" t="s">
        <v>1557</v>
      </c>
      <c r="H6" s="1258" t="s">
        <v>1558</v>
      </c>
      <c r="I6" s="2825">
        <f>ROUND(F31/D31,2)</f>
        <v>8.8699999999999992</v>
      </c>
      <c r="J6" s="2830"/>
      <c r="K6" s="2830"/>
      <c r="L6" s="2830"/>
      <c r="M6" s="2830"/>
      <c r="N6" s="2830"/>
      <c r="O6" s="2830"/>
      <c r="P6" s="2830"/>
    </row>
    <row r="7" spans="1:16" ht="15.75" thickBot="1">
      <c r="A7" s="3374"/>
      <c r="B7" s="3375"/>
      <c r="C7" s="3376"/>
      <c r="D7" s="1774" t="s">
        <v>1552</v>
      </c>
      <c r="E7" s="1778" t="s">
        <v>1559</v>
      </c>
      <c r="F7" s="2830"/>
      <c r="G7" s="2826" t="s">
        <v>1560</v>
      </c>
      <c r="H7" s="2827"/>
      <c r="I7" s="2828"/>
      <c r="J7" s="2830"/>
      <c r="K7" s="2830"/>
      <c r="L7" s="2830"/>
      <c r="M7" s="2830"/>
      <c r="N7" s="2830"/>
      <c r="O7" s="2830"/>
      <c r="P7" s="2830"/>
    </row>
    <row r="8" spans="1:16">
      <c r="A8" s="47" t="s">
        <v>1561</v>
      </c>
      <c r="B8" s="50" t="s">
        <v>1562</v>
      </c>
      <c r="C8" s="48" t="s">
        <v>1563</v>
      </c>
      <c r="D8" s="48">
        <f t="shared" ref="D8:D15" si="0">ROUND($D$3*E8/$E$3,2)</f>
        <v>22.44</v>
      </c>
      <c r="E8" s="51">
        <f>SUMIF('数据-基础表'!BB10:BK10,"地上",'数据-基础表'!BB5:BK5)</f>
        <v>199.12</v>
      </c>
      <c r="F8" s="2830"/>
      <c r="G8" s="2831"/>
      <c r="H8" s="2831"/>
      <c r="I8" s="2830"/>
      <c r="J8" s="2830"/>
      <c r="K8" s="2830"/>
      <c r="L8" s="2830"/>
      <c r="M8" s="2830"/>
      <c r="N8" s="2830"/>
      <c r="O8" s="2830"/>
      <c r="P8" s="2830"/>
    </row>
    <row r="9" spans="1:16">
      <c r="A9" s="1779"/>
      <c r="B9" s="1780"/>
      <c r="C9" s="48" t="s">
        <v>1564</v>
      </c>
      <c r="D9" s="48">
        <f t="shared" si="0"/>
        <v>0</v>
      </c>
      <c r="E9" s="52">
        <v>0</v>
      </c>
      <c r="F9" s="2830"/>
      <c r="G9" s="2831"/>
      <c r="H9" s="2831"/>
      <c r="I9" s="2830"/>
      <c r="J9" s="2830"/>
      <c r="K9" s="2830"/>
      <c r="L9" s="2830"/>
      <c r="M9" s="2830"/>
      <c r="N9" s="2830"/>
      <c r="O9" s="2830"/>
      <c r="P9" s="2830"/>
    </row>
    <row r="10" spans="1:16">
      <c r="A10" s="1779"/>
      <c r="B10" s="1780"/>
      <c r="C10" s="48" t="s">
        <v>1573</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1565</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1566</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1567</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1579</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1574</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1568</v>
      </c>
      <c r="D16" s="50">
        <f>SUM(D8:D15)</f>
        <v>22.44</v>
      </c>
      <c r="E16" s="53">
        <f>SUM(E8:E15)</f>
        <v>199.12</v>
      </c>
      <c r="F16" s="2830"/>
      <c r="G16" s="2831"/>
      <c r="H16" s="1781" t="s">
        <v>1580</v>
      </c>
      <c r="I16" s="1782"/>
      <c r="J16" s="1251"/>
      <c r="K16" s="3371" t="s">
        <v>1580</v>
      </c>
      <c r="L16" s="3372"/>
      <c r="M16" s="3372"/>
      <c r="N16" s="3372"/>
      <c r="O16" s="3372"/>
      <c r="P16" s="3373"/>
    </row>
    <row r="17" spans="1:19" ht="15">
      <c r="A17" s="1783" t="s">
        <v>1581</v>
      </c>
      <c r="B17" s="1784" t="s">
        <v>1582</v>
      </c>
      <c r="C17" s="1785" t="s">
        <v>1583</v>
      </c>
      <c r="D17" s="1786" t="s">
        <v>1571</v>
      </c>
      <c r="E17" s="1787" t="s">
        <v>1572</v>
      </c>
      <c r="F17" s="1788"/>
      <c r="G17" s="1789"/>
      <c r="H17" s="1790" t="s">
        <v>1584</v>
      </c>
      <c r="I17" s="1791" t="s">
        <v>1569</v>
      </c>
      <c r="J17" s="1251"/>
      <c r="K17" s="3368" t="s">
        <v>1585</v>
      </c>
      <c r="L17" s="3369"/>
      <c r="M17" s="3370"/>
      <c r="N17" s="3368" t="s">
        <v>1586</v>
      </c>
      <c r="O17" s="3369"/>
      <c r="P17" s="3370"/>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2" t="s">
        <v>3258</v>
      </c>
      <c r="D19" s="48">
        <f>ROUND($D$3*E19/$E$3,2)</f>
        <v>12.86</v>
      </c>
      <c r="E19" s="56">
        <f t="shared" ref="E19:E26" si="1">SUM(F19:G19)</f>
        <v>114.12</v>
      </c>
      <c r="F19" s="2970">
        <f>'数据-基础表'!I16</f>
        <v>114.12</v>
      </c>
      <c r="G19" s="2971"/>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2" t="s">
        <v>3257</v>
      </c>
      <c r="D20" s="48">
        <f t="shared" ref="D20:D26" si="6">ROUND($D$3*E20/$E$3,2)</f>
        <v>9.58</v>
      </c>
      <c r="E20" s="56">
        <f t="shared" si="1"/>
        <v>85</v>
      </c>
      <c r="F20" s="2970">
        <f>'数据-基础表'!K32</f>
        <v>85</v>
      </c>
      <c r="G20" s="2971"/>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0"/>
      <c r="G21" s="2971"/>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2"/>
      <c r="G22" s="2973"/>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2"/>
      <c r="G23" s="2973"/>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2"/>
      <c r="G24" s="2973"/>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1600</v>
      </c>
      <c r="C29" s="1808" t="s">
        <v>1602</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1599</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1603</v>
      </c>
      <c r="D31" s="682">
        <f>D27+D30</f>
        <v>22.439999999999998</v>
      </c>
      <c r="E31" s="682">
        <f>E27+E30</f>
        <v>199.12</v>
      </c>
      <c r="F31" s="683">
        <f>F27+F30</f>
        <v>199.12</v>
      </c>
      <c r="G31" s="684">
        <f>G27+G30</f>
        <v>0</v>
      </c>
      <c r="H31" s="2830"/>
      <c r="I31" s="2830"/>
      <c r="J31" s="2830"/>
      <c r="K31" s="2830"/>
      <c r="L31" s="2830"/>
      <c r="M31" s="2830"/>
      <c r="N31" s="2830"/>
      <c r="O31" s="2830"/>
      <c r="P31" s="2830"/>
    </row>
    <row r="32" spans="1:19">
      <c r="A32" s="1776"/>
      <c r="B32" s="1776" t="s">
        <v>1604</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1606</v>
      </c>
      <c r="B2" s="1154">
        <f>项目基本情况!D3</f>
        <v>44798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29"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21.54</v>
      </c>
      <c r="G6" s="69">
        <f>IF(ISERROR(ROUND(POWER(1+H6,D6-F6)*(POWER(1+H6,F6)-1)/(POWER(1+H6,D6)-1),3)),0,ROUND(POWER(1+H6,D6-F6)*(POWER(1+H6,F6)-1)/(POWER(1+H6,D6)-1),3))</f>
        <v>0.75800000000000001</v>
      </c>
      <c r="H6" s="738">
        <v>0.05</v>
      </c>
      <c r="I6" s="738">
        <v>0.06</v>
      </c>
      <c r="J6" s="70">
        <v>7.4999999999999997E-2</v>
      </c>
      <c r="K6" s="1139">
        <f>SUMIF('数据-汇总表'!C$19:C$33,A6,'数据-汇总表'!E$19:E$33)</f>
        <v>114.12</v>
      </c>
      <c r="L6" s="3253">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12.5</v>
      </c>
      <c r="V6" s="75">
        <v>0.03</v>
      </c>
      <c r="W6" s="75">
        <v>0.1</v>
      </c>
      <c r="X6" s="1149"/>
      <c r="Y6" s="76">
        <f>N6</f>
        <v>0.85</v>
      </c>
      <c r="Z6" s="77"/>
      <c r="AA6" s="70"/>
      <c r="AB6" s="70"/>
      <c r="AC6" s="1149"/>
      <c r="AD6" s="78"/>
      <c r="AE6" s="1150">
        <f ca="1">IF(AN6="",0,SUMIF(INDIRECT("'"&amp;AN6&amp;"'"&amp;"!E:E"),$AE$5,INDIRECT("'"&amp;AN6&amp;"'"&amp;"!F:F")))</f>
        <v>21.54</v>
      </c>
      <c r="AF6" s="1480"/>
      <c r="AG6" s="143">
        <f>IF(AF6="",0,AE6-AF6)</f>
        <v>0</v>
      </c>
      <c r="AH6" s="3254">
        <f>K6</f>
        <v>114.12</v>
      </c>
      <c r="AI6" s="81">
        <v>365</v>
      </c>
      <c r="AJ6" s="82"/>
      <c r="AK6" s="83">
        <v>1.4999999999999999E-2</v>
      </c>
      <c r="AL6" s="84">
        <v>1.5E-3</v>
      </c>
      <c r="AM6" s="85">
        <v>0.01</v>
      </c>
      <c r="AN6" s="1849" t="s">
        <v>3260</v>
      </c>
      <c r="AO6" s="55">
        <f ca="1">SUMIF(INDIRECT("'"&amp;AN6&amp;"'"&amp;"!A:A"),"总价",INDIRECT("'"&amp;AN6&amp;"'"&amp;"!B:B"))</f>
        <v>577</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31.55</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3">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6.5</v>
      </c>
      <c r="V7" s="75">
        <v>0.03</v>
      </c>
      <c r="W7" s="75">
        <f>W6</f>
        <v>0.1</v>
      </c>
      <c r="X7" s="1149"/>
      <c r="Y7" s="76">
        <f>N7</f>
        <v>0.85</v>
      </c>
      <c r="Z7" s="77"/>
      <c r="AA7" s="70"/>
      <c r="AB7" s="70"/>
      <c r="AC7" s="1149"/>
      <c r="AD7" s="78"/>
      <c r="AE7" s="1150">
        <f t="shared" ref="AE7:AE13" ca="1" si="6">IF(AN7="",0,SUMIF(INDIRECT("'"&amp;AN7&amp;"'"&amp;"!E:E"),$AE$5,INDIRECT("'"&amp;AN7&amp;"'"&amp;"!F:F")))</f>
        <v>31.55</v>
      </c>
      <c r="AF7" s="1480"/>
      <c r="AG7" s="143">
        <f t="shared" ref="AG7:AG13" si="7">IF(AF7="",0,AE7-AF7)</f>
        <v>0</v>
      </c>
      <c r="AH7" s="3254">
        <f>K7</f>
        <v>85</v>
      </c>
      <c r="AI7" s="81">
        <v>365</v>
      </c>
      <c r="AJ7" s="82"/>
      <c r="AK7" s="83">
        <f>AK6</f>
        <v>1.4999999999999999E-2</v>
      </c>
      <c r="AL7" s="84">
        <v>1.5E-3</v>
      </c>
      <c r="AM7" s="85">
        <v>0.01</v>
      </c>
      <c r="AN7" s="1849" t="s">
        <v>3266</v>
      </c>
      <c r="AO7" s="55">
        <f t="shared" ref="AO7:AO13" ca="1" si="8">SUMIF(INDIRECT("'"&amp;AN7&amp;"'"&amp;"!A:A"),"总价",INDIRECT("'"&amp;AN7&amp;"'"&amp;"!B:B"))</f>
        <v>281</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0.80200000000000005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6" t="s">
        <v>1656</v>
      </c>
      <c r="B19" s="108">
        <v>0</v>
      </c>
      <c r="C19" s="2974" t="s">
        <v>2799</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7" t="s">
        <v>1657</v>
      </c>
      <c r="B20" s="109">
        <v>2</v>
      </c>
      <c r="C20" s="2975" t="s">
        <v>2797</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8" t="s">
        <v>1658</v>
      </c>
      <c r="B21" s="109">
        <v>2</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7" t="s">
        <v>1659</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8" t="s">
        <v>1660</v>
      </c>
      <c r="B23" s="110">
        <f>B19+B21</f>
        <v>2</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9"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60"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2" customFormat="1" ht="27.75">
      <c r="A27" s="1861" t="s">
        <v>1665</v>
      </c>
      <c r="B27" s="112"/>
      <c r="C27" s="2976" t="s">
        <v>2801</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7" t="s">
        <v>2788</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8" t="s">
        <v>2789</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8" t="s">
        <v>2790</v>
      </c>
      <c r="D34" s="2857" t="s">
        <v>2798</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8" t="s">
        <v>2791</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8" t="s">
        <v>2792</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5" t="s">
        <v>1675</v>
      </c>
      <c r="B37" s="120">
        <v>0.02</v>
      </c>
      <c r="C37" s="2978" t="s">
        <v>2793</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3" t="s">
        <v>1676</v>
      </c>
      <c r="B38" s="120">
        <f>B37</f>
        <v>0.02</v>
      </c>
      <c r="C38" s="2978" t="s">
        <v>2793</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6"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3360</v>
      </c>
      <c r="B40" s="1188">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1"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7"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7"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8" t="s">
        <v>1681</v>
      </c>
      <c r="B44" s="124">
        <v>7.0000000000000007E-2</v>
      </c>
      <c r="C44" s="2978" t="s">
        <v>2802</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8" t="s">
        <v>1682</v>
      </c>
      <c r="B45" s="122">
        <v>0.03</v>
      </c>
      <c r="C45" s="2977" t="s">
        <v>2794</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8" t="s">
        <v>1683</v>
      </c>
      <c r="B46" s="122">
        <v>0.02</v>
      </c>
      <c r="C46" s="2977" t="s">
        <v>2795</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9" t="s">
        <v>1684</v>
      </c>
      <c r="B47" s="125">
        <v>0</v>
      </c>
      <c r="C47" s="2980" t="s">
        <v>2803</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0" t="s">
        <v>1685</v>
      </c>
      <c r="B48" s="126">
        <v>0.03</v>
      </c>
      <c r="C48" s="2977" t="s">
        <v>2794</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6" t="s">
        <v>1686</v>
      </c>
      <c r="B49" s="122">
        <v>5.0000000000000001E-4</v>
      </c>
      <c r="C49" s="2977" t="s">
        <v>2796</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1" t="s">
        <v>1687</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4" t="s">
        <v>1688</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1" t="s">
        <v>1689</v>
      </c>
      <c r="B52" s="129">
        <f>SUMIF(A54:A63,B53,B54:B63)</f>
        <v>24</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3" t="s">
        <v>1690</v>
      </c>
      <c r="B53" s="1872" t="s">
        <v>268</v>
      </c>
      <c r="C53" s="2832" t="s">
        <v>1691</v>
      </c>
      <c r="D53" s="2979" t="s">
        <v>2800</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3" t="s">
        <v>1692</v>
      </c>
      <c r="B54" s="80">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3" t="s">
        <v>1693</v>
      </c>
      <c r="B55" s="80">
        <v>24</v>
      </c>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3" t="s">
        <v>1694</v>
      </c>
      <c r="B56" s="80">
        <v>18</v>
      </c>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3" t="s">
        <v>1695</v>
      </c>
      <c r="B57" s="80">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3" t="s">
        <v>1696</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3" t="s">
        <v>1697</v>
      </c>
      <c r="B59" s="80">
        <v>1.5</v>
      </c>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3"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3"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3"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4"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20"/>
  </cols>
  <sheetData>
    <row r="1" spans="1:29" s="2629" customFormat="1" ht="18.75" thickBot="1">
      <c r="A1" s="3383" t="s">
        <v>2780</v>
      </c>
      <c r="B1" s="3384"/>
      <c r="C1" s="3384"/>
      <c r="D1" s="3384"/>
      <c r="E1" s="3384"/>
      <c r="F1" s="3384"/>
      <c r="G1" s="3384"/>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2776</v>
      </c>
      <c r="D2" s="2633"/>
      <c r="E2" s="2630"/>
      <c r="F2" s="2634"/>
      <c r="G2" s="2632" t="s">
        <v>2777</v>
      </c>
      <c r="H2" s="885"/>
      <c r="I2" s="885"/>
      <c r="J2" s="885"/>
      <c r="K2" s="885"/>
      <c r="L2" s="885"/>
      <c r="M2" s="885"/>
      <c r="N2" s="885"/>
      <c r="O2" s="885"/>
      <c r="P2" s="885"/>
      <c r="Q2" s="885"/>
      <c r="R2" s="885"/>
    </row>
    <row r="3" spans="1:29" ht="25.5">
      <c r="A3" s="2613" t="s">
        <v>2778</v>
      </c>
      <c r="B3" s="2635" t="s">
        <v>2750</v>
      </c>
      <c r="C3" s="2636"/>
      <c r="D3" s="2637"/>
      <c r="E3" s="2614" t="s">
        <v>2778</v>
      </c>
      <c r="F3" s="2638" t="s">
        <v>2751</v>
      </c>
      <c r="G3" s="2639" t="s">
        <v>2779</v>
      </c>
      <c r="H3" s="885"/>
      <c r="I3" s="885"/>
      <c r="J3" s="885"/>
      <c r="K3" s="885"/>
      <c r="L3" s="885"/>
      <c r="M3" s="885"/>
      <c r="N3" s="885"/>
      <c r="O3" s="885"/>
      <c r="P3" s="885"/>
      <c r="Q3" s="885"/>
      <c r="R3" s="885"/>
    </row>
    <row r="4" spans="1:29" ht="48">
      <c r="A4" s="2614"/>
      <c r="B4" s="329" t="s">
        <v>2752</v>
      </c>
      <c r="C4" s="3258" t="s">
        <v>3394</v>
      </c>
      <c r="D4" s="2637"/>
      <c r="E4" s="2640"/>
      <c r="F4" s="1505" t="s">
        <v>2753</v>
      </c>
      <c r="G4" s="2641" t="s">
        <v>2754</v>
      </c>
      <c r="H4" s="885"/>
      <c r="I4" s="885"/>
      <c r="J4" s="885"/>
      <c r="K4" s="885"/>
      <c r="L4" s="885"/>
      <c r="M4" s="885"/>
      <c r="N4" s="885"/>
      <c r="O4" s="885"/>
      <c r="P4" s="885"/>
      <c r="Q4" s="885"/>
      <c r="R4" s="885"/>
    </row>
    <row r="5" spans="1:29" ht="54">
      <c r="A5" s="2614"/>
      <c r="B5" s="329" t="s">
        <v>2755</v>
      </c>
      <c r="C5" s="3255" t="s">
        <v>3395</v>
      </c>
      <c r="D5" s="2637"/>
      <c r="E5" s="2640"/>
      <c r="F5" s="329" t="s">
        <v>2756</v>
      </c>
      <c r="G5" s="2641" t="s">
        <v>2757</v>
      </c>
      <c r="H5" s="885"/>
      <c r="I5" s="885"/>
      <c r="J5" s="885"/>
      <c r="K5" s="885"/>
      <c r="L5" s="885"/>
      <c r="M5" s="885"/>
      <c r="N5" s="885"/>
      <c r="O5" s="885"/>
      <c r="P5" s="885"/>
      <c r="Q5" s="885"/>
      <c r="R5" s="885"/>
    </row>
    <row r="6" spans="1:29" ht="81">
      <c r="A6" s="2614"/>
      <c r="B6" s="329" t="s">
        <v>2758</v>
      </c>
      <c r="C6" s="3256" t="s">
        <v>3393</v>
      </c>
      <c r="D6" s="2637"/>
      <c r="E6" s="2640"/>
      <c r="F6" s="329" t="s">
        <v>2759</v>
      </c>
      <c r="G6" s="2641" t="s">
        <v>2760</v>
      </c>
      <c r="H6" s="885"/>
      <c r="I6" s="885"/>
      <c r="J6" s="885"/>
      <c r="K6" s="885"/>
      <c r="L6" s="885"/>
      <c r="M6" s="885"/>
      <c r="N6" s="885"/>
      <c r="O6" s="885"/>
      <c r="P6" s="885"/>
      <c r="Q6" s="885"/>
      <c r="R6" s="885"/>
    </row>
    <row r="7" spans="1:29" ht="27.75" thickBot="1">
      <c r="A7" s="2614"/>
      <c r="B7" s="329" t="s">
        <v>2756</v>
      </c>
      <c r="C7" s="3256" t="s">
        <v>3261</v>
      </c>
      <c r="D7" s="2642"/>
      <c r="E7" s="2643"/>
      <c r="F7" s="2644" t="s">
        <v>2761</v>
      </c>
      <c r="G7" s="2645" t="s">
        <v>2762</v>
      </c>
      <c r="H7" s="885"/>
      <c r="I7" s="885"/>
      <c r="J7" s="885"/>
      <c r="K7" s="885"/>
      <c r="L7" s="885"/>
      <c r="M7" s="885"/>
      <c r="N7" s="885"/>
      <c r="O7" s="885"/>
      <c r="P7" s="885"/>
      <c r="Q7" s="885"/>
      <c r="R7" s="885"/>
    </row>
    <row r="8" spans="1:29" ht="27">
      <c r="A8" s="2614"/>
      <c r="B8" s="329" t="s">
        <v>2759</v>
      </c>
      <c r="C8" s="3256" t="s">
        <v>3270</v>
      </c>
      <c r="D8" s="2642"/>
      <c r="E8" s="2642"/>
      <c r="F8" s="2646"/>
      <c r="G8" s="2646"/>
      <c r="H8" s="885"/>
      <c r="I8" s="885"/>
      <c r="J8" s="885"/>
      <c r="K8" s="885"/>
      <c r="L8" s="885"/>
      <c r="M8" s="885"/>
      <c r="N8" s="885"/>
      <c r="O8" s="885"/>
      <c r="P8" s="885"/>
      <c r="Q8" s="885"/>
      <c r="R8" s="885"/>
    </row>
    <row r="9" spans="1:29" ht="54">
      <c r="A9" s="2614"/>
      <c r="B9" s="329" t="s">
        <v>2763</v>
      </c>
      <c r="C9" s="3255" t="s">
        <v>3396</v>
      </c>
      <c r="D9" s="2637"/>
      <c r="E9" s="2642"/>
      <c r="F9" s="2646"/>
      <c r="G9" s="2646"/>
      <c r="H9" s="885"/>
      <c r="I9" s="885"/>
      <c r="J9" s="885"/>
      <c r="K9" s="885"/>
      <c r="L9" s="885"/>
      <c r="M9" s="885"/>
      <c r="N9" s="885"/>
      <c r="O9" s="885"/>
      <c r="P9" s="885"/>
      <c r="Q9" s="885"/>
      <c r="R9" s="885"/>
    </row>
    <row r="10" spans="1:29" s="2651" customFormat="1" ht="15" thickBot="1">
      <c r="A10" s="2615"/>
      <c r="B10" s="2647" t="s">
        <v>2764</v>
      </c>
      <c r="C10" s="3257" t="s">
        <v>3271</v>
      </c>
      <c r="D10" s="2637"/>
      <c r="E10" s="2637"/>
      <c r="F10" s="2646"/>
      <c r="G10" s="2646"/>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9" customFormat="1" ht="18">
      <c r="A12" s="2652"/>
      <c r="B12" s="2642"/>
      <c r="C12" s="2637"/>
      <c r="D12" s="2654"/>
      <c r="E12" s="2637"/>
      <c r="F12" s="2642"/>
      <c r="G12" s="2653"/>
      <c r="H12" s="2655"/>
      <c r="I12" s="2656"/>
      <c r="J12" s="2655"/>
      <c r="K12" s="2655"/>
      <c r="L12" s="2657"/>
      <c r="M12" s="2655"/>
      <c r="N12" s="2658"/>
      <c r="O12" s="2659"/>
      <c r="P12" s="2658"/>
      <c r="Q12" s="2658"/>
      <c r="R12" s="2627"/>
      <c r="S12" s="2628"/>
      <c r="T12" s="2628"/>
      <c r="U12" s="2628"/>
      <c r="V12" s="2628"/>
      <c r="W12" s="2628"/>
      <c r="X12" s="2628"/>
      <c r="Y12" s="2628"/>
      <c r="Z12" s="2628"/>
      <c r="AA12" s="2628"/>
      <c r="AB12" s="2628"/>
      <c r="AC12" s="2628"/>
    </row>
    <row r="13" spans="1:29" ht="15.75" thickBot="1">
      <c r="A13" s="2660" t="s">
        <v>2781</v>
      </c>
      <c r="B13" s="2654"/>
      <c r="C13" s="2654"/>
      <c r="D13" s="2652"/>
      <c r="E13" s="2654"/>
      <c r="F13" s="2654"/>
      <c r="G13" s="2654"/>
    </row>
    <row r="14" spans="1:29" ht="15" thickBot="1">
      <c r="A14" s="2664"/>
      <c r="B14" s="2664"/>
      <c r="C14" s="2665" t="s">
        <v>2765</v>
      </c>
      <c r="D14" s="2637"/>
      <c r="E14" s="2666"/>
      <c r="F14" s="2666"/>
      <c r="G14" s="2632" t="s">
        <v>2766</v>
      </c>
    </row>
    <row r="15" spans="1:29" ht="25.5">
      <c r="A15" s="2616" t="s">
        <v>2767</v>
      </c>
      <c r="B15" s="2667" t="s">
        <v>2750</v>
      </c>
      <c r="C15" s="2668">
        <f>C3</f>
        <v>0</v>
      </c>
      <c r="D15" s="2637"/>
      <c r="E15" s="2617" t="s">
        <v>2768</v>
      </c>
      <c r="F15" s="2667" t="s">
        <v>2769</v>
      </c>
      <c r="G15" s="2669" t="str">
        <f>G3</f>
        <v>估价对象位于XX开发区，园区建设成熟度XX，产业集聚程度XX</v>
      </c>
    </row>
    <row r="16" spans="1:29" ht="51">
      <c r="A16" s="2618"/>
      <c r="B16" s="2670" t="s">
        <v>2752</v>
      </c>
      <c r="C16" s="2671" t="str">
        <f>C4</f>
        <v>估价对象位于西直门商圈，周边商业氛围成熟，有凯德MALL、华联购物中心等，人流量较大，商业繁华度较好</v>
      </c>
      <c r="D16" s="2637"/>
      <c r="E16" s="2619"/>
      <c r="F16" s="2672" t="s">
        <v>2753</v>
      </c>
      <c r="G16" s="2673" t="str">
        <f>G4</f>
        <v>估价对象周边道路状况、公共交通通达情况、停车便捷程度，综合评价交通便捷度较好</v>
      </c>
    </row>
    <row r="17" spans="1:18" ht="51">
      <c r="A17" s="2618"/>
      <c r="B17" s="2670" t="s">
        <v>2755</v>
      </c>
      <c r="C17" s="2671" t="str">
        <f>C5</f>
        <v>估价对象周边办公楼项目较多，有金泰鑫侨大厦、阳光大厦、德宝大厦，入驻率较高，办公集聚程度较好</v>
      </c>
      <c r="D17" s="2642"/>
      <c r="E17" s="2619"/>
      <c r="F17" s="2672" t="s">
        <v>2770</v>
      </c>
      <c r="G17" s="2674"/>
    </row>
    <row r="18" spans="1:18" ht="63.75">
      <c r="A18" s="2618"/>
      <c r="B18" s="2672" t="s">
        <v>2758</v>
      </c>
      <c r="C18" s="2673" t="str">
        <f>C6</f>
        <v>估价对象周边道路状况较好、有7、16、105等公交线路及地铁2、4号线经过，公共交通通达情况较好、停车便捷程度一般，综合评价交通便捷度较好</v>
      </c>
      <c r="D18" s="2642"/>
      <c r="E18" s="2619"/>
      <c r="F18" s="2672" t="s">
        <v>2761</v>
      </c>
      <c r="G18" s="2673" t="str">
        <f>G7</f>
        <v>该园区内是否有污染型企业，绿化情况，卫生条件，整体环境状况判断</v>
      </c>
    </row>
    <row r="19" spans="1:18" ht="25.5">
      <c r="A19" s="2618"/>
      <c r="B19" s="2672" t="s">
        <v>2771</v>
      </c>
      <c r="C19" s="2674"/>
      <c r="D19" s="2637"/>
      <c r="E19" s="2619"/>
      <c r="F19" s="329" t="s">
        <v>2756</v>
      </c>
      <c r="G19" s="2673" t="str">
        <f>G5</f>
        <v>估价对象所在区域公共配套设施齐备情况</v>
      </c>
    </row>
    <row r="20" spans="1:18" ht="51">
      <c r="A20" s="2618"/>
      <c r="B20" s="2672" t="s">
        <v>2772</v>
      </c>
      <c r="C20" s="2671" t="str">
        <f>C9</f>
        <v>区域自然环境：北京动物园、官园公园；人文环境：北京天文馆、北京建筑大学；综合评价环境状况较好</v>
      </c>
      <c r="D20" s="2642"/>
      <c r="E20" s="2619"/>
      <c r="F20" s="329" t="s">
        <v>2759</v>
      </c>
      <c r="G20" s="2673" t="str">
        <f>G6</f>
        <v>估价对象所在区域基础设施水平</v>
      </c>
    </row>
    <row r="21" spans="1:18" ht="25.5">
      <c r="A21" s="2618"/>
      <c r="B21" s="329" t="s">
        <v>2756</v>
      </c>
      <c r="C21" s="2673" t="str">
        <f>C7</f>
        <v>估价对象所在区域公共配套设施齐备情况较好</v>
      </c>
      <c r="D21" s="2637"/>
      <c r="E21" s="2619"/>
      <c r="F21" s="2672" t="s">
        <v>2773</v>
      </c>
      <c r="G21" s="2675"/>
    </row>
    <row r="22" spans="1:18" ht="13.5" customHeight="1">
      <c r="A22" s="2618"/>
      <c r="B22" s="329" t="s">
        <v>2759</v>
      </c>
      <c r="C22" s="2673" t="str">
        <f>C8</f>
        <v>估价对象所在区域基础设施水平七通</v>
      </c>
      <c r="D22" s="2637"/>
      <c r="E22" s="2619"/>
      <c r="F22" s="2672" t="s">
        <v>2764</v>
      </c>
      <c r="G22" s="2674"/>
    </row>
    <row r="23" spans="1:18" s="885" customFormat="1" ht="15" thickBot="1">
      <c r="A23" s="2618"/>
      <c r="B23" s="2672" t="s">
        <v>2773</v>
      </c>
      <c r="C23" s="2675"/>
      <c r="D23" s="1875"/>
      <c r="E23" s="2620"/>
      <c r="F23" s="2676" t="s">
        <v>2774</v>
      </c>
      <c r="G23" s="2677"/>
      <c r="H23" s="2661"/>
      <c r="I23" s="2662"/>
      <c r="J23" s="2661"/>
      <c r="K23" s="2661"/>
      <c r="L23" s="2662"/>
      <c r="M23" s="2661"/>
      <c r="N23" s="2661"/>
      <c r="O23" s="2662"/>
      <c r="P23" s="2661"/>
      <c r="Q23" s="2661"/>
      <c r="R23" s="2663"/>
    </row>
    <row r="24" spans="1:18" s="885" customFormat="1" ht="15" thickBot="1">
      <c r="A24" s="2621"/>
      <c r="B24" s="2676" t="s">
        <v>2775</v>
      </c>
      <c r="C24" s="2678" t="str">
        <f>C10</f>
        <v>主干道-西直门外大街</v>
      </c>
      <c r="D24" s="1875"/>
      <c r="E24" s="2611"/>
      <c r="F24" s="2611"/>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K14" sqref="K14"/>
    </sheetView>
  </sheetViews>
  <sheetFormatPr defaultColWidth="9" defaultRowHeight="13.5"/>
  <cols>
    <col min="1" max="1" width="25" style="2683" customWidth="1"/>
    <col min="2" max="9" width="15.75" style="2683" customWidth="1"/>
    <col min="10" max="16384" width="9" style="2683"/>
  </cols>
  <sheetData>
    <row r="1" spans="1:12" ht="16.5">
      <c r="A1" s="2682" t="s">
        <v>1090</v>
      </c>
      <c r="B1" s="2682">
        <f>SUM(B14:B23)</f>
        <v>12628.680000000002</v>
      </c>
      <c r="C1" s="2859"/>
      <c r="D1" s="2859"/>
      <c r="E1" s="2859"/>
      <c r="F1" s="2859"/>
      <c r="G1" s="2860"/>
      <c r="H1" s="2861"/>
      <c r="I1" s="2861"/>
      <c r="J1" s="2861"/>
      <c r="K1" s="2861"/>
    </row>
    <row r="2" spans="1:12" ht="16.5">
      <c r="A2" s="2682" t="s">
        <v>1078</v>
      </c>
      <c r="B2" s="2682">
        <f>SUM(C14:C23)</f>
        <v>1423.47</v>
      </c>
      <c r="C2" s="2859"/>
      <c r="D2" s="2859"/>
      <c r="E2" s="2859"/>
      <c r="F2" s="2859"/>
      <c r="G2" s="2860"/>
      <c r="H2" s="2861"/>
      <c r="I2" s="2861"/>
      <c r="J2" s="2861"/>
      <c r="K2" s="2861"/>
    </row>
    <row r="3" spans="1:12" ht="16.5">
      <c r="A3" s="2682" t="s">
        <v>1087</v>
      </c>
      <c r="B3" s="2684">
        <f>项目基本情况!D3</f>
        <v>44798</v>
      </c>
      <c r="C3" s="2859"/>
      <c r="D3" s="2859"/>
      <c r="E3" s="2859"/>
      <c r="F3" s="2859"/>
      <c r="G3" s="2860"/>
      <c r="H3" s="2861"/>
      <c r="I3" s="2861"/>
      <c r="J3" s="2861"/>
      <c r="K3" s="2861"/>
    </row>
    <row r="4" spans="1:12" ht="33">
      <c r="A4" s="2682" t="s">
        <v>1086</v>
      </c>
      <c r="B4" s="2682" t="s">
        <v>1085</v>
      </c>
      <c r="C4" s="2682" t="s">
        <v>1084</v>
      </c>
      <c r="D4" s="2682" t="s">
        <v>1083</v>
      </c>
      <c r="E4" s="2859"/>
      <c r="F4" s="2860"/>
      <c r="G4" s="2860"/>
      <c r="H4" s="2861"/>
      <c r="I4" s="2861"/>
      <c r="J4" s="2861"/>
      <c r="K4" s="2861"/>
    </row>
    <row r="5" spans="1:12" ht="16.5">
      <c r="A5" s="2682" t="s">
        <v>1082</v>
      </c>
      <c r="B5" s="2682">
        <f ca="1">SUM(D14:D23)</f>
        <v>65039</v>
      </c>
      <c r="C5" s="2682">
        <f ca="1">ROUND(B5*10000/$B$1,0)</f>
        <v>51501</v>
      </c>
      <c r="D5" s="2682">
        <f ca="1">ROUND(B5*10000/$B$2,0)</f>
        <v>456905</v>
      </c>
      <c r="E5" s="2859"/>
      <c r="F5" s="2860"/>
      <c r="G5" s="2860"/>
      <c r="H5" s="2861"/>
      <c r="I5" s="2861"/>
      <c r="J5" s="2861"/>
      <c r="K5" s="2861"/>
    </row>
    <row r="6" spans="1:12" ht="16.5">
      <c r="A6" s="2682" t="s">
        <v>1081</v>
      </c>
      <c r="B6" s="2682">
        <f ca="1">SUM(G14:G23)</f>
        <v>65039</v>
      </c>
      <c r="C6" s="2682">
        <f ca="1">ROUND(B6*10000/$B$1,0)</f>
        <v>51501</v>
      </c>
      <c r="D6" s="2682">
        <f ca="1">ROUND(B6*10000/$B$2,0)</f>
        <v>456905</v>
      </c>
      <c r="E6" s="2859"/>
      <c r="F6" s="2860"/>
      <c r="G6" s="2860"/>
      <c r="H6" s="2861"/>
      <c r="I6" s="2861"/>
      <c r="J6" s="2861"/>
      <c r="K6" s="2861"/>
    </row>
    <row r="7" spans="1:12" ht="16.5">
      <c r="A7" s="2682" t="s">
        <v>1089</v>
      </c>
      <c r="B7" s="2682">
        <f>SUM(H14:H23)</f>
        <v>0</v>
      </c>
      <c r="C7" s="2682">
        <f>ROUND(B7*10000/$B$1,0)</f>
        <v>0</v>
      </c>
      <c r="D7" s="2682">
        <f>ROUND(B7*10000/$B$2,0)</f>
        <v>0</v>
      </c>
      <c r="E7" s="2859"/>
      <c r="F7" s="2860"/>
      <c r="G7" s="2860"/>
      <c r="H7" s="2861"/>
      <c r="I7" s="2861"/>
      <c r="J7" s="2861"/>
      <c r="K7" s="2861"/>
    </row>
    <row r="8" spans="1:12" ht="16.5">
      <c r="A8" s="2682" t="s">
        <v>1012</v>
      </c>
      <c r="B8" s="2682">
        <f>SUM(I14:I23)</f>
        <v>0</v>
      </c>
      <c r="C8" s="2682">
        <f>ROUND(B8*10000/$B$1,0)</f>
        <v>0</v>
      </c>
      <c r="D8" s="2682">
        <f>ROUND(B8*10000/$B$2,0)</f>
        <v>0</v>
      </c>
      <c r="E8" s="2859"/>
      <c r="F8" s="2860"/>
      <c r="G8" s="2860"/>
      <c r="H8" s="2861"/>
      <c r="I8" s="2861"/>
      <c r="J8" s="2861"/>
      <c r="K8" s="2861"/>
    </row>
    <row r="9" spans="1:12" ht="16.5">
      <c r="A9" s="2682" t="s">
        <v>1080</v>
      </c>
      <c r="B9" s="2690"/>
      <c r="C9" s="2859"/>
      <c r="D9" s="2859"/>
      <c r="E9" s="2859"/>
      <c r="F9" s="2860"/>
      <c r="G9" s="2860"/>
      <c r="H9" s="2861"/>
      <c r="I9" s="2861"/>
      <c r="J9" s="2861"/>
      <c r="K9" s="2861"/>
    </row>
    <row r="10" spans="1:12" ht="16.5">
      <c r="A10" s="2682" t="s">
        <v>1079</v>
      </c>
      <c r="B10" s="2690"/>
      <c r="C10" s="2859"/>
      <c r="D10" s="2859"/>
      <c r="E10" s="2859"/>
      <c r="F10" s="2860"/>
      <c r="G10" s="2860"/>
      <c r="H10" s="2861"/>
      <c r="I10" s="2861"/>
      <c r="J10" s="2861"/>
      <c r="K10" s="2861"/>
    </row>
    <row r="11" spans="1:12" ht="16.5">
      <c r="A11" s="2682" t="s">
        <v>1095</v>
      </c>
      <c r="B11" s="2690"/>
      <c r="C11" s="2859"/>
      <c r="D11" s="2859"/>
      <c r="E11" s="2859"/>
      <c r="F11" s="2860"/>
      <c r="G11" s="2860"/>
      <c r="H11" s="2861"/>
      <c r="I11" s="2861"/>
      <c r="J11" s="2861"/>
      <c r="K11" s="2861"/>
    </row>
    <row r="12" spans="1:12" ht="16.5">
      <c r="A12" s="2859"/>
      <c r="B12" s="2859"/>
      <c r="C12" s="2859"/>
      <c r="D12" s="2859"/>
      <c r="E12" s="2859"/>
      <c r="F12" s="2860"/>
      <c r="G12" s="2860"/>
      <c r="H12" s="2861"/>
      <c r="I12" s="2861"/>
      <c r="J12" s="2861"/>
      <c r="K12" s="2861"/>
    </row>
    <row r="13" spans="1:12" ht="33">
      <c r="A13" s="2685" t="s">
        <v>1094</v>
      </c>
      <c r="B13" s="2686" t="s">
        <v>1091</v>
      </c>
      <c r="C13" s="2686" t="s">
        <v>1093</v>
      </c>
      <c r="D13" s="2686" t="s">
        <v>1092</v>
      </c>
      <c r="E13" s="2682" t="s">
        <v>1084</v>
      </c>
      <c r="F13" s="2682" t="s">
        <v>1083</v>
      </c>
      <c r="G13" s="2686" t="s">
        <v>1077</v>
      </c>
      <c r="H13" s="2686" t="s">
        <v>1088</v>
      </c>
      <c r="I13" s="2686" t="s">
        <v>1076</v>
      </c>
      <c r="J13" s="2860"/>
      <c r="K13" s="2861"/>
    </row>
    <row r="14" spans="1:12" ht="16.5">
      <c r="A14" s="2687" t="s">
        <v>1075</v>
      </c>
      <c r="B14" s="2688">
        <f>典型户型修正!B22</f>
        <v>7237.9800000000023</v>
      </c>
      <c r="C14" s="2688">
        <f>'数据-基础表'!A15</f>
        <v>815.85</v>
      </c>
      <c r="D14" s="2688">
        <f ca="1">典型户型修正!S22</f>
        <v>29945</v>
      </c>
      <c r="E14" s="2688">
        <f ca="1">ROUND(D14*10000/B14,0)</f>
        <v>41372</v>
      </c>
      <c r="F14" s="2688">
        <f ca="1">ROUND(D14*10000/C14,0)</f>
        <v>367041</v>
      </c>
      <c r="G14" s="2688">
        <f ca="1">D14</f>
        <v>29945</v>
      </c>
      <c r="H14" s="2688" t="str">
        <f>结果表!D124</f>
        <v>——</v>
      </c>
      <c r="I14" s="2688" t="str">
        <f>结果表!D126</f>
        <v>——</v>
      </c>
      <c r="J14" s="2860"/>
      <c r="K14" s="2861">
        <f>[2]系统读取表!$B$15</f>
        <v>1243.8699999999999</v>
      </c>
      <c r="L14" s="2683">
        <f ca="1">K14*E14/10000</f>
        <v>5146.1389639999998</v>
      </c>
    </row>
    <row r="15" spans="1:12" ht="16.5">
      <c r="A15" s="2687" t="s">
        <v>1074</v>
      </c>
      <c r="B15" s="2688">
        <f>典型户型修正商!B22</f>
        <v>5390.7</v>
      </c>
      <c r="C15" s="2688">
        <f>'数据-基础表'!A14</f>
        <v>607.62</v>
      </c>
      <c r="D15" s="2688">
        <f ca="1">典型户型修正商!S22</f>
        <v>35094</v>
      </c>
      <c r="E15" s="2688">
        <f t="shared" ref="E15:E23" ca="1" si="0">ROUND(D15*10000/B15,0)</f>
        <v>65101</v>
      </c>
      <c r="F15" s="2688">
        <f t="shared" ref="F15:F23" ca="1" si="1">ROUND(D15*10000/C15,0)</f>
        <v>577565</v>
      </c>
      <c r="G15" s="1449">
        <f ca="1">D15</f>
        <v>35094</v>
      </c>
      <c r="H15" s="1449"/>
      <c r="I15" s="2689"/>
      <c r="J15" s="2860"/>
      <c r="K15" s="2861"/>
      <c r="L15" s="2683">
        <f ca="1">D15</f>
        <v>35094</v>
      </c>
    </row>
    <row r="16" spans="1:12" ht="16.5">
      <c r="A16" s="2687" t="s">
        <v>1073</v>
      </c>
      <c r="B16" s="2689"/>
      <c r="C16" s="2689"/>
      <c r="D16" s="2689"/>
      <c r="E16" s="2688" t="e">
        <f t="shared" si="0"/>
        <v>#DIV/0!</v>
      </c>
      <c r="F16" s="2688" t="e">
        <f t="shared" si="1"/>
        <v>#DIV/0!</v>
      </c>
      <c r="G16" s="1449"/>
      <c r="H16" s="1449"/>
      <c r="I16" s="2689"/>
      <c r="J16" s="2861"/>
      <c r="K16" s="2861"/>
      <c r="L16" s="2683">
        <f ca="1">L14+L15</f>
        <v>40240.138963999998</v>
      </c>
    </row>
    <row r="17" spans="1:11" ht="16.5">
      <c r="A17" s="2687" t="s">
        <v>1072</v>
      </c>
      <c r="B17" s="2689"/>
      <c r="C17" s="2689"/>
      <c r="D17" s="2689"/>
      <c r="E17" s="2688" t="e">
        <f t="shared" si="0"/>
        <v>#DIV/0!</v>
      </c>
      <c r="F17" s="2688" t="e">
        <f t="shared" si="1"/>
        <v>#DIV/0!</v>
      </c>
      <c r="G17" s="1449"/>
      <c r="H17" s="1449"/>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1:11" ht="14.25" thickBot="1"/>
    <row r="29" spans="1:11" ht="14.25" thickTop="1">
      <c r="A29" s="3387" t="s">
        <v>3377</v>
      </c>
      <c r="B29" s="3387" t="s">
        <v>3372</v>
      </c>
      <c r="C29" s="3387" t="s">
        <v>3378</v>
      </c>
      <c r="D29" s="3385" t="s">
        <v>3379</v>
      </c>
      <c r="E29" s="3386"/>
      <c r="F29" s="3385" t="s">
        <v>3380</v>
      </c>
      <c r="G29" s="3386"/>
      <c r="H29" s="3385" t="s">
        <v>3381</v>
      </c>
      <c r="I29" s="3386"/>
    </row>
    <row r="30" spans="1:11">
      <c r="A30" s="3388"/>
      <c r="B30" s="3388"/>
      <c r="C30" s="3388"/>
      <c r="D30" s="3289" t="s">
        <v>3382</v>
      </c>
      <c r="E30" s="3289" t="s">
        <v>3383</v>
      </c>
      <c r="F30" s="3289" t="s">
        <v>3384</v>
      </c>
      <c r="G30" s="3289" t="s">
        <v>3383</v>
      </c>
      <c r="H30" s="3289" t="s">
        <v>3384</v>
      </c>
      <c r="I30" s="3289" t="s">
        <v>3383</v>
      </c>
    </row>
    <row r="31" spans="1:11" ht="25.5">
      <c r="A31" s="3290" t="s">
        <v>3385</v>
      </c>
      <c r="B31" s="3291">
        <v>12628.68</v>
      </c>
      <c r="C31" s="3291">
        <v>1423.47</v>
      </c>
      <c r="D31" s="3291">
        <v>6582</v>
      </c>
      <c r="E31" s="3291">
        <v>4857</v>
      </c>
      <c r="F31" s="3291">
        <v>9669</v>
      </c>
      <c r="G31" s="3291">
        <v>7134</v>
      </c>
      <c r="H31" s="3291">
        <v>16251</v>
      </c>
      <c r="I31" s="3291">
        <v>11991</v>
      </c>
    </row>
    <row r="32" spans="1:11">
      <c r="A32" s="3389" t="s">
        <v>3386</v>
      </c>
      <c r="B32" s="3390"/>
      <c r="C32" s="3391"/>
      <c r="D32" s="3389" t="s">
        <v>3387</v>
      </c>
      <c r="E32" s="3391"/>
      <c r="F32" s="3389" t="s">
        <v>3388</v>
      </c>
      <c r="G32" s="3391"/>
      <c r="H32" s="3389" t="s">
        <v>3389</v>
      </c>
      <c r="I32" s="3391"/>
    </row>
    <row r="33" spans="1:9">
      <c r="A33" s="3392" t="s">
        <v>3390</v>
      </c>
      <c r="B33" s="3393"/>
      <c r="C33" s="3394"/>
      <c r="D33" s="3395">
        <v>0</v>
      </c>
      <c r="E33" s="3396"/>
      <c r="F33" s="3396"/>
      <c r="G33" s="3396"/>
      <c r="H33" s="3396"/>
      <c r="I33" s="3397"/>
    </row>
    <row r="34" spans="1:9">
      <c r="A34" s="3389" t="s">
        <v>3386</v>
      </c>
      <c r="B34" s="3390"/>
      <c r="C34" s="3391"/>
      <c r="D34" s="3389" t="s">
        <v>3391</v>
      </c>
      <c r="E34" s="3390"/>
      <c r="F34" s="3390"/>
      <c r="G34" s="3390"/>
      <c r="H34" s="3390"/>
      <c r="I34" s="3391"/>
    </row>
    <row r="35" spans="1:9">
      <c r="A35" s="3392" t="s">
        <v>3392</v>
      </c>
      <c r="B35" s="3393"/>
      <c r="C35" s="3394"/>
      <c r="D35" s="3395">
        <v>16251</v>
      </c>
      <c r="E35" s="3396"/>
      <c r="F35" s="3396"/>
      <c r="G35" s="3396"/>
      <c r="H35" s="3396"/>
      <c r="I35" s="3397"/>
    </row>
    <row r="36" spans="1:9" ht="14.25" thickBot="1">
      <c r="A36" s="3398" t="s">
        <v>3386</v>
      </c>
      <c r="B36" s="3399"/>
      <c r="C36" s="3400"/>
      <c r="D36" s="3398" t="s">
        <v>3389</v>
      </c>
      <c r="E36" s="3399"/>
      <c r="F36" s="3399"/>
      <c r="G36" s="3399"/>
      <c r="H36" s="3399"/>
      <c r="I36" s="3400"/>
    </row>
    <row r="37" spans="1:9" ht="14.25" thickTop="1"/>
    <row r="39" spans="1:9">
      <c r="B39" s="2683">
        <f>典型户型修正!B22</f>
        <v>7237.9800000000023</v>
      </c>
      <c r="D39" s="2683">
        <f ca="1">H39-F39</f>
        <v>23657</v>
      </c>
      <c r="F39" s="2683">
        <f ca="1">ROUND(H39*'收益法 (元)'!C80,0)</f>
        <v>6288</v>
      </c>
      <c r="H39" s="2683">
        <f ca="1">典型户型修正!S22</f>
        <v>29945</v>
      </c>
    </row>
    <row r="40" spans="1:9">
      <c r="B40" s="2683">
        <f>典型户型修正商!B22</f>
        <v>5390.7</v>
      </c>
      <c r="D40" s="2683">
        <f ca="1">H40-F40</f>
        <v>31199</v>
      </c>
      <c r="F40" s="2683">
        <f ca="1">ROUND(H40*收益法商!C80,0)</f>
        <v>3895</v>
      </c>
      <c r="H40" s="2683">
        <f ca="1">典型户型修正商!S22</f>
        <v>35094</v>
      </c>
    </row>
  </sheetData>
  <sheetProtection password="CEE9" sheet="1" objects="1" scenarios="1" formatCells="0" formatColumns="0" formatRows="0"/>
  <mergeCells count="18">
    <mergeCell ref="A34:C34"/>
    <mergeCell ref="D34:I34"/>
    <mergeCell ref="A35:C35"/>
    <mergeCell ref="D35:I35"/>
    <mergeCell ref="A36:C36"/>
    <mergeCell ref="D36:I36"/>
    <mergeCell ref="A32:C32"/>
    <mergeCell ref="D32:E32"/>
    <mergeCell ref="F32:G32"/>
    <mergeCell ref="H32:I32"/>
    <mergeCell ref="A33:C33"/>
    <mergeCell ref="D33:I33"/>
    <mergeCell ref="H29:I29"/>
    <mergeCell ref="A29:A30"/>
    <mergeCell ref="B29:B30"/>
    <mergeCell ref="C29:C30"/>
    <mergeCell ref="D29:E29"/>
    <mergeCell ref="F29:G29"/>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abSelected="1" topLeftCell="A52" workbookViewId="0">
      <selection activeCell="J76" sqref="J76"/>
    </sheetView>
  </sheetViews>
  <sheetFormatPr defaultRowHeight="13.5"/>
  <cols>
    <col min="2" max="2" width="13" customWidth="1"/>
    <col min="3" max="3" width="14.25" customWidth="1"/>
    <col min="4" max="4" width="17" hidden="1" customWidth="1"/>
    <col min="5" max="5" width="19.25" bestFit="1" customWidth="1"/>
    <col min="6" max="6" width="15" customWidth="1"/>
  </cols>
  <sheetData>
    <row r="1" spans="1:6">
      <c r="A1" s="3278" t="s">
        <v>3370</v>
      </c>
      <c r="B1" s="3278" t="s">
        <v>3371</v>
      </c>
      <c r="C1" s="3278" t="s">
        <v>3372</v>
      </c>
      <c r="D1" s="3279" t="s">
        <v>3373</v>
      </c>
      <c r="E1" s="3279" t="s">
        <v>3374</v>
      </c>
      <c r="F1" s="3279" t="s">
        <v>3397</v>
      </c>
    </row>
    <row r="2" spans="1:6">
      <c r="A2" s="3280">
        <v>1</v>
      </c>
      <c r="B2" s="3280" t="s">
        <v>3205</v>
      </c>
      <c r="C2" s="3280">
        <v>85</v>
      </c>
      <c r="D2" s="3281">
        <v>9.5809449999999998</v>
      </c>
      <c r="E2" s="3286">
        <f ca="1">典型户型修正!S24</f>
        <v>366</v>
      </c>
      <c r="F2" s="3286" t="s">
        <v>27</v>
      </c>
    </row>
    <row r="3" spans="1:6">
      <c r="A3" s="3280">
        <v>2</v>
      </c>
      <c r="B3" s="3280" t="s">
        <v>3206</v>
      </c>
      <c r="C3" s="3280">
        <v>104.92</v>
      </c>
      <c r="D3" s="3281">
        <v>11.826267639999999</v>
      </c>
      <c r="E3" s="3286">
        <f ca="1">典型户型修正!S25</f>
        <v>457</v>
      </c>
      <c r="F3" s="3286" t="s">
        <v>27</v>
      </c>
    </row>
    <row r="4" spans="1:6">
      <c r="A4" s="3280">
        <v>3</v>
      </c>
      <c r="B4" s="3280" t="s">
        <v>3207</v>
      </c>
      <c r="C4" s="3280">
        <v>104.92</v>
      </c>
      <c r="D4" s="3281">
        <v>11.826267639999999</v>
      </c>
      <c r="E4" s="3286">
        <f ca="1">典型户型修正!S26</f>
        <v>457</v>
      </c>
      <c r="F4" s="3286" t="s">
        <v>27</v>
      </c>
    </row>
    <row r="5" spans="1:6">
      <c r="A5" s="3280">
        <v>4</v>
      </c>
      <c r="B5" s="3280" t="s">
        <v>3208</v>
      </c>
      <c r="C5" s="3280">
        <v>132.82</v>
      </c>
      <c r="D5" s="3281">
        <v>14.97107194</v>
      </c>
      <c r="E5" s="3286">
        <f ca="1">典型户型修正!S27</f>
        <v>578</v>
      </c>
      <c r="F5" s="3286" t="s">
        <v>27</v>
      </c>
    </row>
    <row r="6" spans="1:6">
      <c r="A6" s="3280">
        <v>5</v>
      </c>
      <c r="B6" s="3280" t="s">
        <v>3209</v>
      </c>
      <c r="C6" s="3280">
        <v>132.82</v>
      </c>
      <c r="D6" s="3281">
        <v>14.97107194</v>
      </c>
      <c r="E6" s="3286">
        <f ca="1">典型户型修正!S28</f>
        <v>578</v>
      </c>
      <c r="F6" s="3286" t="s">
        <v>27</v>
      </c>
    </row>
    <row r="7" spans="1:6">
      <c r="A7" s="3280">
        <v>6</v>
      </c>
      <c r="B7" s="3280" t="s">
        <v>3210</v>
      </c>
      <c r="C7" s="3280">
        <v>132.82</v>
      </c>
      <c r="D7" s="3281">
        <v>14.97107194</v>
      </c>
      <c r="E7" s="3286">
        <f ca="1">典型户型修正!S29</f>
        <v>578</v>
      </c>
      <c r="F7" s="3286" t="s">
        <v>27</v>
      </c>
    </row>
    <row r="8" spans="1:6">
      <c r="A8" s="3280">
        <v>7</v>
      </c>
      <c r="B8" s="3280" t="s">
        <v>3211</v>
      </c>
      <c r="C8" s="3280">
        <v>104.92</v>
      </c>
      <c r="D8" s="3281">
        <v>11.826267639999999</v>
      </c>
      <c r="E8" s="3286">
        <f ca="1">典型户型修正!S30</f>
        <v>457</v>
      </c>
      <c r="F8" s="3286" t="s">
        <v>27</v>
      </c>
    </row>
    <row r="9" spans="1:6">
      <c r="A9" s="3280">
        <v>8</v>
      </c>
      <c r="B9" s="3280" t="s">
        <v>3212</v>
      </c>
      <c r="C9" s="3280">
        <v>135.22</v>
      </c>
      <c r="D9" s="3281">
        <v>15.24159274</v>
      </c>
      <c r="E9" s="3286">
        <f ca="1">典型户型修正!S31</f>
        <v>589</v>
      </c>
      <c r="F9" s="3286" t="s">
        <v>27</v>
      </c>
    </row>
    <row r="10" spans="1:6">
      <c r="A10" s="3280">
        <v>9</v>
      </c>
      <c r="B10" s="3280" t="s">
        <v>3213</v>
      </c>
      <c r="C10" s="3280">
        <v>135.22</v>
      </c>
      <c r="D10" s="3281">
        <v>15.24159274</v>
      </c>
      <c r="E10" s="3286">
        <f ca="1">典型户型修正!S32</f>
        <v>589</v>
      </c>
      <c r="F10" s="3286" t="s">
        <v>27</v>
      </c>
    </row>
    <row r="11" spans="1:6">
      <c r="A11" s="3280">
        <v>10</v>
      </c>
      <c r="B11" s="3280" t="s">
        <v>3214</v>
      </c>
      <c r="C11" s="3280">
        <v>109.06</v>
      </c>
      <c r="D11" s="3281">
        <v>12.29291602</v>
      </c>
      <c r="E11" s="3286">
        <f ca="1">典型户型修正!S33</f>
        <v>460</v>
      </c>
      <c r="F11" s="3286" t="s">
        <v>27</v>
      </c>
    </row>
    <row r="12" spans="1:6">
      <c r="A12" s="3280">
        <v>11</v>
      </c>
      <c r="B12" s="3280" t="s">
        <v>3215</v>
      </c>
      <c r="C12" s="3280">
        <v>109.06</v>
      </c>
      <c r="D12" s="3281">
        <v>12.29291602</v>
      </c>
      <c r="E12" s="3286">
        <f ca="1">典型户型修正!S34</f>
        <v>460</v>
      </c>
      <c r="F12" s="3286" t="s">
        <v>27</v>
      </c>
    </row>
    <row r="13" spans="1:6">
      <c r="A13" s="3280">
        <v>12</v>
      </c>
      <c r="B13" s="3280" t="s">
        <v>3216</v>
      </c>
      <c r="C13" s="3280">
        <v>109.06</v>
      </c>
      <c r="D13" s="3281">
        <v>12.29291602</v>
      </c>
      <c r="E13" s="3286">
        <f ca="1">典型户型修正!S35</f>
        <v>460</v>
      </c>
      <c r="F13" s="3286" t="s">
        <v>27</v>
      </c>
    </row>
    <row r="14" spans="1:6">
      <c r="A14" s="3280">
        <v>13</v>
      </c>
      <c r="B14" s="3280" t="s">
        <v>3217</v>
      </c>
      <c r="C14" s="3280">
        <v>109.06</v>
      </c>
      <c r="D14" s="3281">
        <v>12.29291602</v>
      </c>
      <c r="E14" s="3286">
        <f ca="1">典型户型修正!S36</f>
        <v>460</v>
      </c>
      <c r="F14" s="3286" t="s">
        <v>27</v>
      </c>
    </row>
    <row r="15" spans="1:6">
      <c r="A15" s="3280">
        <v>14</v>
      </c>
      <c r="B15" s="3280" t="s">
        <v>3218</v>
      </c>
      <c r="C15" s="3280">
        <v>201.75</v>
      </c>
      <c r="D15" s="3281">
        <v>22.740654750000001</v>
      </c>
      <c r="E15" s="3286">
        <f ca="1">典型户型修正!S37</f>
        <v>825</v>
      </c>
      <c r="F15" s="3286" t="s">
        <v>27</v>
      </c>
    </row>
    <row r="16" spans="1:6">
      <c r="A16" s="3280">
        <v>15</v>
      </c>
      <c r="B16" s="3280" t="s">
        <v>3219</v>
      </c>
      <c r="C16" s="3280">
        <v>206.15</v>
      </c>
      <c r="D16" s="3281">
        <v>23.236609550000001</v>
      </c>
      <c r="E16" s="3286">
        <f ca="1">典型户型修正!S38</f>
        <v>843</v>
      </c>
      <c r="F16" s="3286" t="s">
        <v>27</v>
      </c>
    </row>
    <row r="17" spans="1:6">
      <c r="A17" s="3280">
        <v>16</v>
      </c>
      <c r="B17" s="3280" t="s">
        <v>3220</v>
      </c>
      <c r="C17" s="3280">
        <v>171.04</v>
      </c>
      <c r="D17" s="3281">
        <v>19.27911568</v>
      </c>
      <c r="E17" s="3286">
        <f ca="1">典型户型修正!S39</f>
        <v>700</v>
      </c>
      <c r="F17" s="3286" t="s">
        <v>27</v>
      </c>
    </row>
    <row r="18" spans="1:6">
      <c r="A18" s="3280">
        <v>17</v>
      </c>
      <c r="B18" s="3280" t="s">
        <v>3221</v>
      </c>
      <c r="C18" s="3280">
        <v>171.97</v>
      </c>
      <c r="D18" s="3281">
        <v>19.383942489999999</v>
      </c>
      <c r="E18" s="3286">
        <f ca="1">典型户型修正!S40</f>
        <v>704</v>
      </c>
      <c r="F18" s="3286" t="s">
        <v>27</v>
      </c>
    </row>
    <row r="19" spans="1:6">
      <c r="A19" s="3280">
        <v>18</v>
      </c>
      <c r="B19" s="3280" t="s">
        <v>3222</v>
      </c>
      <c r="C19" s="3280">
        <v>109.06</v>
      </c>
      <c r="D19" s="3281">
        <v>12.29291602</v>
      </c>
      <c r="E19" s="3286">
        <f ca="1">典型户型修正!S41</f>
        <v>446</v>
      </c>
      <c r="F19" s="3286" t="s">
        <v>27</v>
      </c>
    </row>
    <row r="20" spans="1:6">
      <c r="A20" s="3280">
        <v>19</v>
      </c>
      <c r="B20" s="3280" t="s">
        <v>3223</v>
      </c>
      <c r="C20" s="3280">
        <v>109.06</v>
      </c>
      <c r="D20" s="3281">
        <v>12.29291602</v>
      </c>
      <c r="E20" s="3286">
        <f ca="1">典型户型修正!S42</f>
        <v>446</v>
      </c>
      <c r="F20" s="3286" t="s">
        <v>27</v>
      </c>
    </row>
    <row r="21" spans="1:6">
      <c r="A21" s="3280">
        <v>20</v>
      </c>
      <c r="B21" s="3280" t="s">
        <v>3224</v>
      </c>
      <c r="C21" s="3280">
        <v>109.06</v>
      </c>
      <c r="D21" s="3281">
        <v>12.29291602</v>
      </c>
      <c r="E21" s="3286">
        <f ca="1">典型户型修正!S43</f>
        <v>446</v>
      </c>
      <c r="F21" s="3286" t="s">
        <v>27</v>
      </c>
    </row>
    <row r="22" spans="1:6">
      <c r="A22" s="3280">
        <v>21</v>
      </c>
      <c r="B22" s="3280" t="s">
        <v>3225</v>
      </c>
      <c r="C22" s="3280">
        <v>109.06</v>
      </c>
      <c r="D22" s="3281">
        <v>12.29291602</v>
      </c>
      <c r="E22" s="3286">
        <f ca="1">典型户型修正!S44</f>
        <v>446</v>
      </c>
      <c r="F22" s="3286" t="s">
        <v>27</v>
      </c>
    </row>
    <row r="23" spans="1:6">
      <c r="A23" s="3280">
        <v>22</v>
      </c>
      <c r="B23" s="3280" t="s">
        <v>3226</v>
      </c>
      <c r="C23" s="3280">
        <v>109.06</v>
      </c>
      <c r="D23" s="3281">
        <v>12.29291602</v>
      </c>
      <c r="E23" s="3286">
        <f ca="1">典型户型修正!S45</f>
        <v>446</v>
      </c>
      <c r="F23" s="3286" t="s">
        <v>27</v>
      </c>
    </row>
    <row r="24" spans="1:6">
      <c r="A24" s="3280">
        <v>23</v>
      </c>
      <c r="B24" s="3280" t="s">
        <v>3227</v>
      </c>
      <c r="C24" s="3280">
        <v>171.97</v>
      </c>
      <c r="D24" s="3281">
        <v>19.383942489999999</v>
      </c>
      <c r="E24" s="3286">
        <f ca="1">典型户型修正!S46</f>
        <v>704</v>
      </c>
      <c r="F24" s="3286" t="s">
        <v>27</v>
      </c>
    </row>
    <row r="25" spans="1:6">
      <c r="A25" s="3280">
        <v>24</v>
      </c>
      <c r="B25" s="3280" t="s">
        <v>3228</v>
      </c>
      <c r="C25" s="3280">
        <v>171.04</v>
      </c>
      <c r="D25" s="3281">
        <v>19.27911568</v>
      </c>
      <c r="E25" s="3286">
        <f ca="1">典型户型修正!S47</f>
        <v>700</v>
      </c>
      <c r="F25" s="3286" t="s">
        <v>27</v>
      </c>
    </row>
    <row r="26" spans="1:6">
      <c r="A26" s="3280">
        <v>25</v>
      </c>
      <c r="B26" s="3280" t="s">
        <v>3229</v>
      </c>
      <c r="C26" s="3280">
        <v>206.14</v>
      </c>
      <c r="D26" s="3281">
        <v>23.235482380000001</v>
      </c>
      <c r="E26" s="3286">
        <f ca="1">典型户型修正!S48</f>
        <v>843</v>
      </c>
      <c r="F26" s="3286" t="s">
        <v>27</v>
      </c>
    </row>
    <row r="27" spans="1:6">
      <c r="A27" s="3280">
        <v>26</v>
      </c>
      <c r="B27" s="3280" t="s">
        <v>3230</v>
      </c>
      <c r="C27" s="3280">
        <v>201.75</v>
      </c>
      <c r="D27" s="3281">
        <v>22.740654750000001</v>
      </c>
      <c r="E27" s="3286">
        <f ca="1">典型户型修正!S49</f>
        <v>825</v>
      </c>
      <c r="F27" s="3286" t="s">
        <v>27</v>
      </c>
    </row>
    <row r="28" spans="1:6">
      <c r="A28" s="3280">
        <v>27</v>
      </c>
      <c r="B28" s="3280" t="s">
        <v>3231</v>
      </c>
      <c r="C28" s="3280">
        <v>138.01</v>
      </c>
      <c r="D28" s="3281">
        <v>15.556073169999999</v>
      </c>
      <c r="E28" s="3286">
        <f ca="1">典型户型修正!S50</f>
        <v>565</v>
      </c>
      <c r="F28" s="3286" t="s">
        <v>27</v>
      </c>
    </row>
    <row r="29" spans="1:6">
      <c r="A29" s="3280">
        <v>28</v>
      </c>
      <c r="B29" s="3280" t="s">
        <v>3232</v>
      </c>
      <c r="C29" s="3280">
        <v>138.01</v>
      </c>
      <c r="D29" s="3281">
        <v>15.556073169999999</v>
      </c>
      <c r="E29" s="3286">
        <f ca="1">典型户型修正!S51</f>
        <v>565</v>
      </c>
      <c r="F29" s="3286" t="s">
        <v>27</v>
      </c>
    </row>
    <row r="30" spans="1:6">
      <c r="A30" s="3280">
        <v>29</v>
      </c>
      <c r="B30" s="3280" t="s">
        <v>3233</v>
      </c>
      <c r="C30" s="3280">
        <v>108.47</v>
      </c>
      <c r="D30" s="3281">
        <v>12.22641299</v>
      </c>
      <c r="E30" s="3286">
        <f ca="1">典型户型修正!S52</f>
        <v>444</v>
      </c>
      <c r="F30" s="3286" t="s">
        <v>27</v>
      </c>
    </row>
    <row r="31" spans="1:6">
      <c r="A31" s="3280">
        <v>30</v>
      </c>
      <c r="B31" s="3280" t="s">
        <v>3234</v>
      </c>
      <c r="C31" s="3280">
        <v>108.47</v>
      </c>
      <c r="D31" s="3281">
        <v>12.22641299</v>
      </c>
      <c r="E31" s="3286">
        <f ca="1">典型户型修正!S53</f>
        <v>444</v>
      </c>
      <c r="F31" s="3286" t="s">
        <v>27</v>
      </c>
    </row>
    <row r="32" spans="1:6">
      <c r="A32" s="3280">
        <v>31</v>
      </c>
      <c r="B32" s="3280" t="s">
        <v>3235</v>
      </c>
      <c r="C32" s="3280">
        <v>100.31</v>
      </c>
      <c r="D32" s="3281">
        <v>11.306642269999999</v>
      </c>
      <c r="E32" s="3286">
        <f ca="1">典型户型修正!S54</f>
        <v>410</v>
      </c>
      <c r="F32" s="3286" t="s">
        <v>27</v>
      </c>
    </row>
    <row r="33" spans="1:6">
      <c r="A33" s="3280">
        <v>32</v>
      </c>
      <c r="B33" s="3280" t="s">
        <v>3236</v>
      </c>
      <c r="C33" s="3280">
        <v>108.47</v>
      </c>
      <c r="D33" s="3281">
        <v>12.22641299</v>
      </c>
      <c r="E33" s="3286">
        <f ca="1">典型户型修正!S55</f>
        <v>444</v>
      </c>
      <c r="F33" s="3286" t="s">
        <v>27</v>
      </c>
    </row>
    <row r="34" spans="1:6">
      <c r="A34" s="3280">
        <v>33</v>
      </c>
      <c r="B34" s="3280" t="s">
        <v>3237</v>
      </c>
      <c r="C34" s="3280">
        <v>108.47</v>
      </c>
      <c r="D34" s="3281">
        <v>12.22641299</v>
      </c>
      <c r="E34" s="3286">
        <f ca="1">典型户型修正!S56</f>
        <v>444</v>
      </c>
      <c r="F34" s="3286" t="s">
        <v>27</v>
      </c>
    </row>
    <row r="35" spans="1:6">
      <c r="A35" s="3280">
        <v>34</v>
      </c>
      <c r="B35" s="3280" t="s">
        <v>3238</v>
      </c>
      <c r="C35" s="3280">
        <v>138.01</v>
      </c>
      <c r="D35" s="3281">
        <v>15.556073169999999</v>
      </c>
      <c r="E35" s="3286">
        <f ca="1">典型户型修正!S57</f>
        <v>565</v>
      </c>
      <c r="F35" s="3286" t="s">
        <v>27</v>
      </c>
    </row>
    <row r="36" spans="1:6">
      <c r="A36" s="3280">
        <v>35</v>
      </c>
      <c r="B36" s="3280" t="s">
        <v>3239</v>
      </c>
      <c r="C36" s="3280">
        <v>138.01</v>
      </c>
      <c r="D36" s="3281">
        <v>15.556073169999999</v>
      </c>
      <c r="E36" s="3286">
        <f ca="1">典型户型修正!S58</f>
        <v>565</v>
      </c>
      <c r="F36" s="3286" t="s">
        <v>27</v>
      </c>
    </row>
    <row r="37" spans="1:6">
      <c r="A37" s="3280">
        <v>36</v>
      </c>
      <c r="B37" s="3280" t="s">
        <v>3240</v>
      </c>
      <c r="C37" s="3280">
        <v>201.75</v>
      </c>
      <c r="D37" s="3281">
        <v>22.740654750000001</v>
      </c>
      <c r="E37" s="3286">
        <f ca="1">典型户型修正!S59</f>
        <v>825</v>
      </c>
      <c r="F37" s="3286" t="s">
        <v>27</v>
      </c>
    </row>
    <row r="38" spans="1:6">
      <c r="A38" s="3280">
        <v>37</v>
      </c>
      <c r="B38" s="3280" t="s">
        <v>3241</v>
      </c>
      <c r="C38" s="3280">
        <v>206.15</v>
      </c>
      <c r="D38" s="3281">
        <v>23.236609550000001</v>
      </c>
      <c r="E38" s="3286">
        <f ca="1">典型户型修正!S60</f>
        <v>843</v>
      </c>
      <c r="F38" s="3286" t="s">
        <v>27</v>
      </c>
    </row>
    <row r="39" spans="1:6">
      <c r="A39" s="3280">
        <v>38</v>
      </c>
      <c r="B39" s="3280" t="s">
        <v>3242</v>
      </c>
      <c r="C39" s="3280">
        <v>109.06</v>
      </c>
      <c r="D39" s="3281">
        <v>12.29291602</v>
      </c>
      <c r="E39" s="3286">
        <f ca="1">典型户型修正!S61</f>
        <v>446</v>
      </c>
      <c r="F39" s="3286" t="s">
        <v>27</v>
      </c>
    </row>
    <row r="40" spans="1:6">
      <c r="A40" s="3280">
        <v>39</v>
      </c>
      <c r="B40" s="3280" t="s">
        <v>3243</v>
      </c>
      <c r="C40" s="3280">
        <v>109.06</v>
      </c>
      <c r="D40" s="3281">
        <v>12.29291602</v>
      </c>
      <c r="E40" s="3286">
        <f ca="1">典型户型修正!S62</f>
        <v>446</v>
      </c>
      <c r="F40" s="3286" t="s">
        <v>27</v>
      </c>
    </row>
    <row r="41" spans="1:6">
      <c r="A41" s="3280">
        <v>40</v>
      </c>
      <c r="B41" s="3280" t="s">
        <v>3244</v>
      </c>
      <c r="C41" s="3280">
        <v>109.06</v>
      </c>
      <c r="D41" s="3281">
        <v>12.29291602</v>
      </c>
      <c r="E41" s="3286">
        <f ca="1">典型户型修正!S63</f>
        <v>446</v>
      </c>
      <c r="F41" s="3286" t="s">
        <v>27</v>
      </c>
    </row>
    <row r="42" spans="1:6">
      <c r="A42" s="3280">
        <v>41</v>
      </c>
      <c r="B42" s="3280" t="s">
        <v>3245</v>
      </c>
      <c r="C42" s="3280">
        <v>109.06</v>
      </c>
      <c r="D42" s="3281">
        <v>12.29291602</v>
      </c>
      <c r="E42" s="3286">
        <f ca="1">典型户型修正!S64</f>
        <v>446</v>
      </c>
      <c r="F42" s="3286" t="s">
        <v>27</v>
      </c>
    </row>
    <row r="43" spans="1:6">
      <c r="A43" s="3280">
        <v>42</v>
      </c>
      <c r="B43" s="3280" t="s">
        <v>3246</v>
      </c>
      <c r="C43" s="3280">
        <v>171.97</v>
      </c>
      <c r="D43" s="3281">
        <v>19.383942489999999</v>
      </c>
      <c r="E43" s="3286">
        <f ca="1">典型户型修正!S65</f>
        <v>704</v>
      </c>
      <c r="F43" s="3286" t="s">
        <v>27</v>
      </c>
    </row>
    <row r="44" spans="1:6">
      <c r="A44" s="3280">
        <v>43</v>
      </c>
      <c r="B44" s="3280" t="s">
        <v>3247</v>
      </c>
      <c r="C44" s="3280">
        <v>201.75</v>
      </c>
      <c r="D44" s="3281">
        <v>22.740654750000001</v>
      </c>
      <c r="E44" s="3286">
        <f ca="1">典型户型修正!S66</f>
        <v>825</v>
      </c>
      <c r="F44" s="3286" t="s">
        <v>27</v>
      </c>
    </row>
    <row r="45" spans="1:6">
      <c r="A45" s="3280">
        <v>44</v>
      </c>
      <c r="B45" s="3280" t="s">
        <v>3248</v>
      </c>
      <c r="C45" s="3280">
        <v>138.01</v>
      </c>
      <c r="D45" s="3281">
        <v>15.556073169999999</v>
      </c>
      <c r="E45" s="3286">
        <f ca="1">典型户型修正!S67</f>
        <v>565</v>
      </c>
      <c r="F45" s="3286" t="s">
        <v>27</v>
      </c>
    </row>
    <row r="46" spans="1:6">
      <c r="A46" s="3401" t="s">
        <v>3375</v>
      </c>
      <c r="B46" s="3402"/>
      <c r="C46" s="3282">
        <f>ROUND(SUM(C2:C45),2)</f>
        <v>5994.11</v>
      </c>
      <c r="D46" s="3282">
        <f>ROUND(SUM(D2:D45),2)</f>
        <v>675.64</v>
      </c>
      <c r="E46" s="3282">
        <f ca="1">ROUND(SUM(E2:E45),2)</f>
        <v>24855</v>
      </c>
      <c r="F46" s="3282"/>
    </row>
    <row r="47" spans="1:6">
      <c r="A47" s="3280">
        <v>1</v>
      </c>
      <c r="B47" s="3280" t="s">
        <v>3183</v>
      </c>
      <c r="C47" s="3283">
        <v>410.74</v>
      </c>
      <c r="D47" s="3284">
        <v>46.297380580000002</v>
      </c>
      <c r="E47" s="3286">
        <f ca="1">典型户型修正商!S25</f>
        <v>3049</v>
      </c>
      <c r="F47" s="3286" t="s">
        <v>1102</v>
      </c>
    </row>
    <row r="48" spans="1:6">
      <c r="A48" s="3280">
        <v>2</v>
      </c>
      <c r="B48" s="3280" t="s">
        <v>3184</v>
      </c>
      <c r="C48" s="3283">
        <v>891.56</v>
      </c>
      <c r="D48" s="3284">
        <v>100.49396852</v>
      </c>
      <c r="E48" s="3286">
        <f ca="1">典型户型修正商!S26</f>
        <v>6551</v>
      </c>
      <c r="F48" s="3286" t="s">
        <v>1102</v>
      </c>
    </row>
    <row r="49" spans="1:6">
      <c r="A49" s="3280">
        <v>3</v>
      </c>
      <c r="B49" s="3280" t="s">
        <v>3185</v>
      </c>
      <c r="C49" s="3283">
        <v>820.83</v>
      </c>
      <c r="D49" s="3284">
        <v>92.521495110000004</v>
      </c>
      <c r="E49" s="3286">
        <f ca="1">典型户型修正商!S27</f>
        <v>6031</v>
      </c>
      <c r="F49" s="3286" t="s">
        <v>1102</v>
      </c>
    </row>
    <row r="50" spans="1:6">
      <c r="A50" s="3280">
        <v>4</v>
      </c>
      <c r="B50" s="3280" t="s">
        <v>3186</v>
      </c>
      <c r="C50" s="3283">
        <v>114.12</v>
      </c>
      <c r="D50" s="3284">
        <v>12.863264040000001</v>
      </c>
      <c r="E50" s="3286">
        <f ca="1">典型户型修正商!S24</f>
        <v>864</v>
      </c>
      <c r="F50" s="3286" t="s">
        <v>1102</v>
      </c>
    </row>
    <row r="51" spans="1:6">
      <c r="A51" s="3280">
        <v>5</v>
      </c>
      <c r="B51" s="3280" t="s">
        <v>3187</v>
      </c>
      <c r="C51" s="3283">
        <v>229.57</v>
      </c>
      <c r="D51" s="3284">
        <v>25.87644169</v>
      </c>
      <c r="E51" s="3286">
        <f ca="1">典型户型修正商!S28</f>
        <v>1317</v>
      </c>
      <c r="F51" s="3286" t="s">
        <v>1102</v>
      </c>
    </row>
    <row r="52" spans="1:6">
      <c r="A52" s="3280">
        <v>6</v>
      </c>
      <c r="B52" s="3280" t="s">
        <v>3188</v>
      </c>
      <c r="C52" s="3283">
        <v>174.61</v>
      </c>
      <c r="D52" s="3284">
        <v>19.68151537</v>
      </c>
      <c r="E52" s="3286">
        <f ca="1">典型户型修正商!S29</f>
        <v>1012</v>
      </c>
      <c r="F52" s="3286" t="s">
        <v>1102</v>
      </c>
    </row>
    <row r="53" spans="1:6">
      <c r="A53" s="3280">
        <v>7</v>
      </c>
      <c r="B53" s="3280" t="s">
        <v>3189</v>
      </c>
      <c r="C53" s="3283">
        <v>579.52</v>
      </c>
      <c r="D53" s="3284">
        <v>65.321755839999994</v>
      </c>
      <c r="E53" s="3286">
        <f ca="1">典型户型修正商!S30</f>
        <v>3258</v>
      </c>
      <c r="F53" s="3286" t="s">
        <v>1102</v>
      </c>
    </row>
    <row r="54" spans="1:6">
      <c r="A54" s="3280">
        <v>8</v>
      </c>
      <c r="B54" s="3280" t="s">
        <v>3190</v>
      </c>
      <c r="C54" s="3283">
        <v>392.45</v>
      </c>
      <c r="D54" s="3284">
        <v>44.235786650000001</v>
      </c>
      <c r="E54" s="3286">
        <f ca="1">典型户型修正商!S31</f>
        <v>2229</v>
      </c>
      <c r="F54" s="3286" t="s">
        <v>1102</v>
      </c>
    </row>
    <row r="55" spans="1:6">
      <c r="A55" s="3280">
        <v>9</v>
      </c>
      <c r="B55" s="3280" t="s">
        <v>3191</v>
      </c>
      <c r="C55" s="3283">
        <v>129.91</v>
      </c>
      <c r="D55" s="3284">
        <v>14.64306547</v>
      </c>
      <c r="E55" s="3286">
        <f ca="1">典型户型修正商!S32</f>
        <v>753</v>
      </c>
      <c r="F55" s="3286" t="s">
        <v>1102</v>
      </c>
    </row>
    <row r="56" spans="1:6">
      <c r="A56" s="3280">
        <v>10</v>
      </c>
      <c r="B56" s="3280" t="s">
        <v>3192</v>
      </c>
      <c r="C56" s="3283">
        <v>130.21</v>
      </c>
      <c r="D56" s="3284">
        <v>14.67688057</v>
      </c>
      <c r="E56" s="3286">
        <f ca="1">典型户型修正商!S33</f>
        <v>755</v>
      </c>
      <c r="F56" s="3286" t="s">
        <v>1102</v>
      </c>
    </row>
    <row r="57" spans="1:6">
      <c r="A57" s="3280">
        <v>11</v>
      </c>
      <c r="B57" s="3280" t="s">
        <v>3193</v>
      </c>
      <c r="C57" s="3283">
        <v>219.79</v>
      </c>
      <c r="D57" s="3284">
        <v>24.774069430000001</v>
      </c>
      <c r="E57" s="3286">
        <f ca="1">典型户型修正商!S34</f>
        <v>1261</v>
      </c>
      <c r="F57" s="3286" t="s">
        <v>1102</v>
      </c>
    </row>
    <row r="58" spans="1:6">
      <c r="A58" s="3280">
        <v>12</v>
      </c>
      <c r="B58" s="3280" t="s">
        <v>3194</v>
      </c>
      <c r="C58" s="3283">
        <v>147.19999999999999</v>
      </c>
      <c r="D58" s="3284">
        <v>16.591942400000001</v>
      </c>
      <c r="E58" s="3286">
        <f ca="1">典型户型修正商!S35</f>
        <v>853</v>
      </c>
      <c r="F58" s="3286" t="s">
        <v>1102</v>
      </c>
    </row>
    <row r="59" spans="1:6">
      <c r="A59" s="3280">
        <v>13</v>
      </c>
      <c r="B59" s="3280" t="s">
        <v>3195</v>
      </c>
      <c r="C59" s="3283">
        <v>221.24</v>
      </c>
      <c r="D59" s="3284">
        <v>24.937509080000002</v>
      </c>
      <c r="E59" s="3286">
        <f ca="1">典型户型修正商!S36</f>
        <v>1269</v>
      </c>
      <c r="F59" s="3286" t="s">
        <v>1102</v>
      </c>
    </row>
    <row r="60" spans="1:6">
      <c r="A60" s="3280">
        <v>14</v>
      </c>
      <c r="B60" s="3280" t="s">
        <v>3196</v>
      </c>
      <c r="C60" s="3283">
        <v>341.21</v>
      </c>
      <c r="D60" s="3284">
        <v>38.460167570000003</v>
      </c>
      <c r="E60" s="3286">
        <f ca="1">典型户型修正商!S37</f>
        <v>1938</v>
      </c>
      <c r="F60" s="3286" t="s">
        <v>1102</v>
      </c>
    </row>
    <row r="61" spans="1:6">
      <c r="A61" s="3280">
        <v>15</v>
      </c>
      <c r="B61" s="3280" t="s">
        <v>3197</v>
      </c>
      <c r="C61" s="3283">
        <v>105.02</v>
      </c>
      <c r="D61" s="3284">
        <v>11.837539339999999</v>
      </c>
      <c r="E61" s="3286">
        <f ca="1">典型户型修正商!S38</f>
        <v>609</v>
      </c>
      <c r="F61" s="3286" t="s">
        <v>1102</v>
      </c>
    </row>
    <row r="62" spans="1:6">
      <c r="A62" s="3280">
        <v>16</v>
      </c>
      <c r="B62" s="3280" t="s">
        <v>3198</v>
      </c>
      <c r="C62" s="3283">
        <v>105.26</v>
      </c>
      <c r="D62" s="3284">
        <v>11.86459142</v>
      </c>
      <c r="E62" s="3286">
        <f ca="1">典型户型修正商!S39</f>
        <v>610</v>
      </c>
      <c r="F62" s="3286" t="s">
        <v>1102</v>
      </c>
    </row>
    <row r="63" spans="1:6">
      <c r="A63" s="3280">
        <v>17</v>
      </c>
      <c r="B63" s="3280" t="s">
        <v>3199</v>
      </c>
      <c r="C63" s="3283">
        <v>56.19</v>
      </c>
      <c r="D63" s="3284">
        <v>6.33356823</v>
      </c>
      <c r="E63" s="3286">
        <f ca="1">典型户型修正商!S40</f>
        <v>368</v>
      </c>
      <c r="F63" s="3286" t="s">
        <v>1102</v>
      </c>
    </row>
    <row r="64" spans="1:6">
      <c r="A64" s="3280">
        <v>18</v>
      </c>
      <c r="B64" s="3280" t="s">
        <v>3200</v>
      </c>
      <c r="C64" s="3283">
        <v>43.73</v>
      </c>
      <c r="D64" s="3284">
        <v>4.9291144100000004</v>
      </c>
      <c r="E64" s="3286">
        <f ca="1">典型户型修正商!S41</f>
        <v>286</v>
      </c>
      <c r="F64" s="3286" t="s">
        <v>1102</v>
      </c>
    </row>
    <row r="65" spans="1:6">
      <c r="A65" s="3280">
        <v>19</v>
      </c>
      <c r="B65" s="3280" t="s">
        <v>3201</v>
      </c>
      <c r="C65" s="3283">
        <v>277.54000000000002</v>
      </c>
      <c r="D65" s="3284">
        <v>31.283476180000001</v>
      </c>
      <c r="E65" s="3286">
        <f ca="1">典型户型修正商!S42</f>
        <v>2081</v>
      </c>
      <c r="F65" s="3286" t="s">
        <v>1102</v>
      </c>
    </row>
    <row r="66" spans="1:6">
      <c r="A66" s="3280">
        <v>20</v>
      </c>
      <c r="B66" s="3280" t="s">
        <v>3249</v>
      </c>
      <c r="C66" s="3283">
        <v>206.15</v>
      </c>
      <c r="D66" s="3284">
        <v>23.236609550000001</v>
      </c>
      <c r="E66" s="3286">
        <f ca="1">典型户型修正!S68</f>
        <v>843</v>
      </c>
      <c r="F66" s="3286" t="s">
        <v>27</v>
      </c>
    </row>
    <row r="67" spans="1:6">
      <c r="A67" s="3280">
        <v>21</v>
      </c>
      <c r="B67" s="3280" t="s">
        <v>3250</v>
      </c>
      <c r="C67" s="3283">
        <v>171.04</v>
      </c>
      <c r="D67" s="3284">
        <v>19.27911568</v>
      </c>
      <c r="E67" s="3286">
        <f ca="1">典型户型修正!S69</f>
        <v>700</v>
      </c>
      <c r="F67" s="3286" t="s">
        <v>27</v>
      </c>
    </row>
    <row r="68" spans="1:6">
      <c r="A68" s="3280">
        <v>22</v>
      </c>
      <c r="B68" s="3280" t="s">
        <v>3251</v>
      </c>
      <c r="C68" s="3283">
        <v>171.97</v>
      </c>
      <c r="D68" s="3284">
        <v>19.383942489999999</v>
      </c>
      <c r="E68" s="3286">
        <f ca="1">典型户型修正!S70</f>
        <v>704</v>
      </c>
      <c r="F68" s="3286" t="s">
        <v>27</v>
      </c>
    </row>
    <row r="69" spans="1:6">
      <c r="A69" s="3280">
        <v>23</v>
      </c>
      <c r="B69" s="3280" t="s">
        <v>3252</v>
      </c>
      <c r="C69" s="3283">
        <v>108.47</v>
      </c>
      <c r="D69" s="3284">
        <v>12.22641299</v>
      </c>
      <c r="E69" s="3286">
        <f ca="1">典型户型修正!S71</f>
        <v>444</v>
      </c>
      <c r="F69" s="3286" t="s">
        <v>27</v>
      </c>
    </row>
    <row r="70" spans="1:6">
      <c r="A70" s="3280">
        <v>24</v>
      </c>
      <c r="B70" s="3280" t="s">
        <v>3253</v>
      </c>
      <c r="C70" s="3283">
        <v>108.47</v>
      </c>
      <c r="D70" s="3284">
        <v>12.22641299</v>
      </c>
      <c r="E70" s="3286">
        <f ca="1">典型户型修正!S72</f>
        <v>444</v>
      </c>
      <c r="F70" s="3286" t="s">
        <v>27</v>
      </c>
    </row>
    <row r="71" spans="1:6">
      <c r="A71" s="3280">
        <v>25</v>
      </c>
      <c r="B71" s="3280" t="s">
        <v>3254</v>
      </c>
      <c r="C71" s="3283">
        <v>138.01</v>
      </c>
      <c r="D71" s="3284">
        <v>15.556073169999999</v>
      </c>
      <c r="E71" s="3286">
        <f ca="1">典型户型修正!S73</f>
        <v>565</v>
      </c>
      <c r="F71" s="3286" t="s">
        <v>27</v>
      </c>
    </row>
    <row r="72" spans="1:6">
      <c r="A72" s="3280">
        <v>26</v>
      </c>
      <c r="B72" s="3280" t="s">
        <v>3255</v>
      </c>
      <c r="C72" s="3283">
        <v>138.01</v>
      </c>
      <c r="D72" s="3284">
        <v>15.556073169999999</v>
      </c>
      <c r="E72" s="3286">
        <f ca="1">典型户型修正!S74</f>
        <v>565</v>
      </c>
      <c r="F72" s="3286" t="s">
        <v>27</v>
      </c>
    </row>
    <row r="73" spans="1:6">
      <c r="A73" s="3280">
        <v>27</v>
      </c>
      <c r="B73" s="3280" t="s">
        <v>3256</v>
      </c>
      <c r="C73" s="3283">
        <v>201.75</v>
      </c>
      <c r="D73" s="3284">
        <v>22.740654750000001</v>
      </c>
      <c r="E73" s="3286">
        <f ca="1">典型户型修正!S75</f>
        <v>825</v>
      </c>
      <c r="F73" s="3286" t="s">
        <v>27</v>
      </c>
    </row>
    <row r="74" spans="1:6">
      <c r="A74" s="3401" t="s">
        <v>3375</v>
      </c>
      <c r="B74" s="3402"/>
      <c r="C74" s="3282">
        <f>ROUND(SUM(C47:C73),2)</f>
        <v>6634.57</v>
      </c>
      <c r="D74" s="3282">
        <f>ROUND(SUM(D47:D73),2)</f>
        <v>747.83</v>
      </c>
      <c r="E74" s="3282">
        <f ca="1">ROUND(SUM(E47:E73),2)</f>
        <v>40184</v>
      </c>
      <c r="F74" s="3282"/>
    </row>
    <row r="75" spans="1:6">
      <c r="A75" s="3401" t="s">
        <v>3376</v>
      </c>
      <c r="B75" s="3402"/>
      <c r="C75" s="3282">
        <f>SUM(C74,C46)</f>
        <v>12628.68</v>
      </c>
      <c r="D75" s="3282">
        <f>SUM(D74,D46)</f>
        <v>1423.47</v>
      </c>
      <c r="E75" s="3282">
        <f ca="1">SUM(E74,E46)</f>
        <v>65039</v>
      </c>
      <c r="F75" s="3282"/>
    </row>
    <row r="76" spans="1:6">
      <c r="D76" s="3285">
        <f>SUM(D47:D65)</f>
        <v>607.62353189999988</v>
      </c>
      <c r="E76" s="3292">
        <f ca="1">E75*10000</f>
        <v>650390000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7" sqref="K27"/>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73" t="str">
        <f>项目基本情况!S2</f>
        <v>北京市西直门外大街18号楼房地产</v>
      </c>
      <c r="B2" s="3474"/>
      <c r="C2" s="3474"/>
      <c r="D2" s="3474"/>
      <c r="E2" s="3474"/>
      <c r="F2" s="3474"/>
      <c r="G2" s="3474"/>
      <c r="H2" s="3474"/>
      <c r="I2" s="3475"/>
    </row>
    <row r="3" spans="1:12" ht="12.75">
      <c r="A3" s="3477" t="s">
        <v>1709</v>
      </c>
      <c r="B3" s="3478"/>
      <c r="C3" s="3478"/>
      <c r="D3" s="3478"/>
      <c r="E3" s="3478"/>
      <c r="F3" s="3478"/>
      <c r="G3" s="3478"/>
      <c r="H3" s="3478"/>
      <c r="I3" s="3478"/>
    </row>
    <row r="4" spans="1:12" ht="14.25">
      <c r="A4" s="1888" t="s">
        <v>1710</v>
      </c>
      <c r="B4" s="1889" t="s">
        <v>1711</v>
      </c>
      <c r="C4" s="1890" t="s">
        <v>3268</v>
      </c>
      <c r="D4" s="1890" t="s">
        <v>3266</v>
      </c>
      <c r="E4" s="3482" t="s">
        <v>1712</v>
      </c>
      <c r="F4" s="3483"/>
      <c r="G4" s="3483"/>
      <c r="H4" s="3483"/>
      <c r="I4" s="348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8" t="s">
        <v>1713</v>
      </c>
      <c r="B5" s="3476">
        <v>25</v>
      </c>
      <c r="C5" s="3479"/>
      <c r="D5" s="3467"/>
      <c r="E5" s="136" t="s">
        <v>1714</v>
      </c>
      <c r="F5" s="1891"/>
      <c r="G5" s="1891"/>
      <c r="H5" s="1891"/>
      <c r="I5" s="1505"/>
    </row>
    <row r="6" spans="1:12" ht="12.75">
      <c r="A6" s="3418"/>
      <c r="B6" s="3476"/>
      <c r="C6" s="3481"/>
      <c r="D6" s="3467"/>
      <c r="E6" s="136" t="s">
        <v>1715</v>
      </c>
      <c r="F6" s="1891"/>
      <c r="G6" s="1891"/>
      <c r="H6" s="1891"/>
      <c r="I6" s="1505"/>
    </row>
    <row r="7" spans="1:12" ht="12.75">
      <c r="A7" s="3418"/>
      <c r="B7" s="3476"/>
      <c r="C7" s="3480"/>
      <c r="D7" s="3467"/>
      <c r="E7" s="136" t="s">
        <v>1716</v>
      </c>
      <c r="F7" s="1891"/>
      <c r="G7" s="1891"/>
      <c r="H7" s="1891"/>
      <c r="I7" s="1505"/>
    </row>
    <row r="8" spans="1:12" ht="12.75">
      <c r="A8" s="3418" t="s">
        <v>1717</v>
      </c>
      <c r="B8" s="3476">
        <v>15</v>
      </c>
      <c r="C8" s="3479"/>
      <c r="D8" s="3467"/>
      <c r="E8" s="136" t="s">
        <v>1718</v>
      </c>
      <c r="F8" s="1891"/>
      <c r="G8" s="1891"/>
      <c r="H8" s="1891"/>
      <c r="I8" s="1505"/>
    </row>
    <row r="9" spans="1:12" ht="12.75">
      <c r="A9" s="3418"/>
      <c r="B9" s="3476"/>
      <c r="C9" s="3480"/>
      <c r="D9" s="3467"/>
      <c r="E9" s="136" t="s">
        <v>1719</v>
      </c>
      <c r="F9" s="1891"/>
      <c r="G9" s="1891"/>
      <c r="H9" s="1891"/>
      <c r="I9" s="1505"/>
    </row>
    <row r="10" spans="1:12" ht="12.75">
      <c r="A10" s="3418" t="s">
        <v>1720</v>
      </c>
      <c r="B10" s="3476">
        <v>15</v>
      </c>
      <c r="C10" s="3479"/>
      <c r="D10" s="3467"/>
      <c r="E10" s="136" t="s">
        <v>1721</v>
      </c>
      <c r="F10" s="1891"/>
      <c r="G10" s="1891"/>
      <c r="H10" s="1891"/>
      <c r="I10" s="1505"/>
    </row>
    <row r="11" spans="1:12" ht="12.75">
      <c r="A11" s="3418"/>
      <c r="B11" s="3476"/>
      <c r="C11" s="3480"/>
      <c r="D11" s="3467"/>
      <c r="E11" s="136" t="s">
        <v>1722</v>
      </c>
      <c r="F11" s="1891"/>
      <c r="G11" s="1891"/>
      <c r="H11" s="1891"/>
      <c r="I11" s="1505"/>
    </row>
    <row r="12" spans="1:12" ht="12.75">
      <c r="A12" s="3418" t="s">
        <v>1723</v>
      </c>
      <c r="B12" s="3476">
        <v>15</v>
      </c>
      <c r="C12" s="3479"/>
      <c r="D12" s="3467"/>
      <c r="E12" s="136" t="s">
        <v>1724</v>
      </c>
      <c r="F12" s="1891"/>
      <c r="G12" s="1891"/>
      <c r="H12" s="1891"/>
      <c r="I12" s="1505"/>
    </row>
    <row r="13" spans="1:12" ht="12.75">
      <c r="A13" s="3418"/>
      <c r="B13" s="3476"/>
      <c r="C13" s="3480"/>
      <c r="D13" s="3467"/>
      <c r="E13" s="136" t="s">
        <v>1725</v>
      </c>
      <c r="F13" s="1891"/>
      <c r="G13" s="1891"/>
      <c r="H13" s="1891"/>
      <c r="I13" s="1505"/>
    </row>
    <row r="14" spans="1:12" ht="12.75">
      <c r="A14" s="3418" t="s">
        <v>1726</v>
      </c>
      <c r="B14" s="3476">
        <v>30</v>
      </c>
      <c r="C14" s="3479">
        <v>6</v>
      </c>
      <c r="D14" s="3467">
        <v>4</v>
      </c>
      <c r="E14" s="136" t="s">
        <v>1727</v>
      </c>
      <c r="F14" s="1891"/>
      <c r="G14" s="1891"/>
      <c r="H14" s="1891"/>
      <c r="I14" s="1505"/>
    </row>
    <row r="15" spans="1:12" ht="12.75">
      <c r="A15" s="3418"/>
      <c r="B15" s="3476"/>
      <c r="C15" s="3481"/>
      <c r="D15" s="3467"/>
      <c r="E15" s="136" t="s">
        <v>1728</v>
      </c>
      <c r="F15" s="1891"/>
      <c r="G15" s="1891"/>
      <c r="H15" s="1891"/>
      <c r="I15" s="1505"/>
    </row>
    <row r="16" spans="1:12" ht="12.75">
      <c r="A16" s="3418"/>
      <c r="B16" s="3476"/>
      <c r="C16" s="3480"/>
      <c r="D16" s="3467"/>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98" t="s">
        <v>2629</v>
      </c>
      <c r="F18" s="3499"/>
      <c r="G18" s="3499"/>
      <c r="H18" s="3499"/>
      <c r="I18" s="3499"/>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423</v>
      </c>
      <c r="D19" s="140">
        <f ca="1">SUMIF(INDIRECT("'"&amp;D4&amp;"'"&amp;"!A:A"),结果表!B19,INDIRECT("'"&amp;D4&amp;"'"&amp;"!B:B"))</f>
        <v>281</v>
      </c>
      <c r="E19" s="1895" t="s">
        <v>1737</v>
      </c>
      <c r="F19" s="1896" t="s">
        <v>1736</v>
      </c>
      <c r="G19" s="141">
        <f ca="1">ROUND(C19*$C$18+D19*$D$18,0)</f>
        <v>366</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49763</v>
      </c>
      <c r="D20" s="143">
        <f ca="1">SUMIF(INDIRECT("'"&amp;D4&amp;"'"&amp;"!A:A"),结果表!B20,INDIRECT("'"&amp;D4&amp;"'"&amp;"!B:B"))</f>
        <v>33096</v>
      </c>
      <c r="E20" s="1898"/>
      <c r="F20" s="1135" t="s">
        <v>1740</v>
      </c>
      <c r="G20" s="144">
        <f ca="1">ROUND(C20*$C$18+D20*$D$18,0)</f>
        <v>43096</v>
      </c>
      <c r="H20" s="895" t="s">
        <v>1741</v>
      </c>
      <c r="I20" s="134"/>
    </row>
    <row r="21" spans="1:36" ht="15" customHeight="1" thickBot="1">
      <c r="A21" s="915"/>
      <c r="B21" s="1899" t="s">
        <v>1742</v>
      </c>
      <c r="C21" s="725">
        <f ca="1">ROUND(C19*10000/L19,0)</f>
        <v>188503</v>
      </c>
      <c r="D21" s="726">
        <f ca="1">ROUND(D19*10000/L19,0)</f>
        <v>125223</v>
      </c>
      <c r="E21" s="915"/>
      <c r="F21" s="1899" t="s">
        <v>1742</v>
      </c>
      <c r="G21" s="145">
        <f ca="1">ROUND(G19*10000/L19,0)</f>
        <v>163102</v>
      </c>
      <c r="H21" s="1900" t="s">
        <v>1741</v>
      </c>
      <c r="I21" s="134"/>
    </row>
    <row r="22" spans="1:36" ht="15" thickBot="1">
      <c r="A22" s="1822" t="s">
        <v>1743</v>
      </c>
      <c r="B22" s="1901"/>
      <c r="C22" s="1902"/>
      <c r="D22" s="727">
        <f ca="1">IF(C19&lt;D19,D19/C19-1,C19/D19-1)</f>
        <v>0.50533807829181487</v>
      </c>
      <c r="E22" s="134"/>
      <c r="F22" s="134"/>
      <c r="G22" s="134"/>
      <c r="H22" s="134"/>
      <c r="I22" s="134"/>
    </row>
    <row r="23" spans="1:36" ht="13.5" thickBot="1">
      <c r="A23" s="1881"/>
      <c r="B23" s="1881"/>
      <c r="C23" s="1881"/>
      <c r="D23" s="1881"/>
      <c r="E23" s="134"/>
      <c r="F23" s="134"/>
      <c r="G23" s="134"/>
      <c r="H23" s="134"/>
      <c r="I23" s="134"/>
    </row>
    <row r="24" spans="1:36" ht="14.25">
      <c r="A24" s="3491" t="s">
        <v>1744</v>
      </c>
      <c r="B24" s="1896" t="s">
        <v>1736</v>
      </c>
      <c r="C24" s="141">
        <f>IF(B30=0,0,D30)</f>
        <v>0</v>
      </c>
      <c r="D24" s="1903"/>
      <c r="E24" s="134"/>
      <c r="F24" s="134"/>
      <c r="G24" s="134"/>
      <c r="H24" s="134"/>
      <c r="I24" s="134"/>
    </row>
    <row r="25" spans="1:36" ht="14.25">
      <c r="A25" s="349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43096</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68" t="s">
        <v>1757</v>
      </c>
      <c r="B36" s="1921" t="s">
        <v>1758</v>
      </c>
      <c r="C36" s="150"/>
      <c r="D36" s="1922"/>
      <c r="E36" s="1923"/>
      <c r="F36" s="1924"/>
      <c r="G36" s="134"/>
      <c r="H36" s="134"/>
      <c r="I36" s="134"/>
    </row>
    <row r="37" spans="1:15" ht="15.75" thickBot="1">
      <c r="A37" s="3469"/>
      <c r="B37" s="1808" t="s">
        <v>1759</v>
      </c>
      <c r="C37" s="152"/>
      <c r="D37" s="1251"/>
      <c r="E37" s="1251"/>
      <c r="F37" s="1924"/>
      <c r="G37" s="134"/>
      <c r="H37" s="134"/>
      <c r="I37" s="134"/>
    </row>
    <row r="38" spans="1:15" ht="15.75" thickBot="1">
      <c r="A38" s="3470"/>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88" t="s">
        <v>1771</v>
      </c>
      <c r="B45" s="3489"/>
      <c r="C45" s="3490"/>
      <c r="D45" s="160" t="e">
        <f ca="1">ROUND(H101*F45,0)</f>
        <v>#REF!</v>
      </c>
      <c r="E45" s="161" t="s">
        <v>1772</v>
      </c>
      <c r="F45" s="162">
        <v>1</v>
      </c>
      <c r="G45" s="163" t="s">
        <v>1773</v>
      </c>
      <c r="H45" s="134"/>
      <c r="I45" s="134"/>
      <c r="J45" s="3405" t="s">
        <v>1774</v>
      </c>
      <c r="K45" s="3405"/>
      <c r="L45" s="3405"/>
      <c r="M45" s="3405"/>
      <c r="N45" s="3405"/>
      <c r="O45" s="3405"/>
    </row>
    <row r="46" spans="1:15" ht="14.25" customHeight="1">
      <c r="A46" s="3485" t="s">
        <v>1775</v>
      </c>
      <c r="B46" s="3486"/>
      <c r="C46" s="3486"/>
      <c r="D46" s="3486"/>
      <c r="E46" s="3486"/>
      <c r="F46" s="3486"/>
      <c r="G46" s="3487"/>
      <c r="H46" s="1940"/>
      <c r="I46" s="164"/>
      <c r="J46" s="2693">
        <v>1</v>
      </c>
      <c r="K46" s="3406" t="s">
        <v>1776</v>
      </c>
      <c r="L46" s="3406"/>
      <c r="M46" s="3407"/>
      <c r="N46" s="3407"/>
      <c r="O46" s="3407"/>
    </row>
    <row r="47" spans="1:15" ht="12" customHeight="1">
      <c r="A47" s="165" t="s">
        <v>1777</v>
      </c>
      <c r="B47" s="166"/>
      <c r="C47" s="167"/>
      <c r="D47" s="1197" t="s">
        <v>1778</v>
      </c>
      <c r="E47" s="308" t="s">
        <v>1779</v>
      </c>
      <c r="F47" s="168" t="s">
        <v>1780</v>
      </c>
      <c r="G47" s="2716" t="s">
        <v>1781</v>
      </c>
      <c r="H47" s="2717"/>
      <c r="I47" s="164"/>
      <c r="J47" s="2693">
        <v>2</v>
      </c>
      <c r="K47" s="3406" t="s">
        <v>1782</v>
      </c>
      <c r="L47" s="3406"/>
      <c r="M47" s="3408">
        <f>'数据-取费表'!B2</f>
        <v>44798</v>
      </c>
      <c r="N47" s="3408"/>
      <c r="O47" s="3408"/>
    </row>
    <row r="48" spans="1:15" ht="25.5">
      <c r="A48" s="3471" t="s">
        <v>1783</v>
      </c>
      <c r="B48" s="3472"/>
      <c r="C48" s="3472"/>
      <c r="D48" s="2494" t="b">
        <f>IF(H48="情况1",0,IF(H48="情况2",D52,IF(H48="情况3",D53,IF(H48="情况4",D54))))</f>
        <v>0</v>
      </c>
      <c r="E48" s="2504" t="str">
        <f>IF(H48="情况4","(销售额-原购置价)×税（费）率","销售额×税（费）率")</f>
        <v>销售额×税（费）率</v>
      </c>
      <c r="F48" s="2718">
        <f>IF(H48="情况1","免征",'数据-取费表'!B41)</f>
        <v>5.6000000000000001E-2</v>
      </c>
      <c r="G48" s="2719" t="s">
        <v>1784</v>
      </c>
      <c r="H48" s="2720"/>
      <c r="I48" s="1940"/>
      <c r="J48" s="2693">
        <v>3</v>
      </c>
      <c r="K48" s="3406" t="s">
        <v>1785</v>
      </c>
      <c r="L48" s="3406"/>
      <c r="M48" s="3409" t="e">
        <f ca="1">H101</f>
        <v>#REF!</v>
      </c>
      <c r="N48" s="3409"/>
      <c r="O48" s="3409"/>
    </row>
    <row r="49" spans="1:35" ht="25.5" customHeight="1">
      <c r="A49" s="2503" t="s">
        <v>1786</v>
      </c>
      <c r="B49" s="3454" t="s">
        <v>1787</v>
      </c>
      <c r="C49" s="3454"/>
      <c r="D49" s="1723">
        <v>0</v>
      </c>
      <c r="E49" s="330" t="s">
        <v>1788</v>
      </c>
      <c r="F49" s="2596" t="s">
        <v>34</v>
      </c>
      <c r="G49" s="3437"/>
      <c r="H49" s="2475" t="s">
        <v>2632</v>
      </c>
      <c r="I49" s="2476"/>
      <c r="J49" s="2693">
        <v>4</v>
      </c>
      <c r="K49" s="3406" t="str">
        <f>IF(项目基本情况!E8="房地产抵押价值","房地产抵押价值","抵押担保权已注销时的房地产抵押价值")</f>
        <v>房地产抵押价值</v>
      </c>
      <c r="L49" s="3406"/>
      <c r="M49" s="3409" t="str">
        <f ca="1">IF(项目基本情况!E8="房地产抵押价值",H107,H109)</f>
        <v>——</v>
      </c>
      <c r="N49" s="3409"/>
      <c r="O49" s="3409"/>
    </row>
    <row r="50" spans="1:35" ht="25.5" customHeight="1">
      <c r="A50" s="2721"/>
      <c r="B50" s="3454" t="s">
        <v>1789</v>
      </c>
      <c r="C50" s="3454"/>
      <c r="D50" s="2722"/>
      <c r="E50" s="338"/>
      <c r="F50" s="2596"/>
      <c r="G50" s="3438"/>
      <c r="H50" s="2477" t="s">
        <v>2633</v>
      </c>
      <c r="I50" s="2476"/>
      <c r="J50" s="3405" t="s">
        <v>1790</v>
      </c>
      <c r="K50" s="3405"/>
      <c r="L50" s="3405"/>
      <c r="M50" s="3405"/>
      <c r="N50" s="3405"/>
      <c r="O50" s="3405"/>
    </row>
    <row r="51" spans="1:35" ht="20.45" customHeight="1">
      <c r="A51" s="2723"/>
      <c r="B51" s="3454" t="s">
        <v>1791</v>
      </c>
      <c r="C51" s="3454"/>
      <c r="D51" s="1197"/>
      <c r="E51" s="333"/>
      <c r="F51" s="2596"/>
      <c r="G51" s="3439"/>
      <c r="H51" s="2477" t="s">
        <v>2634</v>
      </c>
      <c r="I51" s="2476"/>
      <c r="J51" s="2694" t="s">
        <v>1792</v>
      </c>
      <c r="K51" s="3406" t="s">
        <v>1793</v>
      </c>
      <c r="L51" s="3406"/>
      <c r="M51" s="2694" t="s">
        <v>1794</v>
      </c>
      <c r="N51" s="2694" t="s">
        <v>1795</v>
      </c>
      <c r="O51" s="2694" t="s">
        <v>1796</v>
      </c>
    </row>
    <row r="52" spans="1:35" ht="24" customHeight="1">
      <c r="A52" s="2505" t="s">
        <v>1797</v>
      </c>
      <c r="B52" s="3454" t="s">
        <v>1798</v>
      </c>
      <c r="C52" s="3454"/>
      <c r="D52" s="1197" t="e">
        <f ca="1">ROUND(D45*'数据-取费表'!B41/(1+'数据-取费表'!C42),0)</f>
        <v>#REF!</v>
      </c>
      <c r="E52" s="2504" t="s">
        <v>1799</v>
      </c>
      <c r="F52" s="2724">
        <f>'数据-取费表'!B41</f>
        <v>5.6000000000000001E-2</v>
      </c>
      <c r="G52" s="2725"/>
      <c r="H52" s="2714"/>
      <c r="I52" s="1941"/>
      <c r="J52" s="2693">
        <v>1</v>
      </c>
      <c r="K52" s="3431" t="s">
        <v>1800</v>
      </c>
      <c r="L52" s="3431"/>
      <c r="M52" s="2695" t="b">
        <f>D48</f>
        <v>0</v>
      </c>
      <c r="N52" s="2693" t="str">
        <f>E48</f>
        <v>销售额×税（费）率</v>
      </c>
      <c r="O52" s="2696">
        <f>F48</f>
        <v>5.6000000000000001E-2</v>
      </c>
    </row>
    <row r="53" spans="1:35" ht="12" customHeight="1">
      <c r="A53" s="2505" t="s">
        <v>1801</v>
      </c>
      <c r="B53" s="3455" t="s">
        <v>2785</v>
      </c>
      <c r="C53" s="3456"/>
      <c r="D53" s="1197" t="e">
        <f ca="1">ROUND(D45*'数据-取费表'!B41/(1+'数据-取费表'!C42),0)</f>
        <v>#REF!</v>
      </c>
      <c r="E53" s="2504" t="s">
        <v>1799</v>
      </c>
      <c r="F53" s="2724">
        <f>'数据-取费表'!B41</f>
        <v>5.6000000000000001E-2</v>
      </c>
      <c r="G53" s="2725"/>
      <c r="H53" s="2714"/>
      <c r="I53" s="1941"/>
      <c r="J53" s="2693">
        <v>2</v>
      </c>
      <c r="K53" s="3431" t="s">
        <v>1802</v>
      </c>
      <c r="L53" s="3431"/>
      <c r="M53" s="2695" t="e">
        <f t="shared" ref="M53:O54" ca="1" si="0">D55</f>
        <v>#REF!</v>
      </c>
      <c r="N53" s="2693" t="str">
        <f t="shared" si="0"/>
        <v>销售额×税（费）率</v>
      </c>
      <c r="O53" s="2696" t="str">
        <f t="shared" si="0"/>
        <v>免征</v>
      </c>
    </row>
    <row r="54" spans="1:35" ht="12" customHeight="1">
      <c r="A54" s="2505" t="s">
        <v>1803</v>
      </c>
      <c r="B54" s="3455" t="s">
        <v>2786</v>
      </c>
      <c r="C54" s="3456"/>
      <c r="D54" s="1197" t="e">
        <f ca="1">C68</f>
        <v>#REF!</v>
      </c>
      <c r="E54" s="333" t="s">
        <v>1804</v>
      </c>
      <c r="F54" s="2724">
        <f>'数据-取费表'!B41</f>
        <v>5.6000000000000001E-2</v>
      </c>
      <c r="G54" s="2725"/>
      <c r="H54" s="2726"/>
      <c r="I54" s="1941"/>
      <c r="J54" s="2693">
        <v>3</v>
      </c>
      <c r="K54" s="3431" t="s">
        <v>1805</v>
      </c>
      <c r="L54" s="3431"/>
      <c r="M54" s="2695" t="e">
        <f t="shared" ca="1" si="0"/>
        <v>#REF!</v>
      </c>
      <c r="N54" s="2693" t="str">
        <f t="shared" si="0"/>
        <v>增值额×税（费）率</v>
      </c>
      <c r="O54" s="2697" t="str">
        <f t="shared" si="0"/>
        <v>免征</v>
      </c>
    </row>
    <row r="55" spans="1:35" ht="24" customHeight="1">
      <c r="A55" s="3494" t="s">
        <v>1806</v>
      </c>
      <c r="B55" s="3472"/>
      <c r="C55" s="3472"/>
      <c r="D55" s="2494" t="e">
        <f ca="1">IF(H55="个人住宅",0,ROUND(D45*I55,0))</f>
        <v>#REF!</v>
      </c>
      <c r="E55" s="2504" t="s">
        <v>1807</v>
      </c>
      <c r="F55" s="2724" t="str">
        <f>IF(H55="正常",I55,"免征")</f>
        <v>免征</v>
      </c>
      <c r="G55" s="2725"/>
      <c r="H55" s="2720"/>
      <c r="I55" s="170">
        <f>'数据-取费表'!B49</f>
        <v>5.0000000000000001E-4</v>
      </c>
      <c r="J55" s="2693">
        <f>IF(H59="非个人房产","",4)</f>
        <v>4</v>
      </c>
      <c r="K55" s="3431" t="str">
        <f>IF(H59="非个人房产","——","个人所得税")</f>
        <v>个人所得税</v>
      </c>
      <c r="L55" s="3431"/>
      <c r="M55" s="2698" t="e">
        <f ca="1">D59</f>
        <v>#REF!</v>
      </c>
      <c r="N55" s="2175" t="str">
        <f>E59</f>
        <v>差额计税</v>
      </c>
      <c r="O55" s="2699">
        <f>F59</f>
        <v>0.01</v>
      </c>
    </row>
    <row r="56" spans="1:35" ht="24.75">
      <c r="A56" s="3494" t="s">
        <v>1808</v>
      </c>
      <c r="B56" s="3472"/>
      <c r="C56" s="3472"/>
      <c r="D56" s="2494" t="e">
        <f ca="1">IF(H56="个人住宅",D57,D58)</f>
        <v>#REF!</v>
      </c>
      <c r="E56" s="2504" t="s">
        <v>1809</v>
      </c>
      <c r="F56" s="2724" t="str">
        <f>IF(H56="正常",F58,"免征")</f>
        <v>免征</v>
      </c>
      <c r="G56" s="2727" t="s">
        <v>1810</v>
      </c>
      <c r="H56" s="2728"/>
      <c r="I56" s="1942"/>
      <c r="J56" s="2693" t="str">
        <f>IF(项目基本情况!K6="上海银行",IF(J55="",4,J55+1),"")</f>
        <v/>
      </c>
      <c r="K56" s="3412" t="str">
        <f>IF(项目基本情况!K6="上海银行","其他处置费用","")</f>
        <v/>
      </c>
      <c r="L56" s="3413"/>
      <c r="M56" s="2695" t="str">
        <f>IF(项目基本情况!K6="上海银行",M69,"")</f>
        <v/>
      </c>
      <c r="N56" s="3412" t="str">
        <f>IF(项目基本情况!K6="上海银行","包含处置中涉及的律师、诉讼、拍卖、评估等费用","")</f>
        <v/>
      </c>
      <c r="O56" s="3415"/>
    </row>
    <row r="57" spans="1:35" ht="12.75">
      <c r="A57" s="2505" t="s">
        <v>1786</v>
      </c>
      <c r="B57" s="3455" t="s">
        <v>1811</v>
      </c>
      <c r="C57" s="3456"/>
      <c r="D57" s="1723">
        <v>0</v>
      </c>
      <c r="E57" s="330" t="s">
        <v>1788</v>
      </c>
      <c r="F57" s="308"/>
      <c r="G57" s="2725"/>
      <c r="H57" s="2729"/>
      <c r="I57" s="1942"/>
      <c r="J57" s="3431">
        <f>IF(AND(J55="",J56=""),4,IF(项目基本情况!K6="上海银行",结果表!J56+1,结果表!J55+1))</f>
        <v>5</v>
      </c>
      <c r="K57" s="3431" t="s">
        <v>1812</v>
      </c>
      <c r="L57" s="2700" t="s">
        <v>1813</v>
      </c>
      <c r="M57" s="2701"/>
      <c r="N57" s="2702">
        <f ca="1">SUMIF(M52:M56,"&lt;9e307")</f>
        <v>0</v>
      </c>
      <c r="O57" s="2703"/>
      <c r="P57" s="2863" t="e">
        <f ca="1">N57/M49</f>
        <v>#VALUE!</v>
      </c>
    </row>
    <row r="58" spans="1:35" ht="24.75">
      <c r="A58" s="2505" t="s">
        <v>1797</v>
      </c>
      <c r="B58" s="3455" t="s">
        <v>1814</v>
      </c>
      <c r="C58" s="3454"/>
      <c r="D58" s="2494" t="e">
        <f ca="1">IF(H58="转让取得",C81,C97)</f>
        <v>#REF!</v>
      </c>
      <c r="E58" s="2504" t="s">
        <v>1809</v>
      </c>
      <c r="F58" s="308" t="s">
        <v>34</v>
      </c>
      <c r="G58" s="2725"/>
      <c r="H58" s="2728"/>
      <c r="I58" s="1942"/>
      <c r="J58" s="3431"/>
      <c r="K58" s="3431"/>
      <c r="L58" s="2700" t="s">
        <v>1815</v>
      </c>
      <c r="M58" s="2704"/>
      <c r="N58" s="2705" t="str">
        <f ca="1">NUMBERSTRING(INT(N57*10000),2)&amp;"元整"</f>
        <v>零元整</v>
      </c>
      <c r="O58" s="2706"/>
    </row>
    <row r="59" spans="1:35" ht="24.75" thickBot="1">
      <c r="A59" s="3435" t="s">
        <v>1816</v>
      </c>
      <c r="B59" s="3436"/>
      <c r="C59" s="3436"/>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33">
        <f>J57+1</f>
        <v>6</v>
      </c>
      <c r="K59" s="3431" t="s">
        <v>1817</v>
      </c>
      <c r="L59" s="2693" t="s">
        <v>1813</v>
      </c>
      <c r="M59" s="2707"/>
      <c r="N59" s="2708" t="e">
        <f ca="1">M49-N57</f>
        <v>#VALUE!</v>
      </c>
      <c r="O59" s="2709"/>
    </row>
    <row r="60" spans="1:35" ht="12" customHeight="1">
      <c r="A60" s="1943"/>
      <c r="B60" s="1881"/>
      <c r="C60" s="1881"/>
      <c r="D60" s="1881"/>
      <c r="E60" s="1711"/>
      <c r="F60" s="1942"/>
      <c r="G60" s="1942"/>
      <c r="H60" s="1944"/>
      <c r="I60" s="134"/>
      <c r="J60" s="3434"/>
      <c r="K60" s="3431"/>
      <c r="L60" s="2700" t="s">
        <v>1815</v>
      </c>
      <c r="M60" s="2704"/>
      <c r="N60" s="2705" t="e">
        <f ca="1">NUMBERSTRING(INT(N59*10000),2)&amp;"元整"</f>
        <v>#VALUE!</v>
      </c>
      <c r="O60" s="2706"/>
    </row>
    <row r="61" spans="1:35" ht="13.5" thickBot="1">
      <c r="A61" s="3493" t="s">
        <v>1818</v>
      </c>
      <c r="B61" s="3493"/>
      <c r="C61" s="3493"/>
      <c r="D61" s="3493"/>
      <c r="E61" s="3493"/>
      <c r="F61" s="1942"/>
      <c r="G61" s="1942"/>
      <c r="H61" s="1944"/>
      <c r="I61" s="134"/>
      <c r="J61" s="2693">
        <f>J59+1</f>
        <v>7</v>
      </c>
      <c r="K61" s="3431" t="s">
        <v>1819</v>
      </c>
      <c r="L61" s="3431"/>
      <c r="M61" s="2710"/>
      <c r="N61" s="2711" t="e">
        <f ca="1">ROUND(N59*10000/'数据-汇总表'!E3,0)</f>
        <v>#VALUE!</v>
      </c>
      <c r="O61" s="2712"/>
    </row>
    <row r="62" spans="1:35" ht="12.75">
      <c r="A62" s="3450" t="s">
        <v>1820</v>
      </c>
      <c r="B62" s="3451"/>
      <c r="C62" s="2156"/>
      <c r="D62" s="2156"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414" t="s">
        <v>1824</v>
      </c>
      <c r="K63" s="1450" t="s">
        <v>1825</v>
      </c>
      <c r="L63" s="1450"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414"/>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414"/>
      <c r="K65" s="1450" t="s">
        <v>1830</v>
      </c>
      <c r="L65" s="1450"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414"/>
      <c r="K66" s="1450" t="s">
        <v>1832</v>
      </c>
      <c r="L66" s="1450"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414"/>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414"/>
      <c r="K68" s="1450" t="s">
        <v>1837</v>
      </c>
      <c r="L68" s="1450"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414"/>
      <c r="K69" s="1450" t="s">
        <v>1838</v>
      </c>
      <c r="L69" s="1450"/>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8" t="s">
        <v>1839</v>
      </c>
      <c r="B70" s="3459"/>
      <c r="C70" s="3459"/>
      <c r="D70" s="3459"/>
      <c r="E70" s="3459"/>
      <c r="F70" s="3459"/>
      <c r="G70" s="3459"/>
      <c r="H70" s="3459"/>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50" t="s">
        <v>1820</v>
      </c>
      <c r="B71" s="3451"/>
      <c r="C71" s="2156"/>
      <c r="D71" s="2156"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2501"/>
      <c r="F72" s="2500"/>
      <c r="G72" s="2500"/>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2501"/>
      <c r="F73" s="2500"/>
      <c r="G73" s="250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1"/>
      <c r="F74" s="2500"/>
      <c r="G74" s="250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55" t="s">
        <v>1847</v>
      </c>
      <c r="F76" s="3454"/>
      <c r="G76" s="3454"/>
      <c r="H76" s="3457"/>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6"/>
      <c r="H77" s="25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47" t="s">
        <v>1851</v>
      </c>
      <c r="F78" s="3448"/>
      <c r="G78" s="3448"/>
      <c r="H78" s="3449"/>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8" t="e">
        <f ca="1">C72-C73</f>
        <v>#REF!</v>
      </c>
      <c r="D79" s="175" t="s">
        <v>32</v>
      </c>
      <c r="E79" s="2501"/>
      <c r="F79" s="2500"/>
      <c r="G79" s="250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8" t="s">
        <v>1855</v>
      </c>
      <c r="B83" s="3459"/>
      <c r="C83" s="3459"/>
      <c r="D83" s="3459"/>
      <c r="E83" s="3459"/>
      <c r="F83" s="3459"/>
      <c r="G83" s="3459"/>
      <c r="H83" s="3459"/>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50" t="s">
        <v>1820</v>
      </c>
      <c r="B84" s="3451"/>
      <c r="C84" s="2156"/>
      <c r="D84" s="2156"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2501"/>
      <c r="F85" s="2500"/>
      <c r="G85" s="250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2501"/>
      <c r="F86" s="2500"/>
      <c r="G86" s="250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2496"/>
      <c r="F87" s="2497"/>
      <c r="G87" s="2497"/>
      <c r="H87" s="2498"/>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2497"/>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2497"/>
      <c r="G89" s="2497"/>
      <c r="H89" s="2498"/>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2497"/>
      <c r="G90" s="3416" t="s">
        <v>2627</v>
      </c>
      <c r="H90" s="3417"/>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47" t="s">
        <v>1864</v>
      </c>
      <c r="F91" s="3448"/>
      <c r="G91" s="3448"/>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47" t="s">
        <v>1867</v>
      </c>
      <c r="F92" s="3448"/>
      <c r="G92" s="3448"/>
      <c r="H92" s="3449"/>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47" t="s">
        <v>1851</v>
      </c>
      <c r="F93" s="3448"/>
      <c r="G93" s="3448"/>
      <c r="H93" s="3449"/>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95" t="s">
        <v>1871</v>
      </c>
      <c r="F94" s="3496"/>
      <c r="G94" s="3496"/>
      <c r="H94" s="3497"/>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8" t="e">
        <f ca="1">ROUND(C85-C86,0)</f>
        <v>#REF!</v>
      </c>
      <c r="D95" s="175" t="s">
        <v>32</v>
      </c>
      <c r="E95" s="2501"/>
      <c r="F95" s="2500"/>
      <c r="G95" s="250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32"/>
      <c r="E100" s="3380" t="s">
        <v>1874</v>
      </c>
      <c r="F100" s="3380"/>
      <c r="G100" s="3380"/>
      <c r="H100" s="3432"/>
      <c r="I100" s="134"/>
    </row>
    <row r="101" spans="1:35" ht="18.75" customHeight="1">
      <c r="A101" s="3440" t="s">
        <v>1875</v>
      </c>
      <c r="B101" s="3441"/>
      <c r="C101" s="2755" t="str">
        <f>C4</f>
        <v>比较法-办公</v>
      </c>
      <c r="D101" s="2756" t="str">
        <f>D4</f>
        <v>收益法 (元)</v>
      </c>
      <c r="E101" s="3410" t="s">
        <v>1876</v>
      </c>
      <c r="F101" s="3411"/>
      <c r="G101" s="1961" t="s">
        <v>1877</v>
      </c>
      <c r="H101" s="2765" t="e">
        <f ca="1">H118</f>
        <v>#REF!</v>
      </c>
      <c r="I101" s="134"/>
    </row>
    <row r="102" spans="1:35" ht="18.75" customHeight="1">
      <c r="A102" s="3442" t="s">
        <v>1878</v>
      </c>
      <c r="B102" s="2754" t="s">
        <v>1877</v>
      </c>
      <c r="C102" s="2755">
        <f ca="1">C19</f>
        <v>423</v>
      </c>
      <c r="D102" s="2756">
        <f ca="1">D19</f>
        <v>281</v>
      </c>
      <c r="E102" s="3410"/>
      <c r="F102" s="3411"/>
      <c r="G102" s="1961" t="s">
        <v>1879</v>
      </c>
      <c r="H102" s="2725" t="e">
        <f ca="1">I118</f>
        <v>#REF!</v>
      </c>
      <c r="I102" s="134"/>
    </row>
    <row r="103" spans="1:35" ht="42.75" customHeight="1">
      <c r="A103" s="3442"/>
      <c r="B103" s="2754" t="s">
        <v>1879</v>
      </c>
      <c r="C103" s="2757">
        <f ca="1">C20</f>
        <v>49763</v>
      </c>
      <c r="D103" s="2758">
        <f ca="1">D20</f>
        <v>33096</v>
      </c>
      <c r="E103" s="3403" t="s">
        <v>1880</v>
      </c>
      <c r="F103" s="3404"/>
      <c r="G103" s="1962" t="s">
        <v>1881</v>
      </c>
      <c r="H103" s="2765">
        <f>IF(D36="正常操作",H104+H105+H106,H105+H106)</f>
        <v>0</v>
      </c>
      <c r="I103" s="134"/>
    </row>
    <row r="104" spans="1:35" ht="18.75" customHeight="1">
      <c r="A104" s="3442"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52"/>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43" t="str">
        <f>IF(项目基本情况!E8="已注销","——","3.房地产抵押价值")</f>
        <v>3.房地产抵押价值</v>
      </c>
      <c r="F107" s="3411"/>
      <c r="G107" s="1961" t="s">
        <v>1877</v>
      </c>
      <c r="H107" s="2765" t="e">
        <f ca="1">IF(E107="——","——",H101-H103)</f>
        <v>#REF!</v>
      </c>
      <c r="I107" s="134"/>
    </row>
    <row r="108" spans="1:35" ht="18.75" customHeight="1">
      <c r="A108" s="134"/>
      <c r="B108" s="134"/>
      <c r="C108" s="134"/>
      <c r="D108" s="134"/>
      <c r="E108" s="3443"/>
      <c r="F108" s="3411"/>
      <c r="G108" s="1961" t="s">
        <v>1879</v>
      </c>
      <c r="H108" s="2725" t="e">
        <f ca="1">ROUND(H107*10000/'数据-汇总表'!E3,0)</f>
        <v>#REF!</v>
      </c>
      <c r="I108" s="134"/>
    </row>
    <row r="109" spans="1:35" ht="18.75" customHeight="1">
      <c r="A109" s="134"/>
      <c r="B109" s="134"/>
      <c r="C109" s="134"/>
      <c r="D109" s="134"/>
      <c r="E109" s="3443" t="str">
        <f>IF(项目基本情况!E8="已注销及未注销","4.抵押担保权已注销时的房地产抵押价值",IF(项目基本情况!E8="已注销","3.抵押担保权已注销时的房地产抵押价值","——"))</f>
        <v>——</v>
      </c>
      <c r="F109" s="3411"/>
      <c r="G109" s="1961" t="s">
        <v>1877</v>
      </c>
      <c r="H109" s="2768" t="str">
        <f>IF(E109="——","——",H101-H105-H106)</f>
        <v>——</v>
      </c>
      <c r="I109" s="134"/>
    </row>
    <row r="110" spans="1:35" ht="18.75" customHeight="1">
      <c r="A110" s="134"/>
      <c r="B110" s="134"/>
      <c r="C110" s="134"/>
      <c r="D110" s="134"/>
      <c r="E110" s="3443"/>
      <c r="F110" s="3411"/>
      <c r="G110" s="1961" t="s">
        <v>1879</v>
      </c>
      <c r="H110" s="2725" t="str">
        <f>IF(H109="——","——",ROUND(H109*10000/'数据-汇总表'!E3,0))</f>
        <v>——</v>
      </c>
      <c r="I110" s="134"/>
    </row>
    <row r="111" spans="1:35" ht="18.75" customHeight="1">
      <c r="A111" s="134"/>
      <c r="B111" s="134"/>
      <c r="C111" s="134"/>
      <c r="D111" s="134"/>
      <c r="E111" s="3444" t="str">
        <f>IF(项目基本情况!E9="抵押净值",IF(OR(项目基本情况!E8="已注销",项目基本情况!E8="房地产抵押价值"),"4.抵押净值","5.抵押净值"),"——")</f>
        <v>——</v>
      </c>
      <c r="F111" s="3430"/>
      <c r="G111" s="1961" t="s">
        <v>1877</v>
      </c>
      <c r="H111" s="2765" t="str">
        <f>IF(E111="——","——",N59)</f>
        <v>——</v>
      </c>
      <c r="I111" s="134"/>
    </row>
    <row r="112" spans="1:35" ht="18.75" customHeight="1" thickBot="1">
      <c r="A112" s="134"/>
      <c r="B112" s="134"/>
      <c r="C112" s="134"/>
      <c r="D112" s="134"/>
      <c r="E112" s="3445"/>
      <c r="F112" s="3446"/>
      <c r="G112" s="1964" t="s">
        <v>1879</v>
      </c>
      <c r="H112" s="2769" t="str">
        <f>IF(E111="——","——",N61)</f>
        <v>——</v>
      </c>
      <c r="I112" s="134"/>
    </row>
    <row r="113" spans="1:27" ht="18.75" customHeight="1">
      <c r="A113" s="134"/>
      <c r="B113" s="134"/>
      <c r="C113" s="134"/>
      <c r="D113" s="134"/>
      <c r="E113" s="3453" t="s">
        <v>1885</v>
      </c>
      <c r="F113" s="3453"/>
      <c r="G113" s="3453"/>
      <c r="H113" s="3453"/>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8" t="s">
        <v>1888</v>
      </c>
      <c r="B116" s="3422" t="s">
        <v>1889</v>
      </c>
      <c r="C116" s="3422" t="s">
        <v>1890</v>
      </c>
      <c r="D116" s="3428" t="s">
        <v>1891</v>
      </c>
      <c r="E116" s="3429"/>
      <c r="F116" s="3460" t="s">
        <v>1892</v>
      </c>
      <c r="G116" s="3460"/>
      <c r="H116" s="3418" t="s">
        <v>1893</v>
      </c>
      <c r="I116" s="3418"/>
    </row>
    <row r="117" spans="1:27" ht="18.75" customHeight="1">
      <c r="A117" s="3418"/>
      <c r="B117" s="3423"/>
      <c r="C117" s="3423"/>
      <c r="D117" s="2499" t="s">
        <v>1894</v>
      </c>
      <c r="E117" s="2499" t="s">
        <v>1895</v>
      </c>
      <c r="F117" s="2499" t="s">
        <v>1894</v>
      </c>
      <c r="G117" s="2499" t="s">
        <v>1896</v>
      </c>
      <c r="H117" s="2499" t="s">
        <v>1894</v>
      </c>
      <c r="I117" s="2499" t="s">
        <v>1896</v>
      </c>
    </row>
    <row r="118" spans="1:27" ht="24.75" customHeight="1">
      <c r="A118" s="2770" t="str">
        <f>项目基本情况!S2</f>
        <v>北京市西直门外大街18号楼房地产</v>
      </c>
      <c r="B118" s="2499">
        <f>M18</f>
        <v>199.12</v>
      </c>
      <c r="C118" s="2499">
        <f>M19</f>
        <v>22.44</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418" t="s">
        <v>1897</v>
      </c>
      <c r="B119" s="3418"/>
      <c r="C119" s="3418"/>
      <c r="D119" s="3424" t="e">
        <f ca="1">NUMBERSTRING(INT(D118*10000),2)&amp;"元整"</f>
        <v>#REF!</v>
      </c>
      <c r="E119" s="3425"/>
      <c r="F119" s="3424" t="e">
        <f ca="1">NUMBERSTRING(INT(F118*10000),2)&amp;"元整"</f>
        <v>#REF!</v>
      </c>
      <c r="G119" s="3425"/>
      <c r="H119" s="3424" t="e">
        <f ca="1">NUMBERSTRING(INT(H118*10000),2)&amp;"元整"</f>
        <v>#REF!</v>
      </c>
      <c r="I119" s="3425"/>
    </row>
    <row r="120" spans="1:27" ht="18.75" customHeight="1">
      <c r="A120" s="3419" t="str">
        <f>IF(项目基本情况!B9="房地产市场价值","",MID(E103,3,LEN(E103)-2))</f>
        <v>估价师知悉的法定优先受偿款</v>
      </c>
      <c r="B120" s="3420"/>
      <c r="C120" s="3421"/>
      <c r="D120" s="3419">
        <f>H103</f>
        <v>0</v>
      </c>
      <c r="E120" s="3420"/>
      <c r="F120" s="3420"/>
      <c r="G120" s="3420"/>
      <c r="H120" s="3420"/>
      <c r="I120" s="3421"/>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24" t="str">
        <f>IF(D120=0,"零元整",NUMBERSTRING(INT(D120*10000),2)&amp;"元整")</f>
        <v>零元整</v>
      </c>
      <c r="E121" s="3426"/>
      <c r="F121" s="3426"/>
      <c r="G121" s="3426"/>
      <c r="H121" s="3426"/>
      <c r="I121" s="3425"/>
      <c r="AA121" s="731"/>
    </row>
    <row r="122" spans="1:27" ht="18.75" customHeight="1">
      <c r="A122" s="3430" t="str">
        <f>IF(项目基本情况!B9="房地产市场价值","",MID(E107,3,LEN(E107)-2))</f>
        <v>房地产抵押价值</v>
      </c>
      <c r="B122" s="3430"/>
      <c r="C122" s="3430"/>
      <c r="D122" s="3419" t="e">
        <f ca="1">H107</f>
        <v>#REF!</v>
      </c>
      <c r="E122" s="3420"/>
      <c r="F122" s="3420"/>
      <c r="G122" s="3420"/>
      <c r="H122" s="3420"/>
      <c r="I122" s="3421"/>
      <c r="AA122" s="731"/>
    </row>
    <row r="123" spans="1:27" ht="18.75" customHeight="1">
      <c r="A123" s="3418" t="s">
        <v>1897</v>
      </c>
      <c r="B123" s="3418"/>
      <c r="C123" s="3418"/>
      <c r="D123" s="3424" t="e">
        <f ca="1">NUMBERSTRING(INT(D122*10000),2)&amp;"元整"</f>
        <v>#REF!</v>
      </c>
      <c r="E123" s="3426"/>
      <c r="F123" s="3426"/>
      <c r="G123" s="3426"/>
      <c r="H123" s="3426"/>
      <c r="I123" s="3425"/>
      <c r="AA123" s="731"/>
    </row>
    <row r="124" spans="1:27" ht="18.75" customHeight="1">
      <c r="A124" s="3430" t="str">
        <f>IF(项目基本情况!B9="房地产市场价值","",MID(E109,3,LEN(E109)-2))</f>
        <v/>
      </c>
      <c r="B124" s="3430"/>
      <c r="C124" s="3430"/>
      <c r="D124" s="3419" t="str">
        <f>H109</f>
        <v>——</v>
      </c>
      <c r="E124" s="3420"/>
      <c r="F124" s="3420"/>
      <c r="G124" s="3420"/>
      <c r="H124" s="3420"/>
      <c r="I124" s="3421"/>
      <c r="AA124" s="731"/>
    </row>
    <row r="125" spans="1:27" ht="18.75" customHeight="1">
      <c r="A125" s="3418" t="s">
        <v>1897</v>
      </c>
      <c r="B125" s="3418"/>
      <c r="C125" s="3418"/>
      <c r="D125" s="3424" t="e">
        <f>NUMBERSTRING(INT(D124*10000),2)&amp;"元整"</f>
        <v>#VALUE!</v>
      </c>
      <c r="E125" s="3426"/>
      <c r="F125" s="3426"/>
      <c r="G125" s="3426"/>
      <c r="H125" s="3426"/>
      <c r="I125" s="3425"/>
      <c r="AA125" s="731"/>
    </row>
    <row r="126" spans="1:27" ht="18.75" customHeight="1">
      <c r="A126" s="3430" t="str">
        <f>IF(项目基本情况!B9="房地产市场价值","",MID(E111,3,LEN(E111)-2))</f>
        <v/>
      </c>
      <c r="B126" s="3430"/>
      <c r="C126" s="3430"/>
      <c r="D126" s="3419" t="str">
        <f>H111</f>
        <v>——</v>
      </c>
      <c r="E126" s="3420"/>
      <c r="F126" s="3420"/>
      <c r="G126" s="3420"/>
      <c r="H126" s="3420"/>
      <c r="I126" s="3421"/>
      <c r="AA126" s="731"/>
    </row>
    <row r="127" spans="1:27" ht="18.75" customHeight="1">
      <c r="A127" s="3418" t="s">
        <v>1897</v>
      </c>
      <c r="B127" s="3418"/>
      <c r="C127" s="3418"/>
      <c r="D127" s="3424" t="e">
        <f>NUMBERSTRING(INT(D126*10000),2)&amp;"元整"</f>
        <v>#VALUE!</v>
      </c>
      <c r="E127" s="3426"/>
      <c r="F127" s="3426"/>
      <c r="G127" s="3426"/>
      <c r="H127" s="3426"/>
      <c r="I127" s="3425"/>
      <c r="AA127" s="731"/>
    </row>
    <row r="128" spans="1:27" ht="21.75" customHeight="1">
      <c r="A128" s="3427" t="s">
        <v>1898</v>
      </c>
      <c r="B128" s="3427"/>
      <c r="C128" s="3427"/>
      <c r="D128" s="3427"/>
      <c r="E128" s="3427"/>
      <c r="F128" s="3427"/>
      <c r="G128" s="3427"/>
      <c r="H128" s="3427"/>
      <c r="I128" s="342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93" t="str">
        <f>项目基本情况!B1</f>
        <v>北京市西直门外大街18号楼房地产抵押价值预评估</v>
      </c>
      <c r="C37" s="3293"/>
      <c r="D37" s="3293"/>
      <c r="E37" s="3293"/>
      <c r="F37" s="3293"/>
      <c r="G37" s="3293"/>
      <c r="H37" s="3293"/>
      <c r="I37" s="3293"/>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00" t="s">
        <v>1989</v>
      </c>
    </row>
    <row r="43" spans="1:7" ht="13.5" customHeight="1">
      <c r="A43" s="866" t="s">
        <v>611</v>
      </c>
      <c r="B43" s="221" t="s">
        <v>1990</v>
      </c>
      <c r="C43" s="244">
        <f ca="1">ROUND(IF('数据-取费表'!B22&lt;=1,C39*F22*'数据-取费表'!B21/2,C39*(POWER((1+F22),'数据-取费表'!B21/2)-1)),0)</f>
        <v>0</v>
      </c>
      <c r="D43" s="244"/>
      <c r="E43" s="244"/>
      <c r="F43" s="245"/>
      <c r="G43" s="3501"/>
    </row>
    <row r="44" spans="1:7" ht="13.5" customHeight="1">
      <c r="A44" s="866" t="s">
        <v>612</v>
      </c>
      <c r="B44" s="221" t="s">
        <v>1991</v>
      </c>
      <c r="C44" s="244">
        <f ca="1">ROUND(IF('数据-取费表'!B22&lt;=1,C40*F22*'数据-取费表'!B21/2,C40*(POWER((1+F22),'数据-取费表'!B21/2)-1)),4)</f>
        <v>8.0000000000000004E-4</v>
      </c>
      <c r="D44" s="244"/>
      <c r="E44" s="244"/>
      <c r="F44" s="245"/>
      <c r="G44" s="3502"/>
    </row>
    <row r="45" spans="1:7" s="220" customFormat="1" ht="13.5" customHeight="1">
      <c r="A45" s="261" t="s">
        <v>1992</v>
      </c>
      <c r="B45" s="250" t="s">
        <v>1958</v>
      </c>
      <c r="C45" s="251">
        <f ca="1">C46</f>
        <v>15</v>
      </c>
      <c r="D45" s="241">
        <f ca="1">C47</f>
        <v>3.5999999999999999E-3</v>
      </c>
      <c r="E45" s="242" t="s">
        <v>1984</v>
      </c>
      <c r="F45" s="2484">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3">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35580</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00" t="s">
        <v>2036</v>
      </c>
    </row>
    <row r="43" spans="1:7" ht="13.5" customHeight="1">
      <c r="A43" s="866" t="s">
        <v>611</v>
      </c>
      <c r="B43" s="221" t="s">
        <v>1990</v>
      </c>
      <c r="C43" s="244">
        <f ca="1">ROUND(IF('数据-取费表'!B22&lt;=1,C39*F22*'数据-取费表'!B20/2,C39*(POWER((1+F22),'数据-取费表'!B20/2)-1)),0)</f>
        <v>698</v>
      </c>
      <c r="D43" s="244"/>
      <c r="E43" s="244"/>
      <c r="F43" s="245"/>
      <c r="G43" s="3501"/>
    </row>
    <row r="44" spans="1:7" ht="13.5" customHeight="1">
      <c r="A44" s="866" t="s">
        <v>612</v>
      </c>
      <c r="B44" s="221" t="s">
        <v>1991</v>
      </c>
      <c r="C44" s="244">
        <f ca="1">ROUND(IF('数据-取费表'!B22&lt;=1,C40*F22*'数据-取费表'!B20/2,C40*(POWER((1+F22),'数据-取费表'!B20/2)-1)),4)</f>
        <v>8.0000000000000004E-4</v>
      </c>
      <c r="D44" s="244"/>
      <c r="E44" s="244"/>
      <c r="F44" s="245"/>
      <c r="G44" s="3502"/>
    </row>
    <row r="45" spans="1:7" s="220" customFormat="1" ht="13.5" customHeight="1">
      <c r="A45" s="261" t="s">
        <v>1992</v>
      </c>
      <c r="B45" s="250" t="s">
        <v>1958</v>
      </c>
      <c r="C45" s="251">
        <f ca="1">C46</f>
        <v>152485</v>
      </c>
      <c r="D45" s="241">
        <f ca="1">C47</f>
        <v>3.5999999999999999E-3</v>
      </c>
      <c r="E45" s="242" t="s">
        <v>1984</v>
      </c>
      <c r="F45" s="2484">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3">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1"/>
      <c r="F1" s="2981"/>
      <c r="G1" s="2844"/>
      <c r="H1" s="2981"/>
      <c r="I1" s="2981"/>
      <c r="J1" s="2981"/>
      <c r="K1" s="2982">
        <f>MATCH(C1,'数据-取费表'!A6:A16,0)+5</f>
        <v>8</v>
      </c>
    </row>
    <row r="2" spans="1:33" ht="18" customHeight="1">
      <c r="A2" s="207" t="s">
        <v>1907</v>
      </c>
      <c r="B2" s="210">
        <f ca="1">C32</f>
        <v>0</v>
      </c>
      <c r="C2" s="282" t="s">
        <v>2040</v>
      </c>
      <c r="D2" s="282"/>
      <c r="E2" s="2981"/>
      <c r="F2" s="2981"/>
      <c r="G2" s="2981"/>
      <c r="H2" s="2981"/>
      <c r="I2" s="2981"/>
      <c r="J2" s="2981"/>
      <c r="K2" s="2981"/>
    </row>
    <row r="3" spans="1:33" ht="18" customHeight="1" thickBot="1">
      <c r="A3" s="209" t="s">
        <v>1909</v>
      </c>
      <c r="B3" s="210">
        <f ca="1">ROUND(B2*10000/IF(C1="",'数据-汇总表'!E3,INDIRECT("'数据-取费表'!K"&amp;$K$1)),0)</f>
        <v>0</v>
      </c>
      <c r="C3" s="282" t="s">
        <v>2041</v>
      </c>
      <c r="D3" s="282"/>
      <c r="E3" s="2981"/>
      <c r="F3" s="2981"/>
      <c r="G3" s="2981"/>
      <c r="H3" s="2981"/>
      <c r="I3" s="2981"/>
      <c r="J3" s="2981"/>
      <c r="K3" s="2981"/>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39" sqref="M39"/>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423</v>
      </c>
      <c r="C2" s="2015" t="s">
        <v>70</v>
      </c>
      <c r="D2" s="1225" t="e">
        <f ca="1">SUMIF(INDIRECT("'"&amp;F2&amp;"'"&amp;"!A:A"),"承租人权益价值",INDIRECT("'"&amp;F2&amp;"'"&amp;"!c:c"))</f>
        <v>#REF!</v>
      </c>
      <c r="E2" s="2016" t="s">
        <v>1908</v>
      </c>
      <c r="F2" s="2017"/>
      <c r="G2" s="1017"/>
      <c r="H2" s="1017"/>
      <c r="I2" s="1017"/>
      <c r="J2" s="1017"/>
      <c r="K2" s="1017"/>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49763</v>
      </c>
      <c r="C3" s="360" t="s">
        <v>2224</v>
      </c>
      <c r="D3" s="359">
        <f>IF(D1="",'数据-汇总表'!E3,SUMIF('数据-汇总表'!$C19:$C33,D1,'数据-汇总表'!$E19:$E33))</f>
        <v>85</v>
      </c>
      <c r="E3" s="2088"/>
      <c r="F3" s="1018"/>
      <c r="G3" s="1017"/>
      <c r="H3" s="1017"/>
      <c r="I3" s="1017"/>
      <c r="J3" s="1017"/>
      <c r="K3" s="1019"/>
      <c r="L3" s="2907"/>
      <c r="M3" s="2908"/>
      <c r="N3" s="2908"/>
      <c r="O3" s="2908"/>
      <c r="P3" s="705"/>
      <c r="Q3" s="705"/>
      <c r="R3" s="705"/>
      <c r="S3" s="705"/>
      <c r="T3" s="705"/>
      <c r="U3" s="705"/>
      <c r="V3" s="705"/>
      <c r="W3" s="705"/>
      <c r="X3" s="705"/>
      <c r="Y3" s="705"/>
      <c r="Z3" s="705"/>
      <c r="AA3" s="705"/>
      <c r="AB3" s="705"/>
      <c r="AC3" s="706"/>
    </row>
    <row r="4" spans="1:29" ht="15">
      <c r="A4" s="361" t="s">
        <v>2225</v>
      </c>
      <c r="B4" s="362"/>
      <c r="C4" s="3525" t="s">
        <v>2226</v>
      </c>
      <c r="D4" s="3526"/>
      <c r="E4" s="3527" t="s">
        <v>2227</v>
      </c>
      <c r="F4" s="3528"/>
      <c r="G4" s="3525" t="s">
        <v>2228</v>
      </c>
      <c r="H4" s="3526"/>
      <c r="I4" s="3525" t="s">
        <v>2229</v>
      </c>
      <c r="J4" s="3526"/>
      <c r="K4" s="567" t="s">
        <v>2230</v>
      </c>
      <c r="L4" s="2888"/>
      <c r="M4" s="2889"/>
      <c r="N4" s="2889"/>
      <c r="O4" s="2889"/>
      <c r="P4" s="3529" t="s">
        <v>2231</v>
      </c>
      <c r="Q4" s="3530"/>
      <c r="R4" s="3508" t="s">
        <v>2227</v>
      </c>
      <c r="S4" s="3509"/>
      <c r="T4" s="3508" t="s">
        <v>2228</v>
      </c>
      <c r="U4" s="3509"/>
      <c r="V4" s="3537" t="s">
        <v>2229</v>
      </c>
      <c r="W4" s="3537"/>
      <c r="X4" s="2092"/>
      <c r="Y4" s="3508" t="s">
        <v>2231</v>
      </c>
      <c r="Z4" s="3509"/>
      <c r="AA4" s="3503" t="s">
        <v>2227</v>
      </c>
      <c r="AB4" s="3503" t="s">
        <v>2228</v>
      </c>
      <c r="AC4" s="3522" t="s">
        <v>2229</v>
      </c>
    </row>
    <row r="5" spans="1:29" ht="15">
      <c r="A5" s="364"/>
      <c r="B5" s="365"/>
      <c r="C5" s="3514" t="s">
        <v>2122</v>
      </c>
      <c r="D5" s="3515"/>
      <c r="E5" s="3512" t="s">
        <v>3274</v>
      </c>
      <c r="F5" s="3513"/>
      <c r="G5" s="3512" t="s">
        <v>3274</v>
      </c>
      <c r="H5" s="3513"/>
      <c r="I5" s="3518" t="s">
        <v>3367</v>
      </c>
      <c r="J5" s="3515"/>
      <c r="K5" s="567"/>
      <c r="L5" s="2888"/>
      <c r="M5" s="2889"/>
      <c r="N5" s="2889"/>
      <c r="O5" s="2889"/>
      <c r="P5" s="3531"/>
      <c r="Q5" s="3532"/>
      <c r="R5" s="3510"/>
      <c r="S5" s="3511"/>
      <c r="T5" s="3510"/>
      <c r="U5" s="3511"/>
      <c r="V5" s="3538"/>
      <c r="W5" s="3538"/>
      <c r="X5" s="1487"/>
      <c r="Y5" s="3510"/>
      <c r="Z5" s="3511"/>
      <c r="AA5" s="3504"/>
      <c r="AB5" s="3504"/>
      <c r="AC5" s="3523"/>
    </row>
    <row r="6" spans="1:29" ht="15.75" thickBot="1">
      <c r="A6" s="366"/>
      <c r="B6" s="367"/>
      <c r="C6" s="3516" t="s">
        <v>2126</v>
      </c>
      <c r="D6" s="3517"/>
      <c r="E6" s="3519" t="s">
        <v>2126</v>
      </c>
      <c r="F6" s="3520"/>
      <c r="G6" s="3516" t="s">
        <v>2126</v>
      </c>
      <c r="H6" s="3517"/>
      <c r="I6" s="3516" t="s">
        <v>2126</v>
      </c>
      <c r="J6" s="3517"/>
      <c r="K6" s="567" t="s">
        <v>2127</v>
      </c>
      <c r="L6" s="2888"/>
      <c r="M6" s="2889"/>
      <c r="N6" s="2889"/>
      <c r="O6" s="2889"/>
      <c r="P6" s="3533"/>
      <c r="Q6" s="3534"/>
      <c r="R6" s="3510"/>
      <c r="S6" s="3511"/>
      <c r="T6" s="3535"/>
      <c r="U6" s="3536"/>
      <c r="V6" s="3538"/>
      <c r="W6" s="3538"/>
      <c r="X6" s="1487"/>
      <c r="Y6" s="3535"/>
      <c r="Z6" s="3536"/>
      <c r="AA6" s="3505"/>
      <c r="AB6" s="3505"/>
      <c r="AC6" s="3524"/>
    </row>
    <row r="7" spans="1:29" s="113" customFormat="1" ht="15.75" thickBot="1">
      <c r="A7" s="368" t="s">
        <v>2128</v>
      </c>
      <c r="B7" s="369"/>
      <c r="C7" s="370">
        <f>'数据-取费表'!B2</f>
        <v>44798</v>
      </c>
      <c r="D7" s="371">
        <v>100</v>
      </c>
      <c r="E7" s="372">
        <v>44774</v>
      </c>
      <c r="F7" s="373">
        <f>SUMIF(59:59,YEAR(E7)&amp;"-"&amp;MONTH(E7),60:60)</f>
        <v>100</v>
      </c>
      <c r="G7" s="3660">
        <v>44774</v>
      </c>
      <c r="H7" s="371">
        <f>SUMIF(59:59,YEAR(G7)&amp;"-"&amp;MONTH(G7),60:60)</f>
        <v>100</v>
      </c>
      <c r="I7" s="372">
        <v>44774</v>
      </c>
      <c r="J7" s="371">
        <f>SUMIF(59:59,YEAR(I7)&amp;"-"&amp;MONTH(I7),60:60)</f>
        <v>100</v>
      </c>
      <c r="K7" s="568"/>
      <c r="L7" s="2890"/>
      <c r="M7" s="2891"/>
      <c r="N7" s="2891"/>
      <c r="O7" s="2891"/>
      <c r="P7" s="3539" t="s">
        <v>2129</v>
      </c>
      <c r="Q7" s="3540"/>
      <c r="R7" s="707" t="s">
        <v>17</v>
      </c>
      <c r="S7" s="708">
        <f t="shared" ref="S7:S15" si="0">F7</f>
        <v>100</v>
      </c>
      <c r="T7" s="707" t="s">
        <v>17</v>
      </c>
      <c r="U7" s="708">
        <f t="shared" ref="U7:U15" si="1">H7</f>
        <v>100</v>
      </c>
      <c r="V7" s="707" t="s">
        <v>17</v>
      </c>
      <c r="W7" s="708">
        <f t="shared" ref="W7:W15" si="2">J7</f>
        <v>100</v>
      </c>
      <c r="X7" s="709"/>
      <c r="Y7" s="3506" t="s">
        <v>2129</v>
      </c>
      <c r="Z7" s="3507"/>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3398</v>
      </c>
      <c r="H8" s="371">
        <f>SUMIF(62:62,G8,63:63)-SUMIF(62:62,C8,63:63)+100</f>
        <v>100</v>
      </c>
      <c r="I8" s="374" t="s">
        <v>2167</v>
      </c>
      <c r="J8" s="371">
        <f>SUMIF(62:62,I8,63:63)-SUMIF(62:62,C8,63:63)+100</f>
        <v>100</v>
      </c>
      <c r="K8" s="568"/>
      <c r="L8" s="2890"/>
      <c r="M8" s="2891"/>
      <c r="N8" s="2891"/>
      <c r="O8" s="2891"/>
      <c r="P8" s="3539" t="s">
        <v>2132</v>
      </c>
      <c r="Q8" s="3507"/>
      <c r="R8" s="707" t="s">
        <v>17</v>
      </c>
      <c r="S8" s="708">
        <f t="shared" si="0"/>
        <v>100</v>
      </c>
      <c r="T8" s="707" t="s">
        <v>17</v>
      </c>
      <c r="U8" s="708">
        <f t="shared" si="1"/>
        <v>100</v>
      </c>
      <c r="V8" s="707" t="s">
        <v>17</v>
      </c>
      <c r="W8" s="708">
        <f t="shared" si="2"/>
        <v>100</v>
      </c>
      <c r="X8" s="709"/>
      <c r="Y8" s="3506" t="s">
        <v>2132</v>
      </c>
      <c r="Z8" s="3507"/>
      <c r="AA8" s="710">
        <f t="shared" ref="AA8:AA47" si="3">D8/F8</f>
        <v>1</v>
      </c>
      <c r="AB8" s="710">
        <f t="shared" ref="AB8:AB47" si="4">D8/H8</f>
        <v>1</v>
      </c>
      <c r="AC8" s="2093">
        <f t="shared" ref="AC8:AC47" si="5">D8/J8</f>
        <v>1</v>
      </c>
    </row>
    <row r="9" spans="1:29" s="113" customFormat="1" ht="15" thickBot="1">
      <c r="A9" s="375" t="s">
        <v>2133</v>
      </c>
      <c r="B9" s="67" t="s">
        <v>2134</v>
      </c>
      <c r="C9" s="3263" t="s">
        <v>3272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521"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2093">
        <f t="shared" si="5"/>
        <v>1</v>
      </c>
    </row>
    <row r="10" spans="1:29" s="386" customFormat="1" ht="27">
      <c r="A10" s="380"/>
      <c r="B10" s="381" t="s">
        <v>2137</v>
      </c>
      <c r="C10" s="382" t="s">
        <v>3273</v>
      </c>
      <c r="D10" s="132">
        <v>100</v>
      </c>
      <c r="E10" s="379" t="s">
        <v>3273</v>
      </c>
      <c r="F10" s="132">
        <f>SUMIF(66:66,E10,67:67)-SUMIF(66:66,C10,67:67)+100</f>
        <v>100</v>
      </c>
      <c r="G10" s="379" t="s">
        <v>3273</v>
      </c>
      <c r="H10" s="132">
        <f>SUMIF(66:66,G10,67:67)-SUMIF(66:66,C10,67:67)+100</f>
        <v>100</v>
      </c>
      <c r="I10" s="379" t="s">
        <v>3313</v>
      </c>
      <c r="J10" s="132">
        <f>SUMIF(66:66,I10,67:67)-SUMIF(66:66,C10,67:67)+100</f>
        <v>98</v>
      </c>
      <c r="K10" s="569">
        <v>2</v>
      </c>
      <c r="L10" s="2892"/>
      <c r="M10" s="2893"/>
      <c r="N10" s="2893"/>
      <c r="O10" s="2893"/>
      <c r="P10" s="3521"/>
      <c r="Q10" s="1475" t="str">
        <f t="shared" si="6"/>
        <v>土地使用年限（年）</v>
      </c>
      <c r="R10" s="707" t="s">
        <v>17</v>
      </c>
      <c r="S10" s="708">
        <f t="shared" si="0"/>
        <v>100</v>
      </c>
      <c r="T10" s="707" t="s">
        <v>17</v>
      </c>
      <c r="U10" s="708">
        <f t="shared" si="1"/>
        <v>100</v>
      </c>
      <c r="V10" s="707" t="s">
        <v>17</v>
      </c>
      <c r="W10" s="708">
        <f t="shared" si="2"/>
        <v>98</v>
      </c>
      <c r="X10" s="709"/>
      <c r="Y10" s="3476"/>
      <c r="Z10" s="55" t="str">
        <f t="shared" si="7"/>
        <v>土地使用年限（年）</v>
      </c>
      <c r="AA10" s="710">
        <f t="shared" si="3"/>
        <v>1</v>
      </c>
      <c r="AB10" s="710">
        <f t="shared" si="4"/>
        <v>1</v>
      </c>
      <c r="AC10" s="2093">
        <f t="shared" si="5"/>
        <v>1.0204081632653061</v>
      </c>
    </row>
    <row r="11" spans="1:29" ht="15">
      <c r="A11" s="387"/>
      <c r="B11" s="381" t="s">
        <v>2138</v>
      </c>
      <c r="C11" s="388">
        <v>2</v>
      </c>
      <c r="D11" s="132">
        <v>100</v>
      </c>
      <c r="E11" s="388">
        <v>2</v>
      </c>
      <c r="F11" s="132">
        <f>LOOKUP(E11,69:69,70:70)-LOOKUP(C11,69:69,70:70)+100</f>
        <v>100</v>
      </c>
      <c r="G11" s="3661">
        <v>2</v>
      </c>
      <c r="H11" s="132">
        <f>LOOKUP(G11,69:69,70:70)-LOOKUP(C11,69:69,70:70)+100</f>
        <v>100</v>
      </c>
      <c r="I11" s="388">
        <v>2</v>
      </c>
      <c r="J11" s="132">
        <f>LOOKUP(I11,69:69,70:70)-LOOKUP(C11,69:69,70:70)+100</f>
        <v>100</v>
      </c>
      <c r="K11" s="569">
        <v>1</v>
      </c>
      <c r="L11" s="2894"/>
      <c r="M11" s="2889"/>
      <c r="N11" s="2889"/>
      <c r="O11" s="2889"/>
      <c r="P11" s="3521"/>
      <c r="Q11" s="1475" t="str">
        <f t="shared" si="6"/>
        <v>容积率</v>
      </c>
      <c r="R11" s="707" t="s">
        <v>17</v>
      </c>
      <c r="S11" s="708">
        <f t="shared" si="0"/>
        <v>100</v>
      </c>
      <c r="T11" s="707" t="s">
        <v>17</v>
      </c>
      <c r="U11" s="708">
        <f t="shared" si="1"/>
        <v>100</v>
      </c>
      <c r="V11" s="707" t="s">
        <v>17</v>
      </c>
      <c r="W11" s="708">
        <f t="shared" si="2"/>
        <v>100</v>
      </c>
      <c r="X11" s="709"/>
      <c r="Y11" s="3476"/>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3662"/>
      <c r="H12" s="132">
        <f>SUMIF(71:71,G12,72:72)-SUMIF(71:71,C12,72:72)+100</f>
        <v>100</v>
      </c>
      <c r="I12" s="391"/>
      <c r="J12" s="132">
        <f>SUMIF(71:71,I12,72:72)-SUMIF(71:71,C12,72:72)+100</f>
        <v>100</v>
      </c>
      <c r="K12" s="570"/>
      <c r="L12" s="2890"/>
      <c r="M12" s="2891"/>
      <c r="N12" s="2891"/>
      <c r="O12" s="2891"/>
      <c r="P12" s="3521"/>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3662"/>
      <c r="H13" s="394">
        <f>SUMIF(73:73,G13,74:74)-SUMIF(73:73,C13,74:74)+100</f>
        <v>100</v>
      </c>
      <c r="I13" s="391"/>
      <c r="J13" s="394">
        <f>SUMIF(73:73,I13,74:74)-SUMIF(73:73,C13,74:74)+100</f>
        <v>100</v>
      </c>
      <c r="K13" s="570"/>
      <c r="L13" s="2895"/>
      <c r="M13" s="2889"/>
      <c r="N13" s="2889"/>
      <c r="O13" s="2889"/>
      <c r="P13" s="3521"/>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3662"/>
      <c r="H14" s="397">
        <f>SUMIF(75:75,G14,76:76)-SUMIF(75:75,C14,76:76)+100</f>
        <v>100</v>
      </c>
      <c r="I14" s="391"/>
      <c r="J14" s="397">
        <f>SUMIF(75:75,I14,76:76)-SUMIF(75:75,C14,76:76)+100</f>
        <v>100</v>
      </c>
      <c r="K14" s="570"/>
      <c r="L14" s="2895"/>
      <c r="M14" s="2889"/>
      <c r="N14" s="2889"/>
      <c r="O14" s="2889"/>
      <c r="P14" s="3521"/>
      <c r="Q14" s="1475">
        <f t="shared" si="6"/>
        <v>111</v>
      </c>
      <c r="R14" s="707" t="s">
        <v>17</v>
      </c>
      <c r="S14" s="708">
        <f t="shared" si="0"/>
        <v>100</v>
      </c>
      <c r="T14" s="707" t="s">
        <v>17</v>
      </c>
      <c r="U14" s="708">
        <f t="shared" si="1"/>
        <v>100</v>
      </c>
      <c r="V14" s="707" t="s">
        <v>17</v>
      </c>
      <c r="W14" s="708">
        <f t="shared" si="2"/>
        <v>100</v>
      </c>
      <c r="X14" s="709"/>
      <c r="Y14" s="3476"/>
      <c r="Z14" s="55">
        <f t="shared" si="7"/>
        <v>111</v>
      </c>
      <c r="AA14" s="710">
        <f t="shared" si="3"/>
        <v>1</v>
      </c>
      <c r="AB14" s="710">
        <f t="shared" si="4"/>
        <v>1</v>
      </c>
      <c r="AC14" s="2093">
        <f t="shared" si="5"/>
        <v>1</v>
      </c>
    </row>
    <row r="15" spans="1:29" ht="71.25">
      <c r="A15" s="399" t="s">
        <v>2139</v>
      </c>
      <c r="B15" s="584" t="s">
        <v>2267</v>
      </c>
      <c r="C15" s="2094" t="str">
        <f>估价对象房地状况!C5</f>
        <v>估价对象周边办公楼项目较多，有金泰鑫侨大厦、阳光大厦、德宝大厦，入驻率较高，办公集聚程度较好</v>
      </c>
      <c r="D15" s="400">
        <v>100</v>
      </c>
      <c r="E15" s="403"/>
      <c r="F15" s="400">
        <f>SUMIF(77:77,E16,78:78)-SUMIF(77:77,C16,78:78)+100</f>
        <v>100</v>
      </c>
      <c r="G15" s="3663"/>
      <c r="H15" s="400">
        <f>SUMIF(77:77,G16,78:78)-SUMIF(77:77,C16,78:78)+100</f>
        <v>100</v>
      </c>
      <c r="I15" s="401"/>
      <c r="J15" s="400">
        <f>SUMIF(77:77,I16,78:78)-SUMIF(77:77,C16,78:78)+100</f>
        <v>100</v>
      </c>
      <c r="K15" s="571">
        <v>2</v>
      </c>
      <c r="L15" s="2895"/>
      <c r="M15" s="2889"/>
      <c r="N15" s="2889"/>
      <c r="O15" s="2889"/>
      <c r="P15" s="3541" t="s">
        <v>2140</v>
      </c>
      <c r="Q15" s="1484" t="str">
        <f t="shared" si="6"/>
        <v>办公集聚程度</v>
      </c>
      <c r="R15" s="711" t="s">
        <v>17</v>
      </c>
      <c r="S15" s="712">
        <f t="shared" si="0"/>
        <v>100</v>
      </c>
      <c r="T15" s="711" t="s">
        <v>17</v>
      </c>
      <c r="U15" s="712">
        <f t="shared" si="1"/>
        <v>100</v>
      </c>
      <c r="V15" s="711" t="s">
        <v>17</v>
      </c>
      <c r="W15" s="712">
        <f t="shared" si="2"/>
        <v>100</v>
      </c>
      <c r="X15" s="1487"/>
      <c r="Y15" s="3543" t="s">
        <v>2140</v>
      </c>
      <c r="Z15" s="1488" t="str">
        <f t="shared" si="7"/>
        <v>办公集聚程度</v>
      </c>
      <c r="AA15" s="1485">
        <f t="shared" si="3"/>
        <v>1</v>
      </c>
      <c r="AB15" s="1485">
        <f t="shared" si="4"/>
        <v>1</v>
      </c>
      <c r="AC15" s="2095">
        <f t="shared" si="5"/>
        <v>1</v>
      </c>
    </row>
    <row r="16" spans="1:29" ht="15">
      <c r="A16" s="387"/>
      <c r="B16" s="585"/>
      <c r="C16" s="2038" t="s">
        <v>3275</v>
      </c>
      <c r="D16" s="407"/>
      <c r="E16" s="406" t="s">
        <v>3275</v>
      </c>
      <c r="F16" s="407"/>
      <c r="G16" s="3664" t="s">
        <v>3275</v>
      </c>
      <c r="H16" s="409"/>
      <c r="I16" s="406" t="s">
        <v>3275</v>
      </c>
      <c r="J16" s="407"/>
      <c r="K16" s="572"/>
      <c r="L16" s="2895"/>
      <c r="M16" s="2889"/>
      <c r="N16" s="2889"/>
      <c r="O16" s="2889"/>
      <c r="P16" s="3542"/>
      <c r="Q16" s="1484"/>
      <c r="R16" s="711"/>
      <c r="S16" s="712"/>
      <c r="T16" s="711"/>
      <c r="U16" s="712"/>
      <c r="V16" s="711"/>
      <c r="W16" s="712"/>
      <c r="X16" s="1487"/>
      <c r="Y16" s="3544"/>
      <c r="Z16" s="1488"/>
      <c r="AA16" s="1485">
        <v>1</v>
      </c>
      <c r="AB16" s="1485">
        <v>1</v>
      </c>
      <c r="AC16" s="2095">
        <v>1</v>
      </c>
    </row>
    <row r="17" spans="1:29" ht="99.75">
      <c r="A17" s="387"/>
      <c r="B17" s="586" t="s">
        <v>1704</v>
      </c>
      <c r="C17" s="2096"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3665"/>
      <c r="H17" s="414">
        <f>SUMIF(79:79,G18,80:80)-SUMIF(79:79,C18,80:80)+100</f>
        <v>100</v>
      </c>
      <c r="I17" s="411"/>
      <c r="J17" s="414">
        <f>SUMIF(79:79,I18,80:80)-SUMIF(79:79,C18,80:80)+100</f>
        <v>100</v>
      </c>
      <c r="K17" s="571">
        <v>2</v>
      </c>
      <c r="L17" s="2895"/>
      <c r="M17" s="2889"/>
      <c r="N17" s="2889"/>
      <c r="O17" s="2889"/>
      <c r="P17" s="3542"/>
      <c r="Q17" s="1484" t="str">
        <f>B17</f>
        <v>交通便捷度</v>
      </c>
      <c r="R17" s="711" t="s">
        <v>17</v>
      </c>
      <c r="S17" s="712">
        <f>F17</f>
        <v>100</v>
      </c>
      <c r="T17" s="711" t="s">
        <v>17</v>
      </c>
      <c r="U17" s="712">
        <f>H17</f>
        <v>100</v>
      </c>
      <c r="V17" s="711" t="s">
        <v>17</v>
      </c>
      <c r="W17" s="712">
        <f>J17</f>
        <v>100</v>
      </c>
      <c r="X17" s="1487"/>
      <c r="Y17" s="3544"/>
      <c r="Z17" s="1488" t="str">
        <f>Q17</f>
        <v>交通便捷度</v>
      </c>
      <c r="AA17" s="1485">
        <f t="shared" si="3"/>
        <v>1</v>
      </c>
      <c r="AB17" s="1485">
        <f t="shared" si="4"/>
        <v>1</v>
      </c>
      <c r="AC17" s="2095">
        <f t="shared" si="5"/>
        <v>1</v>
      </c>
    </row>
    <row r="18" spans="1:29" ht="15">
      <c r="A18" s="387"/>
      <c r="B18" s="587"/>
      <c r="C18" s="2097" t="s">
        <v>3275</v>
      </c>
      <c r="D18" s="409"/>
      <c r="E18" s="2097" t="s">
        <v>3275</v>
      </c>
      <c r="F18" s="409"/>
      <c r="G18" s="3666" t="s">
        <v>3275</v>
      </c>
      <c r="H18" s="407"/>
      <c r="I18" s="2097" t="s">
        <v>3275</v>
      </c>
      <c r="J18" s="407"/>
      <c r="K18" s="572"/>
      <c r="L18" s="2895"/>
      <c r="M18" s="2889"/>
      <c r="N18" s="2889"/>
      <c r="O18" s="2889"/>
      <c r="P18" s="3542"/>
      <c r="Q18" s="1484"/>
      <c r="R18" s="711"/>
      <c r="S18" s="712"/>
      <c r="T18" s="711"/>
      <c r="U18" s="712"/>
      <c r="V18" s="711"/>
      <c r="W18" s="712"/>
      <c r="X18" s="1487"/>
      <c r="Y18" s="3544"/>
      <c r="Z18" s="1488"/>
      <c r="AA18" s="1485">
        <v>1</v>
      </c>
      <c r="AB18" s="1485">
        <v>1</v>
      </c>
      <c r="AC18" s="2095">
        <v>1</v>
      </c>
    </row>
    <row r="19" spans="1:29" ht="28.5">
      <c r="A19" s="387"/>
      <c r="B19" s="586" t="s">
        <v>2268</v>
      </c>
      <c r="C19" s="2096" t="str">
        <f>估价对象房地状况!C7</f>
        <v>估价对象所在区域公共配套设施齐备情况较好</v>
      </c>
      <c r="D19" s="414">
        <v>100</v>
      </c>
      <c r="E19" s="418"/>
      <c r="F19" s="414">
        <f>SUMIF(81:81,E20,82:82)-SUMIF(81:81,C20,82:82)+100</f>
        <v>100</v>
      </c>
      <c r="G19" s="3667"/>
      <c r="H19" s="409">
        <f>SUMIF(81:81,G20,82:82)-SUMIF(81:81,C20,82:82)+100</f>
        <v>100</v>
      </c>
      <c r="I19" s="416"/>
      <c r="J19" s="409">
        <f>SUMIF(81:81,I20,82:82)-SUMIF(81:81,C20,82:82)+100</f>
        <v>100</v>
      </c>
      <c r="K19" s="571">
        <v>2</v>
      </c>
      <c r="L19" s="2895"/>
      <c r="M19" s="2889"/>
      <c r="N19" s="2889"/>
      <c r="O19" s="2889"/>
      <c r="P19" s="3542"/>
      <c r="Q19" s="1484" t="str">
        <f>B19</f>
        <v>公共配套设施</v>
      </c>
      <c r="R19" s="711" t="s">
        <v>17</v>
      </c>
      <c r="S19" s="712">
        <f>F19</f>
        <v>100</v>
      </c>
      <c r="T19" s="711" t="s">
        <v>17</v>
      </c>
      <c r="U19" s="712">
        <f>H19</f>
        <v>100</v>
      </c>
      <c r="V19" s="711" t="s">
        <v>17</v>
      </c>
      <c r="W19" s="712">
        <f>J19</f>
        <v>100</v>
      </c>
      <c r="X19" s="1487"/>
      <c r="Y19" s="3544"/>
      <c r="Z19" s="1488" t="str">
        <f>Q19</f>
        <v>公共配套设施</v>
      </c>
      <c r="AA19" s="1485">
        <f t="shared" si="3"/>
        <v>1</v>
      </c>
      <c r="AB19" s="1485">
        <f t="shared" si="4"/>
        <v>1</v>
      </c>
      <c r="AC19" s="2095">
        <f t="shared" si="5"/>
        <v>1</v>
      </c>
    </row>
    <row r="20" spans="1:29" ht="15">
      <c r="A20" s="387"/>
      <c r="B20" s="587"/>
      <c r="C20" s="2038" t="s">
        <v>3275</v>
      </c>
      <c r="D20" s="407"/>
      <c r="E20" s="2097" t="s">
        <v>3275</v>
      </c>
      <c r="F20" s="407"/>
      <c r="G20" s="3666" t="s">
        <v>3275</v>
      </c>
      <c r="H20" s="407"/>
      <c r="I20" s="2038" t="s">
        <v>3275</v>
      </c>
      <c r="J20" s="407"/>
      <c r="K20" s="572"/>
      <c r="L20" s="2895"/>
      <c r="M20" s="2889"/>
      <c r="N20" s="2889"/>
      <c r="O20" s="2889"/>
      <c r="P20" s="3542"/>
      <c r="Q20" s="1484"/>
      <c r="R20" s="711"/>
      <c r="S20" s="712"/>
      <c r="T20" s="711"/>
      <c r="U20" s="712"/>
      <c r="V20" s="711"/>
      <c r="W20" s="712"/>
      <c r="X20" s="1487"/>
      <c r="Y20" s="3544"/>
      <c r="Z20" s="1488"/>
      <c r="AA20" s="1485">
        <v>1</v>
      </c>
      <c r="AB20" s="1485">
        <v>1</v>
      </c>
      <c r="AC20" s="2095">
        <v>1</v>
      </c>
    </row>
    <row r="21" spans="1:29" ht="28.5">
      <c r="A21" s="387"/>
      <c r="B21" s="588" t="s">
        <v>2269</v>
      </c>
      <c r="C21" s="2096" t="str">
        <f>估价对象房地状况!C8</f>
        <v>估价对象所在区域基础设施水平七通</v>
      </c>
      <c r="D21" s="409">
        <v>100</v>
      </c>
      <c r="E21" s="418"/>
      <c r="F21" s="414">
        <f>SUMIF(83:83,E22,84:84)-SUMIF(83:83,C22,84:84)+100</f>
        <v>100</v>
      </c>
      <c r="G21" s="3668"/>
      <c r="H21" s="409">
        <f>SUMIF(83:83,G22,84:84)-SUMIF(83:83,C22,84:84)+100</f>
        <v>100</v>
      </c>
      <c r="I21" s="416"/>
      <c r="J21" s="409">
        <f>SUMIF(83:83,I22,84:84)-SUMIF(83:83,C22,84:84)+100</f>
        <v>100</v>
      </c>
      <c r="K21" s="571">
        <v>1</v>
      </c>
      <c r="L21" s="2895"/>
      <c r="M21" s="2889"/>
      <c r="N21" s="2889"/>
      <c r="O21" s="2889"/>
      <c r="P21" s="3542"/>
      <c r="Q21" s="1484" t="str">
        <f>B21</f>
        <v>基础设施水平</v>
      </c>
      <c r="R21" s="711" t="s">
        <v>17</v>
      </c>
      <c r="S21" s="712">
        <f>F21</f>
        <v>100</v>
      </c>
      <c r="T21" s="711" t="s">
        <v>17</v>
      </c>
      <c r="U21" s="712">
        <f>H21</f>
        <v>100</v>
      </c>
      <c r="V21" s="711" t="s">
        <v>17</v>
      </c>
      <c r="W21" s="712">
        <f>J21</f>
        <v>100</v>
      </c>
      <c r="X21" s="1487"/>
      <c r="Y21" s="3544"/>
      <c r="Z21" s="1488" t="str">
        <f>Q21</f>
        <v>基础设施水平</v>
      </c>
      <c r="AA21" s="1485">
        <f t="shared" ref="AA21" si="8">D21/F21</f>
        <v>1</v>
      </c>
      <c r="AB21" s="1485">
        <f t="shared" ref="AB21" si="9">D21/H21</f>
        <v>1</v>
      </c>
      <c r="AC21" s="2095">
        <f t="shared" ref="AC21" si="10">D21/J21</f>
        <v>1</v>
      </c>
    </row>
    <row r="22" spans="1:29" ht="15">
      <c r="A22" s="387"/>
      <c r="B22" s="588"/>
      <c r="C22" s="2097" t="s">
        <v>3276</v>
      </c>
      <c r="D22" s="407"/>
      <c r="E22" s="406" t="s">
        <v>3276</v>
      </c>
      <c r="F22" s="407"/>
      <c r="G22" s="3664" t="s">
        <v>3276</v>
      </c>
      <c r="H22" s="407"/>
      <c r="I22" s="406" t="s">
        <v>3276</v>
      </c>
      <c r="J22" s="407"/>
      <c r="K22" s="1242"/>
      <c r="L22" s="2895"/>
      <c r="M22" s="2889"/>
      <c r="N22" s="2889"/>
      <c r="O22" s="2889"/>
      <c r="P22" s="3542"/>
      <c r="Q22" s="1484"/>
      <c r="R22" s="711"/>
      <c r="S22" s="712"/>
      <c r="T22" s="711"/>
      <c r="U22" s="712"/>
      <c r="V22" s="711"/>
      <c r="W22" s="712"/>
      <c r="X22" s="1487"/>
      <c r="Y22" s="3544"/>
      <c r="Z22" s="1488"/>
      <c r="AA22" s="1485">
        <v>1</v>
      </c>
      <c r="AB22" s="1485">
        <v>1</v>
      </c>
      <c r="AC22" s="2095">
        <v>1</v>
      </c>
    </row>
    <row r="23" spans="1:29" ht="73.5" customHeight="1">
      <c r="A23" s="387"/>
      <c r="B23" s="586" t="s">
        <v>2270</v>
      </c>
      <c r="C23" s="2096" t="str">
        <f>估价对象房地状况!C9</f>
        <v>区域自然环境：北京动物园、官园公园；人文环境：北京天文馆、北京建筑大学；综合评价环境状况较好</v>
      </c>
      <c r="D23" s="409">
        <v>100</v>
      </c>
      <c r="E23" s="413"/>
      <c r="F23" s="409">
        <f>SUMIF(85:85,E24,86:86)-SUMIF(85:85,C24,86:86)+100</f>
        <v>100</v>
      </c>
      <c r="G23" s="3669"/>
      <c r="H23" s="409">
        <f>SUMIF(85:85,G24,86:86)-SUMIF(85:85,C24,86:86)+100</f>
        <v>100</v>
      </c>
      <c r="I23" s="411"/>
      <c r="J23" s="409">
        <f>SUMIF(85:85,I24,86:86)-SUMIF(85:85,C24,86:86)+100</f>
        <v>100</v>
      </c>
      <c r="K23" s="571">
        <v>3</v>
      </c>
      <c r="L23" s="2895"/>
      <c r="M23" s="2889"/>
      <c r="N23" s="2889"/>
      <c r="O23" s="2889"/>
      <c r="P23" s="3542"/>
      <c r="Q23" s="1484" t="str">
        <f>B23</f>
        <v>环境质量</v>
      </c>
      <c r="R23" s="711" t="s">
        <v>17</v>
      </c>
      <c r="S23" s="712">
        <f>F23</f>
        <v>100</v>
      </c>
      <c r="T23" s="711" t="s">
        <v>17</v>
      </c>
      <c r="U23" s="712">
        <f>H23</f>
        <v>100</v>
      </c>
      <c r="V23" s="711" t="s">
        <v>17</v>
      </c>
      <c r="W23" s="712">
        <f>J23</f>
        <v>100</v>
      </c>
      <c r="X23" s="1487"/>
      <c r="Y23" s="3544"/>
      <c r="Z23" s="1488" t="str">
        <f>Q23</f>
        <v>环境质量</v>
      </c>
      <c r="AA23" s="1485">
        <f t="shared" si="3"/>
        <v>1</v>
      </c>
      <c r="AB23" s="1485">
        <f t="shared" si="4"/>
        <v>1</v>
      </c>
      <c r="AC23" s="2095">
        <f t="shared" si="5"/>
        <v>1</v>
      </c>
    </row>
    <row r="24" spans="1:29" ht="15">
      <c r="A24" s="387"/>
      <c r="B24" s="588"/>
      <c r="C24" s="2038" t="s">
        <v>3275</v>
      </c>
      <c r="D24" s="407"/>
      <c r="E24" s="2038" t="s">
        <v>3275</v>
      </c>
      <c r="F24" s="407"/>
      <c r="G24" s="3670" t="s">
        <v>3275</v>
      </c>
      <c r="H24" s="407"/>
      <c r="I24" s="2038" t="s">
        <v>3275</v>
      </c>
      <c r="J24" s="407"/>
      <c r="K24" s="572"/>
      <c r="L24" s="2895"/>
      <c r="M24" s="2889"/>
      <c r="N24" s="2889"/>
      <c r="O24" s="2889"/>
      <c r="P24" s="3542"/>
      <c r="Q24" s="1484"/>
      <c r="R24" s="711"/>
      <c r="S24" s="712"/>
      <c r="T24" s="711"/>
      <c r="U24" s="712"/>
      <c r="V24" s="711"/>
      <c r="W24" s="712"/>
      <c r="X24" s="1487"/>
      <c r="Y24" s="3544"/>
      <c r="Z24" s="1488"/>
      <c r="AA24" s="1485">
        <v>1</v>
      </c>
      <c r="AB24" s="1485">
        <v>1</v>
      </c>
      <c r="AC24" s="2095">
        <v>1</v>
      </c>
    </row>
    <row r="25" spans="1:29" ht="27">
      <c r="A25" s="364"/>
      <c r="B25" s="586" t="s">
        <v>2271</v>
      </c>
      <c r="C25" s="3265" t="s">
        <v>3283</v>
      </c>
      <c r="D25" s="394">
        <v>100</v>
      </c>
      <c r="E25" s="3265" t="s">
        <v>3283</v>
      </c>
      <c r="F25" s="394">
        <f>SUMIF(87:87,E26,88:88)-SUMIF(87:87,C26,88:88)+100</f>
        <v>100</v>
      </c>
      <c r="G25" s="3671" t="s">
        <v>3399</v>
      </c>
      <c r="H25" s="394">
        <f>SUMIF(87:87,G26,88:88)-SUMIF(87:87,C26,88:88)+100</f>
        <v>100</v>
      </c>
      <c r="I25" s="3270" t="s">
        <v>3312</v>
      </c>
      <c r="J25" s="394">
        <f>SUMIF(87:87,I26,88:88)-SUMIF(87:87,C26,88:88)+100</f>
        <v>100</v>
      </c>
      <c r="K25" s="571">
        <v>1</v>
      </c>
      <c r="L25" s="2895"/>
      <c r="M25" s="2889"/>
      <c r="N25" s="2889"/>
      <c r="O25" s="2889"/>
      <c r="P25" s="3542"/>
      <c r="Q25" s="1484" t="str">
        <f>B25</f>
        <v>毗邻道路的类型与等级</v>
      </c>
      <c r="R25" s="711" t="s">
        <v>17</v>
      </c>
      <c r="S25" s="712">
        <f>F25</f>
        <v>100</v>
      </c>
      <c r="T25" s="711" t="s">
        <v>17</v>
      </c>
      <c r="U25" s="712">
        <f>H25</f>
        <v>100</v>
      </c>
      <c r="V25" s="711" t="s">
        <v>17</v>
      </c>
      <c r="W25" s="712">
        <f>J25</f>
        <v>100</v>
      </c>
      <c r="X25" s="1487"/>
      <c r="Y25" s="3544"/>
      <c r="Z25" s="1488" t="str">
        <f>Q25</f>
        <v>毗邻道路的类型与等级</v>
      </c>
      <c r="AA25" s="1485">
        <f t="shared" si="3"/>
        <v>1</v>
      </c>
      <c r="AB25" s="1485">
        <f t="shared" si="4"/>
        <v>1</v>
      </c>
      <c r="AC25" s="2095">
        <f t="shared" si="5"/>
        <v>1</v>
      </c>
    </row>
    <row r="26" spans="1:29" ht="15">
      <c r="A26" s="364"/>
      <c r="B26" s="587"/>
      <c r="C26" s="589" t="s">
        <v>3282</v>
      </c>
      <c r="D26" s="394"/>
      <c r="E26" s="589" t="s">
        <v>3282</v>
      </c>
      <c r="F26" s="394"/>
      <c r="G26" s="3672" t="s">
        <v>3282</v>
      </c>
      <c r="H26" s="394"/>
      <c r="I26" s="589" t="s">
        <v>3282</v>
      </c>
      <c r="J26" s="394"/>
      <c r="K26" s="572"/>
      <c r="L26" s="2895"/>
      <c r="M26" s="2889"/>
      <c r="N26" s="2889"/>
      <c r="O26" s="2889"/>
      <c r="P26" s="3542"/>
      <c r="Q26" s="1484"/>
      <c r="R26" s="711"/>
      <c r="S26" s="712"/>
      <c r="T26" s="711"/>
      <c r="U26" s="712"/>
      <c r="V26" s="711"/>
      <c r="W26" s="712"/>
      <c r="X26" s="1487"/>
      <c r="Y26" s="3544"/>
      <c r="Z26" s="1488"/>
      <c r="AA26" s="1485">
        <v>1</v>
      </c>
      <c r="AB26" s="1485">
        <v>1</v>
      </c>
      <c r="AC26" s="2095">
        <v>1</v>
      </c>
    </row>
    <row r="27" spans="1:29" ht="15">
      <c r="A27" s="387"/>
      <c r="B27" s="587" t="s">
        <v>2239</v>
      </c>
      <c r="C27" s="589" t="s">
        <v>3304</v>
      </c>
      <c r="D27" s="394">
        <v>100</v>
      </c>
      <c r="E27" s="589" t="s">
        <v>3304</v>
      </c>
      <c r="F27" s="394">
        <f>SUMIF(89:89,E27,90:90)-SUMIF(89:89,C27,90:90)+100</f>
        <v>100</v>
      </c>
      <c r="G27" s="3672" t="s">
        <v>3304</v>
      </c>
      <c r="H27" s="394">
        <f>SUMIF(89:89,G27,90:90)-SUMIF(89:89,C27,90:90)+100</f>
        <v>100</v>
      </c>
      <c r="I27" s="589" t="s">
        <v>3311</v>
      </c>
      <c r="J27" s="394">
        <f>SUMIF(89:89,I27,90:90)-SUMIF(89:89,C27,90:90)+100</f>
        <v>97</v>
      </c>
      <c r="K27" s="569">
        <v>3</v>
      </c>
      <c r="L27" s="2895"/>
      <c r="M27" s="2889"/>
      <c r="N27" s="2889"/>
      <c r="O27" s="2889"/>
      <c r="P27" s="3542"/>
      <c r="Q27" s="1484" t="str">
        <f t="shared" ref="Q27:Q47" si="11">B27</f>
        <v>楼层</v>
      </c>
      <c r="R27" s="711" t="s">
        <v>17</v>
      </c>
      <c r="S27" s="712">
        <f>F27</f>
        <v>100</v>
      </c>
      <c r="T27" s="711" t="s">
        <v>17</v>
      </c>
      <c r="U27" s="712">
        <f>H27</f>
        <v>100</v>
      </c>
      <c r="V27" s="711" t="s">
        <v>17</v>
      </c>
      <c r="W27" s="712">
        <f>J27</f>
        <v>97</v>
      </c>
      <c r="X27" s="1487"/>
      <c r="Y27" s="3544"/>
      <c r="Z27" s="1488" t="str">
        <f>Q27</f>
        <v>楼层</v>
      </c>
      <c r="AA27" s="1485">
        <f t="shared" si="3"/>
        <v>1</v>
      </c>
      <c r="AB27" s="1485">
        <f t="shared" si="4"/>
        <v>1</v>
      </c>
      <c r="AC27" s="2095">
        <f t="shared" si="5"/>
        <v>1.0309278350515463</v>
      </c>
    </row>
    <row r="28" spans="1:29" s="113" customFormat="1" ht="15">
      <c r="A28" s="390"/>
      <c r="B28" s="586" t="s">
        <v>2272</v>
      </c>
      <c r="C28" s="2098"/>
      <c r="D28" s="421">
        <v>100</v>
      </c>
      <c r="E28" s="2090"/>
      <c r="F28" s="421">
        <f>SUMIF(91:91,E28,92:92)-SUMIF(91:91,C28,92:92)+100</f>
        <v>100</v>
      </c>
      <c r="G28" s="3673"/>
      <c r="H28" s="421">
        <f>SUMIF(91:91,G28,92:92)-SUMIF(91:91,C28,92:92)+100</f>
        <v>100</v>
      </c>
      <c r="I28" s="2090"/>
      <c r="J28" s="421">
        <f>SUMIF(91:91,I28,92:92)-SUMIF(91:91,C28,92:92)+100</f>
        <v>100</v>
      </c>
      <c r="K28" s="569"/>
      <c r="L28" s="2890"/>
      <c r="M28" s="2891"/>
      <c r="N28" s="2891"/>
      <c r="O28" s="2891"/>
      <c r="P28" s="3542"/>
      <c r="Q28" s="1475" t="str">
        <f t="shared" si="11"/>
        <v>朝向</v>
      </c>
      <c r="R28" s="707" t="s">
        <v>17</v>
      </c>
      <c r="S28" s="708">
        <f>F28</f>
        <v>100</v>
      </c>
      <c r="T28" s="707" t="s">
        <v>17</v>
      </c>
      <c r="U28" s="708">
        <f>H28</f>
        <v>100</v>
      </c>
      <c r="V28" s="707" t="s">
        <v>17</v>
      </c>
      <c r="W28" s="708">
        <f>J28</f>
        <v>100</v>
      </c>
      <c r="X28" s="709"/>
      <c r="Y28" s="3544"/>
      <c r="Z28" s="55" t="str">
        <f>Q28</f>
        <v>朝向</v>
      </c>
      <c r="AA28" s="1485">
        <f>D28/F28</f>
        <v>1</v>
      </c>
      <c r="AB28" s="1485">
        <f>D28/H28</f>
        <v>1</v>
      </c>
      <c r="AC28" s="2095">
        <f>D28/J28</f>
        <v>1</v>
      </c>
    </row>
    <row r="29" spans="1:29" ht="15">
      <c r="A29" s="387"/>
      <c r="B29" s="2099">
        <v>111</v>
      </c>
      <c r="C29" s="2042"/>
      <c r="D29" s="394">
        <v>100</v>
      </c>
      <c r="E29" s="391"/>
      <c r="F29" s="394">
        <f>SUMIF(93:93,E29,94:94)-SUMIF(93:93,C29,94:94)+100</f>
        <v>100</v>
      </c>
      <c r="G29" s="3662"/>
      <c r="H29" s="394">
        <f>SUMIF(93:93,G29,94:94)-SUMIF(93:93,C29,94:94)+100</f>
        <v>100</v>
      </c>
      <c r="I29" s="391"/>
      <c r="J29" s="394">
        <f>SUMIF(93:93,I29,94:94)-SUMIF(93:93,C29,94:94)+100</f>
        <v>100</v>
      </c>
      <c r="K29" s="570"/>
      <c r="L29" s="2895"/>
      <c r="M29" s="2889"/>
      <c r="N29" s="2889"/>
      <c r="O29" s="2889"/>
      <c r="P29" s="3542"/>
      <c r="Q29" s="1484">
        <f t="shared" si="11"/>
        <v>111</v>
      </c>
      <c r="R29" s="711" t="s">
        <v>17</v>
      </c>
      <c r="S29" s="712">
        <f t="shared" ref="S29:S47" si="12">F29</f>
        <v>100</v>
      </c>
      <c r="T29" s="711" t="s">
        <v>17</v>
      </c>
      <c r="U29" s="712">
        <f t="shared" ref="U29:U47" si="13">H29</f>
        <v>100</v>
      </c>
      <c r="V29" s="711" t="s">
        <v>17</v>
      </c>
      <c r="W29" s="712">
        <f t="shared" ref="W29:W47" si="14">J29</f>
        <v>100</v>
      </c>
      <c r="X29" s="1487"/>
      <c r="Y29" s="3544"/>
      <c r="Z29" s="1488">
        <f t="shared" ref="Z29:Z47" si="15">Q29</f>
        <v>111</v>
      </c>
      <c r="AA29" s="1485">
        <f t="shared" si="3"/>
        <v>1</v>
      </c>
      <c r="AB29" s="1485">
        <f t="shared" si="4"/>
        <v>1</v>
      </c>
      <c r="AC29" s="2095">
        <f t="shared" si="5"/>
        <v>1</v>
      </c>
    </row>
    <row r="30" spans="1:29" ht="15">
      <c r="A30" s="387"/>
      <c r="B30" s="2099">
        <v>111</v>
      </c>
      <c r="C30" s="2042"/>
      <c r="D30" s="394">
        <v>100</v>
      </c>
      <c r="E30" s="391"/>
      <c r="F30" s="394">
        <f>SUMIF(95:95,E30,96:96)-SUMIF(95:95,C30,96:96)+100</f>
        <v>100</v>
      </c>
      <c r="G30" s="3662"/>
      <c r="H30" s="394">
        <f>SUMIF(95:95,G30,96:96)-SUMIF(95:95,C30,96:96)+100</f>
        <v>100</v>
      </c>
      <c r="I30" s="391"/>
      <c r="J30" s="394">
        <f>SUMIF(95:95,I30,96:96)-SUMIF(95:95,C30,96:96)+100</f>
        <v>100</v>
      </c>
      <c r="K30" s="570"/>
      <c r="L30" s="2895"/>
      <c r="M30" s="2889"/>
      <c r="N30" s="2889"/>
      <c r="O30" s="2889"/>
      <c r="P30" s="3542"/>
      <c r="Q30" s="1484">
        <f t="shared" si="11"/>
        <v>111</v>
      </c>
      <c r="R30" s="711" t="s">
        <v>17</v>
      </c>
      <c r="S30" s="712">
        <f t="shared" si="12"/>
        <v>100</v>
      </c>
      <c r="T30" s="711" t="s">
        <v>17</v>
      </c>
      <c r="U30" s="712">
        <f t="shared" si="13"/>
        <v>100</v>
      </c>
      <c r="V30" s="711" t="s">
        <v>17</v>
      </c>
      <c r="W30" s="712">
        <f t="shared" si="14"/>
        <v>100</v>
      </c>
      <c r="X30" s="1487"/>
      <c r="Y30" s="3544"/>
      <c r="Z30" s="1488">
        <f t="shared" si="15"/>
        <v>111</v>
      </c>
      <c r="AA30" s="1485">
        <f t="shared" si="3"/>
        <v>1</v>
      </c>
      <c r="AB30" s="1485">
        <f t="shared" si="4"/>
        <v>1</v>
      </c>
      <c r="AC30" s="2095">
        <f t="shared" si="5"/>
        <v>1</v>
      </c>
    </row>
    <row r="31" spans="1:29" ht="15">
      <c r="A31" s="387"/>
      <c r="B31" s="2099">
        <v>111</v>
      </c>
      <c r="C31" s="2042"/>
      <c r="D31" s="394">
        <v>100</v>
      </c>
      <c r="E31" s="391"/>
      <c r="F31" s="394">
        <f>SUMIF(97:97,E31,98:98)-SUMIF(97:97,C31,98:98)+100</f>
        <v>100</v>
      </c>
      <c r="G31" s="3662"/>
      <c r="H31" s="394">
        <f>SUMIF(97:97,G31,98:98)-SUMIF(97:97,C31,98:98)+100</f>
        <v>100</v>
      </c>
      <c r="I31" s="391"/>
      <c r="J31" s="394">
        <f>SUMIF(97:97,I31,98:98)-SUMIF(97:97,C31,98:98)+100</f>
        <v>100</v>
      </c>
      <c r="K31" s="570"/>
      <c r="L31" s="2895"/>
      <c r="M31" s="2889"/>
      <c r="N31" s="2889"/>
      <c r="O31" s="2889"/>
      <c r="P31" s="3542"/>
      <c r="Q31" s="1484">
        <f t="shared" si="11"/>
        <v>111</v>
      </c>
      <c r="R31" s="711" t="s">
        <v>17</v>
      </c>
      <c r="S31" s="712">
        <f t="shared" si="12"/>
        <v>100</v>
      </c>
      <c r="T31" s="711" t="s">
        <v>17</v>
      </c>
      <c r="U31" s="712">
        <f t="shared" si="13"/>
        <v>100</v>
      </c>
      <c r="V31" s="711" t="s">
        <v>17</v>
      </c>
      <c r="W31" s="712">
        <f t="shared" si="14"/>
        <v>100</v>
      </c>
      <c r="X31" s="1487"/>
      <c r="Y31" s="3544"/>
      <c r="Z31" s="1488">
        <f t="shared" si="15"/>
        <v>111</v>
      </c>
      <c r="AA31" s="1485">
        <f t="shared" si="3"/>
        <v>1</v>
      </c>
      <c r="AB31" s="1485">
        <f t="shared" si="4"/>
        <v>1</v>
      </c>
      <c r="AC31" s="2095">
        <f t="shared" si="5"/>
        <v>1</v>
      </c>
    </row>
    <row r="32" spans="1:29" ht="15.75" thickBot="1">
      <c r="A32" s="395"/>
      <c r="B32" s="590">
        <v>111</v>
      </c>
      <c r="C32" s="2043"/>
      <c r="D32" s="397">
        <v>100</v>
      </c>
      <c r="E32" s="583"/>
      <c r="F32" s="397">
        <f>SUMIF(99:99,E32,100:100)-SUMIF(99:99,C32,100:100)+100</f>
        <v>100</v>
      </c>
      <c r="G32" s="3662"/>
      <c r="H32" s="397">
        <f>SUMIF(99:99,G32,100:100)-SUMIF(99:99,C32,100:100)+100</f>
        <v>100</v>
      </c>
      <c r="I32" s="391"/>
      <c r="J32" s="397">
        <f>SUMIF(99:99,I32,100:100)-SUMIF(99:99,C32,100:100)+100</f>
        <v>100</v>
      </c>
      <c r="K32" s="570"/>
      <c r="L32" s="2895"/>
      <c r="M32" s="2889"/>
      <c r="N32" s="2889"/>
      <c r="O32" s="2889"/>
      <c r="P32" s="3542"/>
      <c r="Q32" s="1484">
        <f t="shared" si="11"/>
        <v>111</v>
      </c>
      <c r="R32" s="711" t="s">
        <v>17</v>
      </c>
      <c r="S32" s="712">
        <f t="shared" si="12"/>
        <v>100</v>
      </c>
      <c r="T32" s="711" t="s">
        <v>17</v>
      </c>
      <c r="U32" s="712">
        <f t="shared" si="13"/>
        <v>100</v>
      </c>
      <c r="V32" s="711" t="s">
        <v>17</v>
      </c>
      <c r="W32" s="712">
        <f t="shared" si="14"/>
        <v>100</v>
      </c>
      <c r="X32" s="1487"/>
      <c r="Y32" s="3544"/>
      <c r="Z32" s="1488">
        <f t="shared" si="15"/>
        <v>111</v>
      </c>
      <c r="AA32" s="1485">
        <f t="shared" si="3"/>
        <v>1</v>
      </c>
      <c r="AB32" s="1485">
        <f t="shared" si="4"/>
        <v>1</v>
      </c>
      <c r="AC32" s="2095">
        <f t="shared" si="5"/>
        <v>1</v>
      </c>
    </row>
    <row r="33" spans="1:29" ht="15">
      <c r="A33" s="399" t="s">
        <v>2143</v>
      </c>
      <c r="B33" s="67" t="s">
        <v>2273</v>
      </c>
      <c r="C33" s="2100" t="s">
        <v>3302</v>
      </c>
      <c r="D33" s="426">
        <v>100</v>
      </c>
      <c r="E33" s="2100" t="s">
        <v>3302</v>
      </c>
      <c r="F33" s="420">
        <f>SUMIF(101:101,E33,102:102)-SUMIF(101:101,C33,102:102)+100</f>
        <v>100</v>
      </c>
      <c r="G33" s="2044" t="s">
        <v>3302</v>
      </c>
      <c r="H33" s="394">
        <f>SUMIF(101:101,G33,102:102)-SUMIF(101:101,C33,102:102)+100</f>
        <v>100</v>
      </c>
      <c r="I33" s="2100" t="s">
        <v>3302</v>
      </c>
      <c r="J33" s="426">
        <f>SUMIF(101:101,I33,102:102)-SUMIF(101:101,C33,102:102)+100</f>
        <v>100</v>
      </c>
      <c r="K33" s="569">
        <v>3</v>
      </c>
      <c r="L33" s="2895"/>
      <c r="M33" s="2889"/>
      <c r="N33" s="2889"/>
      <c r="O33" s="2889"/>
      <c r="P33" s="3545" t="s">
        <v>2145</v>
      </c>
      <c r="Q33" s="1484" t="str">
        <f t="shared" si="11"/>
        <v>建筑类型</v>
      </c>
      <c r="R33" s="711" t="s">
        <v>17</v>
      </c>
      <c r="S33" s="712">
        <f t="shared" si="12"/>
        <v>100</v>
      </c>
      <c r="T33" s="711" t="s">
        <v>17</v>
      </c>
      <c r="U33" s="712">
        <f t="shared" si="13"/>
        <v>100</v>
      </c>
      <c r="V33" s="711" t="s">
        <v>17</v>
      </c>
      <c r="W33" s="712">
        <f t="shared" si="14"/>
        <v>100</v>
      </c>
      <c r="X33" s="1487"/>
      <c r="Y33" s="3548" t="s">
        <v>2145</v>
      </c>
      <c r="Z33" s="1488" t="str">
        <f t="shared" si="15"/>
        <v>建筑类型</v>
      </c>
      <c r="AA33" s="1485">
        <f t="shared" si="3"/>
        <v>1</v>
      </c>
      <c r="AB33" s="1485">
        <f t="shared" si="4"/>
        <v>1</v>
      </c>
      <c r="AC33" s="2095">
        <f t="shared" si="5"/>
        <v>1</v>
      </c>
    </row>
    <row r="34" spans="1:29" s="430" customFormat="1" ht="15">
      <c r="A34" s="427"/>
      <c r="B34" s="381" t="s">
        <v>2146</v>
      </c>
      <c r="C34" s="428">
        <f>'数据-汇总表'!F20</f>
        <v>85</v>
      </c>
      <c r="D34" s="132">
        <v>100</v>
      </c>
      <c r="E34" s="428">
        <v>211.49</v>
      </c>
      <c r="F34" s="384">
        <f>LOOKUP(E34,104:104,105:105)-LOOKUP(C34,104:104,105:105)+100</f>
        <v>101</v>
      </c>
      <c r="G34" s="3674">
        <v>125.44</v>
      </c>
      <c r="H34" s="132">
        <f>LOOKUP(G34,104:104,105:105)-LOOKUP(C34,104:104,105:105)+100</f>
        <v>101</v>
      </c>
      <c r="I34" s="428">
        <v>500</v>
      </c>
      <c r="J34" s="132">
        <f>LOOKUP(I34,104:104,105:105)-LOOKUP(C34,104:104,105:105)+100</f>
        <v>101</v>
      </c>
      <c r="K34" s="570"/>
      <c r="L34" s="2894"/>
      <c r="M34" s="2896"/>
      <c r="N34" s="2896"/>
      <c r="O34" s="2896"/>
      <c r="P34" s="3546"/>
      <c r="Q34" s="713" t="str">
        <f t="shared" si="11"/>
        <v>项目建筑规模</v>
      </c>
      <c r="R34" s="714" t="s">
        <v>17</v>
      </c>
      <c r="S34" s="715">
        <f t="shared" si="12"/>
        <v>101</v>
      </c>
      <c r="T34" s="714" t="s">
        <v>17</v>
      </c>
      <c r="U34" s="715">
        <f t="shared" si="13"/>
        <v>101</v>
      </c>
      <c r="V34" s="714" t="s">
        <v>17</v>
      </c>
      <c r="W34" s="715">
        <f t="shared" si="14"/>
        <v>101</v>
      </c>
      <c r="X34" s="716"/>
      <c r="Y34" s="3548"/>
      <c r="Z34" s="717" t="str">
        <f t="shared" si="15"/>
        <v>项目建筑规模</v>
      </c>
      <c r="AA34" s="1485">
        <f t="shared" si="3"/>
        <v>0.99009900990099009</v>
      </c>
      <c r="AB34" s="1485">
        <f t="shared" si="4"/>
        <v>0.99009900990099009</v>
      </c>
      <c r="AC34" s="2095">
        <f t="shared" si="5"/>
        <v>0.99009900990099009</v>
      </c>
    </row>
    <row r="35" spans="1:29" ht="15">
      <c r="A35" s="431"/>
      <c r="B35" s="381" t="s">
        <v>2147</v>
      </c>
      <c r="C35" s="419" t="s">
        <v>3262</v>
      </c>
      <c r="D35" s="394">
        <v>100</v>
      </c>
      <c r="E35" s="419" t="s">
        <v>3262</v>
      </c>
      <c r="F35" s="420">
        <f>SUMIF(106:106,E35,107:107)-SUMIF(106:106,C35,107:107)+100</f>
        <v>100</v>
      </c>
      <c r="G35" s="2046" t="s">
        <v>3262</v>
      </c>
      <c r="H35" s="394">
        <f>SUMIF(106:106,G35,107:107)-SUMIF(106:106,C35,107:107)+100</f>
        <v>100</v>
      </c>
      <c r="I35" s="419" t="s">
        <v>3262</v>
      </c>
      <c r="J35" s="394">
        <f>SUMIF(106:106,I35,107:107)-SUMIF(106:106,C35,107:107)+100</f>
        <v>100</v>
      </c>
      <c r="K35" s="569">
        <v>2</v>
      </c>
      <c r="L35" s="2895"/>
      <c r="M35" s="2889"/>
      <c r="N35" s="2889"/>
      <c r="O35" s="2889"/>
      <c r="P35" s="3546"/>
      <c r="Q35" s="1484" t="str">
        <f t="shared" si="11"/>
        <v>建筑结构</v>
      </c>
      <c r="R35" s="711" t="s">
        <v>17</v>
      </c>
      <c r="S35" s="712">
        <f t="shared" si="12"/>
        <v>100</v>
      </c>
      <c r="T35" s="711" t="s">
        <v>17</v>
      </c>
      <c r="U35" s="712">
        <f t="shared" si="13"/>
        <v>100</v>
      </c>
      <c r="V35" s="711" t="s">
        <v>17</v>
      </c>
      <c r="W35" s="712">
        <f t="shared" si="14"/>
        <v>100</v>
      </c>
      <c r="X35" s="1487"/>
      <c r="Y35" s="3548"/>
      <c r="Z35" s="1488" t="str">
        <f t="shared" si="15"/>
        <v>建筑结构</v>
      </c>
      <c r="AA35" s="1485">
        <f t="shared" si="3"/>
        <v>1</v>
      </c>
      <c r="AB35" s="1485">
        <f t="shared" si="4"/>
        <v>1</v>
      </c>
      <c r="AC35" s="2095">
        <f t="shared" si="5"/>
        <v>1</v>
      </c>
    </row>
    <row r="36" spans="1:29" ht="15">
      <c r="A36" s="431"/>
      <c r="B36" s="381" t="s">
        <v>2241</v>
      </c>
      <c r="C36" s="419" t="s">
        <v>3305</v>
      </c>
      <c r="D36" s="394">
        <v>100</v>
      </c>
      <c r="E36" s="419" t="s">
        <v>3305</v>
      </c>
      <c r="F36" s="420">
        <f>SUMIF(108:108,E36,109:109)-SUMIF(108:108,C36,109:109)+100</f>
        <v>100</v>
      </c>
      <c r="G36" s="2046" t="s">
        <v>3305</v>
      </c>
      <c r="H36" s="394">
        <f>SUMIF(108:108,G36,109:109)-SUMIF(108:108,C36,109:109)+100</f>
        <v>100</v>
      </c>
      <c r="I36" s="419" t="s">
        <v>3305</v>
      </c>
      <c r="J36" s="394">
        <f>SUMIF(108:108,I36,109:109)-SUMIF(108:108,C36,109:109)+100</f>
        <v>100</v>
      </c>
      <c r="K36" s="569">
        <v>2</v>
      </c>
      <c r="L36" s="2895"/>
      <c r="M36" s="2889"/>
      <c r="N36" s="2889"/>
      <c r="O36" s="2889"/>
      <c r="P36" s="3546"/>
      <c r="Q36" s="1484" t="str">
        <f t="shared" si="11"/>
        <v>公共部分装修</v>
      </c>
      <c r="R36" s="711" t="s">
        <v>17</v>
      </c>
      <c r="S36" s="712">
        <f t="shared" si="12"/>
        <v>100</v>
      </c>
      <c r="T36" s="711" t="s">
        <v>17</v>
      </c>
      <c r="U36" s="712">
        <f t="shared" si="13"/>
        <v>100</v>
      </c>
      <c r="V36" s="711" t="s">
        <v>17</v>
      </c>
      <c r="W36" s="712">
        <f t="shared" si="14"/>
        <v>100</v>
      </c>
      <c r="X36" s="1487"/>
      <c r="Y36" s="3548"/>
      <c r="Z36" s="1488" t="str">
        <f t="shared" si="15"/>
        <v>公共部分装修</v>
      </c>
      <c r="AA36" s="1485">
        <f t="shared" si="3"/>
        <v>1</v>
      </c>
      <c r="AB36" s="1485">
        <f t="shared" si="4"/>
        <v>1</v>
      </c>
      <c r="AC36" s="2095">
        <f t="shared" si="5"/>
        <v>1</v>
      </c>
    </row>
    <row r="37" spans="1:29" ht="15">
      <c r="A37" s="431"/>
      <c r="B37" s="381" t="s">
        <v>2242</v>
      </c>
      <c r="C37" s="3269">
        <f>'数据-取费表'!N6</f>
        <v>0.85</v>
      </c>
      <c r="D37" s="394">
        <v>100</v>
      </c>
      <c r="E37" s="3269">
        <f>C37</f>
        <v>0.85</v>
      </c>
      <c r="F37" s="420">
        <f>LOOKUP(E37,111:111,112:112)-LOOKUP(C37,111:111,112:112)+100</f>
        <v>100</v>
      </c>
      <c r="G37" s="3675">
        <f>C37</f>
        <v>0.85</v>
      </c>
      <c r="H37" s="420">
        <f>LOOKUP(G37,111:111,112:112)-LOOKUP(C37,111:111,112:112)+100</f>
        <v>100</v>
      </c>
      <c r="I37" s="737">
        <f>ROUND(1-(2020-2005)/60,2)</f>
        <v>0.75</v>
      </c>
      <c r="J37" s="394">
        <f>LOOKUP(I37,111:111,112:112)-LOOKUP(C37,111:111,112:112)+100</f>
        <v>98</v>
      </c>
      <c r="K37" s="569">
        <v>2</v>
      </c>
      <c r="L37" s="2895"/>
      <c r="M37" s="2889"/>
      <c r="N37" s="2889"/>
      <c r="O37" s="2889"/>
      <c r="P37" s="3546"/>
      <c r="Q37" s="1484" t="str">
        <f t="shared" si="11"/>
        <v>成新度</v>
      </c>
      <c r="R37" s="711" t="s">
        <v>17</v>
      </c>
      <c r="S37" s="712">
        <f t="shared" si="12"/>
        <v>100</v>
      </c>
      <c r="T37" s="711" t="s">
        <v>17</v>
      </c>
      <c r="U37" s="712">
        <f t="shared" si="13"/>
        <v>100</v>
      </c>
      <c r="V37" s="711" t="s">
        <v>17</v>
      </c>
      <c r="W37" s="712">
        <f t="shared" si="14"/>
        <v>98</v>
      </c>
      <c r="X37" s="1487"/>
      <c r="Y37" s="3548"/>
      <c r="Z37" s="1488" t="str">
        <f t="shared" si="15"/>
        <v>成新度</v>
      </c>
      <c r="AA37" s="1485">
        <f t="shared" si="3"/>
        <v>1</v>
      </c>
      <c r="AB37" s="1485">
        <f t="shared" si="4"/>
        <v>1</v>
      </c>
      <c r="AC37" s="2095">
        <f t="shared" si="5"/>
        <v>1.0204081632653061</v>
      </c>
    </row>
    <row r="38" spans="1:29" s="113" customFormat="1" ht="15">
      <c r="A38" s="432"/>
      <c r="B38" s="381" t="s">
        <v>2274</v>
      </c>
      <c r="C38" s="419" t="s">
        <v>3368</v>
      </c>
      <c r="D38" s="132">
        <v>100</v>
      </c>
      <c r="E38" s="419" t="s">
        <v>3368</v>
      </c>
      <c r="F38" s="420">
        <f>SUMIF(113:113,E38,114:114)-SUMIF(113:113,C38,114:114)+100</f>
        <v>100</v>
      </c>
      <c r="G38" s="2046" t="s">
        <v>3368</v>
      </c>
      <c r="H38" s="394">
        <f>SUMIF(113:113,G38,114:114)-SUMIF(113:113,C38,114:114)+100</f>
        <v>100</v>
      </c>
      <c r="I38" s="419" t="s">
        <v>3368</v>
      </c>
      <c r="J38" s="394">
        <f>SUMIF(113:113,I38,114:114)-SUMIF(113:113,C38,114:114)+100</f>
        <v>100</v>
      </c>
      <c r="K38" s="569">
        <v>2</v>
      </c>
      <c r="L38" s="2890"/>
      <c r="M38" s="2891"/>
      <c r="N38" s="2891"/>
      <c r="O38" s="2891"/>
      <c r="P38" s="3546"/>
      <c r="Q38" s="1475" t="str">
        <f t="shared" si="11"/>
        <v>写字楼等级</v>
      </c>
      <c r="R38" s="707" t="s">
        <v>17</v>
      </c>
      <c r="S38" s="708">
        <f t="shared" si="12"/>
        <v>100</v>
      </c>
      <c r="T38" s="707" t="s">
        <v>17</v>
      </c>
      <c r="U38" s="708">
        <f t="shared" si="13"/>
        <v>100</v>
      </c>
      <c r="V38" s="707" t="s">
        <v>17</v>
      </c>
      <c r="W38" s="708">
        <f t="shared" si="14"/>
        <v>100</v>
      </c>
      <c r="X38" s="709"/>
      <c r="Y38" s="3548"/>
      <c r="Z38" s="55" t="str">
        <f t="shared" si="15"/>
        <v>写字楼等级</v>
      </c>
      <c r="AA38" s="710">
        <f t="shared" si="3"/>
        <v>1</v>
      </c>
      <c r="AB38" s="710">
        <f t="shared" si="4"/>
        <v>1</v>
      </c>
      <c r="AC38" s="2093">
        <f t="shared" si="5"/>
        <v>1</v>
      </c>
    </row>
    <row r="39" spans="1:29" ht="15">
      <c r="A39" s="431"/>
      <c r="B39" s="381" t="s">
        <v>2275</v>
      </c>
      <c r="C39" s="419" t="s">
        <v>3306</v>
      </c>
      <c r="D39" s="394">
        <v>100</v>
      </c>
      <c r="E39" s="419" t="s">
        <v>3306</v>
      </c>
      <c r="F39" s="420">
        <f>SUMIF(115:115,E39,116:116)-SUMIF(115:115,C39,116:116)+100</f>
        <v>100</v>
      </c>
      <c r="G39" s="2046" t="s">
        <v>3306</v>
      </c>
      <c r="H39" s="394">
        <f>SUMIF(115:115,G39,116:116)-SUMIF(115:115,C39,116:116)+100</f>
        <v>100</v>
      </c>
      <c r="I39" s="419" t="s">
        <v>3306</v>
      </c>
      <c r="J39" s="394">
        <f>SUMIF(115:115,I39,116:116)-SUMIF(115:115,C39,116:116)+100</f>
        <v>100</v>
      </c>
      <c r="K39" s="569">
        <v>2</v>
      </c>
      <c r="L39" s="2895"/>
      <c r="M39" s="2889"/>
      <c r="N39" s="2889"/>
      <c r="O39" s="2889"/>
      <c r="P39" s="3546" t="s">
        <v>2145</v>
      </c>
      <c r="Q39" s="1484" t="str">
        <f t="shared" si="11"/>
        <v>物业管理</v>
      </c>
      <c r="R39" s="711" t="s">
        <v>17</v>
      </c>
      <c r="S39" s="712">
        <f t="shared" si="12"/>
        <v>100</v>
      </c>
      <c r="T39" s="711" t="s">
        <v>17</v>
      </c>
      <c r="U39" s="712">
        <f t="shared" si="13"/>
        <v>100</v>
      </c>
      <c r="V39" s="711" t="s">
        <v>17</v>
      </c>
      <c r="W39" s="712">
        <f t="shared" si="14"/>
        <v>100</v>
      </c>
      <c r="X39" s="1487"/>
      <c r="Y39" s="3548" t="s">
        <v>2145</v>
      </c>
      <c r="Z39" s="1488" t="str">
        <f t="shared" si="15"/>
        <v>物业管理</v>
      </c>
      <c r="AA39" s="1485">
        <f t="shared" si="3"/>
        <v>1</v>
      </c>
      <c r="AB39" s="1485">
        <f t="shared" si="4"/>
        <v>1</v>
      </c>
      <c r="AC39" s="2095">
        <f t="shared" si="5"/>
        <v>1</v>
      </c>
    </row>
    <row r="40" spans="1:29" ht="15">
      <c r="A40" s="431"/>
      <c r="B40" s="381" t="s">
        <v>2243</v>
      </c>
      <c r="C40" s="419" t="s">
        <v>3309</v>
      </c>
      <c r="D40" s="394">
        <v>100</v>
      </c>
      <c r="E40" s="419" t="s">
        <v>3309</v>
      </c>
      <c r="F40" s="420">
        <f>SUMIF(117:117,E40,118:118)-SUMIF(117:117,C40,118:118)+100</f>
        <v>100</v>
      </c>
      <c r="G40" s="2046" t="s">
        <v>3309</v>
      </c>
      <c r="H40" s="394">
        <f>SUMIF(117:117,G40,118:118)-SUMIF(117:117,C40,118:118)+100</f>
        <v>100</v>
      </c>
      <c r="I40" s="419" t="s">
        <v>3309</v>
      </c>
      <c r="J40" s="394">
        <f>SUMIF(117:117,I40,118:118)-SUMIF(117:117,C40,118:118)+100</f>
        <v>100</v>
      </c>
      <c r="K40" s="569">
        <v>1</v>
      </c>
      <c r="L40" s="2895"/>
      <c r="M40" s="2889"/>
      <c r="N40" s="2889"/>
      <c r="O40" s="2889"/>
      <c r="P40" s="3546"/>
      <c r="Q40" s="1484" t="str">
        <f t="shared" si="11"/>
        <v>市政基础设施</v>
      </c>
      <c r="R40" s="711" t="s">
        <v>17</v>
      </c>
      <c r="S40" s="712">
        <f t="shared" si="12"/>
        <v>100</v>
      </c>
      <c r="T40" s="711" t="s">
        <v>17</v>
      </c>
      <c r="U40" s="712">
        <f t="shared" si="13"/>
        <v>100</v>
      </c>
      <c r="V40" s="711" t="s">
        <v>17</v>
      </c>
      <c r="W40" s="712">
        <f t="shared" si="14"/>
        <v>100</v>
      </c>
      <c r="X40" s="1487"/>
      <c r="Y40" s="3548"/>
      <c r="Z40" s="1488" t="str">
        <f t="shared" si="15"/>
        <v>市政基础设施</v>
      </c>
      <c r="AA40" s="1485">
        <f t="shared" si="3"/>
        <v>1</v>
      </c>
      <c r="AB40" s="1485">
        <f t="shared" si="4"/>
        <v>1</v>
      </c>
      <c r="AC40" s="2095">
        <f t="shared" si="5"/>
        <v>1</v>
      </c>
    </row>
    <row r="41" spans="1:29" ht="15">
      <c r="A41" s="431"/>
      <c r="B41" s="381" t="s">
        <v>2245</v>
      </c>
      <c r="C41" s="573" t="s">
        <v>3308</v>
      </c>
      <c r="D41" s="394">
        <v>100</v>
      </c>
      <c r="E41" s="573" t="s">
        <v>3308</v>
      </c>
      <c r="F41" s="420">
        <f>SUMIF(119:119,E41,120:120)-SUMIF(119:119,C41,120:120)+100</f>
        <v>100</v>
      </c>
      <c r="G41" s="3676" t="s">
        <v>3308</v>
      </c>
      <c r="H41" s="394">
        <f>SUMIF(119:119,G41,120:120)-SUMIF(119:119,C41,120:120)+100</f>
        <v>100</v>
      </c>
      <c r="I41" s="573" t="s">
        <v>3308</v>
      </c>
      <c r="J41" s="394">
        <f>SUMIF(119:119,I41,120:120)-SUMIF(119:119,C41,120:120)+100</f>
        <v>100</v>
      </c>
      <c r="K41" s="569">
        <v>2</v>
      </c>
      <c r="L41" s="2895"/>
      <c r="M41" s="2889"/>
      <c r="N41" s="2889"/>
      <c r="O41" s="2889"/>
      <c r="P41" s="3546"/>
      <c r="Q41" s="1484" t="str">
        <f t="shared" si="11"/>
        <v>层高</v>
      </c>
      <c r="R41" s="711" t="s">
        <v>17</v>
      </c>
      <c r="S41" s="712">
        <f t="shared" si="12"/>
        <v>100</v>
      </c>
      <c r="T41" s="711" t="s">
        <v>17</v>
      </c>
      <c r="U41" s="712">
        <f t="shared" si="13"/>
        <v>100</v>
      </c>
      <c r="V41" s="711" t="s">
        <v>17</v>
      </c>
      <c r="W41" s="712">
        <f t="shared" si="14"/>
        <v>100</v>
      </c>
      <c r="X41" s="1487"/>
      <c r="Y41" s="3548"/>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677"/>
      <c r="H42" s="394">
        <f>SUMIF(121:121,G42,122:122)-SUMIF(121:121,C42,122:122)+100</f>
        <v>100</v>
      </c>
      <c r="I42" s="393"/>
      <c r="J42" s="394">
        <f>SUMIF(121:121,I42,122:122)-SUMIF(121:121,C42,122:122)+100</f>
        <v>100</v>
      </c>
      <c r="K42" s="570"/>
      <c r="L42" s="2894"/>
      <c r="M42" s="2896"/>
      <c r="N42" s="2896"/>
      <c r="O42" s="2896"/>
      <c r="P42" s="3546"/>
      <c r="Q42" s="713" t="str">
        <f t="shared" si="11"/>
        <v>单套建筑面积</v>
      </c>
      <c r="R42" s="714" t="s">
        <v>17</v>
      </c>
      <c r="S42" s="715">
        <f t="shared" si="12"/>
        <v>100</v>
      </c>
      <c r="T42" s="714" t="s">
        <v>17</v>
      </c>
      <c r="U42" s="715">
        <f t="shared" si="13"/>
        <v>100</v>
      </c>
      <c r="V42" s="714" t="s">
        <v>17</v>
      </c>
      <c r="W42" s="715">
        <f t="shared" si="14"/>
        <v>100</v>
      </c>
      <c r="X42" s="716"/>
      <c r="Y42" s="3548"/>
      <c r="Z42" s="717" t="str">
        <f t="shared" si="15"/>
        <v>单套建筑面积</v>
      </c>
      <c r="AA42" s="1485">
        <f t="shared" si="3"/>
        <v>1</v>
      </c>
      <c r="AB42" s="1485">
        <f t="shared" si="4"/>
        <v>1</v>
      </c>
      <c r="AC42" s="2095">
        <f t="shared" si="5"/>
        <v>1</v>
      </c>
    </row>
    <row r="43" spans="1:29" ht="15">
      <c r="A43" s="431"/>
      <c r="B43" s="381" t="s">
        <v>2248</v>
      </c>
      <c r="C43" s="419" t="s">
        <v>3369</v>
      </c>
      <c r="D43" s="394">
        <v>100</v>
      </c>
      <c r="E43" s="419" t="s">
        <v>3369</v>
      </c>
      <c r="F43" s="420">
        <f>SUMIF(123:123,E43,124:124)-SUMIF(123:123,C43,124:124)+100</f>
        <v>100</v>
      </c>
      <c r="G43" s="2046" t="s">
        <v>3369</v>
      </c>
      <c r="H43" s="394">
        <f>SUMIF(123:123,G43,124:124)-SUMIF(123:123,C43,124:124)+100</f>
        <v>100</v>
      </c>
      <c r="I43" s="419" t="s">
        <v>3369</v>
      </c>
      <c r="J43" s="394">
        <f>SUMIF(123:123,I43,124:124)-SUMIF(123:123,C43,124:124)+100</f>
        <v>100</v>
      </c>
      <c r="K43" s="569">
        <v>2</v>
      </c>
      <c r="L43" s="2895"/>
      <c r="M43" s="2889"/>
      <c r="N43" s="2889"/>
      <c r="O43" s="2889"/>
      <c r="P43" s="3546"/>
      <c r="Q43" s="1484" t="str">
        <f t="shared" si="11"/>
        <v>内部装修</v>
      </c>
      <c r="R43" s="711" t="s">
        <v>17</v>
      </c>
      <c r="S43" s="712">
        <f t="shared" si="12"/>
        <v>100</v>
      </c>
      <c r="T43" s="711" t="s">
        <v>17</v>
      </c>
      <c r="U43" s="712">
        <f t="shared" si="13"/>
        <v>100</v>
      </c>
      <c r="V43" s="711" t="s">
        <v>17</v>
      </c>
      <c r="W43" s="712">
        <f t="shared" si="14"/>
        <v>100</v>
      </c>
      <c r="X43" s="1487"/>
      <c r="Y43" s="3548"/>
      <c r="Z43" s="1488" t="str">
        <f t="shared" si="15"/>
        <v>内部装修</v>
      </c>
      <c r="AA43" s="1485">
        <f t="shared" si="3"/>
        <v>1</v>
      </c>
      <c r="AB43" s="1485">
        <f t="shared" si="4"/>
        <v>1</v>
      </c>
      <c r="AC43" s="2095">
        <f t="shared" si="5"/>
        <v>1</v>
      </c>
    </row>
    <row r="44" spans="1:29" ht="15">
      <c r="A44" s="431"/>
      <c r="B44" s="381" t="s">
        <v>2156</v>
      </c>
      <c r="C44" s="419" t="s">
        <v>3275</v>
      </c>
      <c r="D44" s="394">
        <v>100</v>
      </c>
      <c r="E44" s="419" t="s">
        <v>3275</v>
      </c>
      <c r="F44" s="420">
        <f>SUMIF(125:125,E44,126:126)-SUMIF(125:125,C44,126:126)+100</f>
        <v>100</v>
      </c>
      <c r="G44" s="2046" t="s">
        <v>3275</v>
      </c>
      <c r="H44" s="394">
        <f>SUMIF(125:125,G44,126:126)-SUMIF(125:125,C44,126:126)+100</f>
        <v>100</v>
      </c>
      <c r="I44" s="419" t="s">
        <v>3275</v>
      </c>
      <c r="J44" s="394">
        <f>SUMIF(125:125,I44,126:126)-SUMIF(125:125,C44,126:126)+100</f>
        <v>100</v>
      </c>
      <c r="K44" s="569">
        <v>2</v>
      </c>
      <c r="L44" s="2895"/>
      <c r="M44" s="2889"/>
      <c r="N44" s="2889"/>
      <c r="O44" s="2889"/>
      <c r="P44" s="3546"/>
      <c r="Q44" s="1484" t="str">
        <f t="shared" si="11"/>
        <v>内部装修维护情况</v>
      </c>
      <c r="R44" s="711" t="s">
        <v>17</v>
      </c>
      <c r="S44" s="712">
        <f t="shared" si="12"/>
        <v>100</v>
      </c>
      <c r="T44" s="711" t="s">
        <v>17</v>
      </c>
      <c r="U44" s="712">
        <f t="shared" si="13"/>
        <v>100</v>
      </c>
      <c r="V44" s="711" t="s">
        <v>17</v>
      </c>
      <c r="W44" s="712">
        <f t="shared" si="14"/>
        <v>100</v>
      </c>
      <c r="X44" s="1487"/>
      <c r="Y44" s="3548"/>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678"/>
      <c r="H45" s="132">
        <f>SUMIF(127:127,G45,128:128)-SUMIF(127:127,C45,128:128)+100</f>
        <v>100</v>
      </c>
      <c r="I45" s="391"/>
      <c r="J45" s="132">
        <f>SUMIF(127:127,I45,128:128)-SUMIF(127:127,C45,128:128)+100</f>
        <v>100</v>
      </c>
      <c r="K45" s="570"/>
      <c r="L45" s="2890"/>
      <c r="M45" s="2891"/>
      <c r="N45" s="2891"/>
      <c r="O45" s="2891"/>
      <c r="P45" s="3546"/>
      <c r="Q45" s="1475">
        <f t="shared" si="11"/>
        <v>111</v>
      </c>
      <c r="R45" s="707" t="s">
        <v>17</v>
      </c>
      <c r="S45" s="708">
        <f t="shared" si="12"/>
        <v>100</v>
      </c>
      <c r="T45" s="707" t="s">
        <v>17</v>
      </c>
      <c r="U45" s="708">
        <f t="shared" si="13"/>
        <v>100</v>
      </c>
      <c r="V45" s="707" t="s">
        <v>17</v>
      </c>
      <c r="W45" s="708">
        <f t="shared" si="14"/>
        <v>100</v>
      </c>
      <c r="X45" s="709"/>
      <c r="Y45" s="3548"/>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678"/>
      <c r="H46" s="394">
        <f>SUMIF(129:129,G46,130:130)-SUMIF(129:129,C46,130:130)+100</f>
        <v>100</v>
      </c>
      <c r="I46" s="391"/>
      <c r="J46" s="394">
        <f>SUMIF(129:129,I46,130:130)-SUMIF(129:129,C46,130:130)+100</f>
        <v>100</v>
      </c>
      <c r="K46" s="570"/>
      <c r="L46" s="2895"/>
      <c r="M46" s="2889"/>
      <c r="N46" s="2889"/>
      <c r="O46" s="2889"/>
      <c r="P46" s="3546"/>
      <c r="Q46" s="1484">
        <f t="shared" si="11"/>
        <v>111</v>
      </c>
      <c r="R46" s="711" t="s">
        <v>17</v>
      </c>
      <c r="S46" s="712">
        <f t="shared" si="12"/>
        <v>100</v>
      </c>
      <c r="T46" s="711" t="s">
        <v>17</v>
      </c>
      <c r="U46" s="712">
        <f t="shared" si="13"/>
        <v>100</v>
      </c>
      <c r="V46" s="711" t="s">
        <v>17</v>
      </c>
      <c r="W46" s="712">
        <f t="shared" si="14"/>
        <v>100</v>
      </c>
      <c r="X46" s="1487"/>
      <c r="Y46" s="3548"/>
      <c r="Z46" s="1488">
        <f t="shared" si="15"/>
        <v>111</v>
      </c>
      <c r="AA46" s="1485">
        <f t="shared" si="3"/>
        <v>1</v>
      </c>
      <c r="AB46" s="1485">
        <f t="shared" si="4"/>
        <v>1</v>
      </c>
      <c r="AC46" s="2095">
        <f t="shared" si="5"/>
        <v>1</v>
      </c>
    </row>
    <row r="47" spans="1:29" ht="15.75" thickBot="1">
      <c r="A47" s="437"/>
      <c r="B47" s="2029">
        <v>111</v>
      </c>
      <c r="C47" s="396"/>
      <c r="D47" s="397">
        <v>100</v>
      </c>
      <c r="E47" s="391"/>
      <c r="F47" s="398">
        <f>SUMIF(131:131,E47,132:132)-SUMIF(131:131,C47,132:132)+100</f>
        <v>100</v>
      </c>
      <c r="G47" s="3678"/>
      <c r="H47" s="397">
        <f>SUMIF(131:131,G47,132:132)-SUMIF(131:131,C47,132:132)+100</f>
        <v>100</v>
      </c>
      <c r="I47" s="391"/>
      <c r="J47" s="397">
        <f>SUMIF(131:131,I47,132:132)-SUMIF(131:131,C47,132:132)+100</f>
        <v>100</v>
      </c>
      <c r="K47" s="570"/>
      <c r="L47" s="2895"/>
      <c r="M47" s="2889"/>
      <c r="N47" s="2889"/>
      <c r="O47" s="2889"/>
      <c r="P47" s="3547"/>
      <c r="Q47" s="1484">
        <f t="shared" si="11"/>
        <v>111</v>
      </c>
      <c r="R47" s="711" t="s">
        <v>17</v>
      </c>
      <c r="S47" s="712">
        <f t="shared" si="12"/>
        <v>100</v>
      </c>
      <c r="T47" s="711" t="s">
        <v>17</v>
      </c>
      <c r="U47" s="712">
        <f t="shared" si="13"/>
        <v>100</v>
      </c>
      <c r="V47" s="711" t="s">
        <v>17</v>
      </c>
      <c r="W47" s="712">
        <f t="shared" si="14"/>
        <v>100</v>
      </c>
      <c r="X47" s="1487"/>
      <c r="Y47" s="3549"/>
      <c r="Z47" s="1488">
        <f t="shared" si="15"/>
        <v>111</v>
      </c>
      <c r="AA47" s="1485">
        <f t="shared" si="3"/>
        <v>1</v>
      </c>
      <c r="AB47" s="1485">
        <f t="shared" si="4"/>
        <v>1</v>
      </c>
      <c r="AC47" s="2095">
        <f t="shared" si="5"/>
        <v>1</v>
      </c>
    </row>
    <row r="48" spans="1:29" ht="15">
      <c r="A48" s="438" t="s">
        <v>2157</v>
      </c>
      <c r="B48" s="439"/>
      <c r="C48" s="1266" t="s">
        <v>1</v>
      </c>
      <c r="D48" s="1267"/>
      <c r="E48" s="1268">
        <v>47284</v>
      </c>
      <c r="F48" s="1269"/>
      <c r="G48" s="441">
        <v>49825</v>
      </c>
      <c r="H48" s="1271"/>
      <c r="I48" s="1268">
        <v>50000</v>
      </c>
      <c r="J48" s="444"/>
      <c r="K48" s="720"/>
      <c r="L48" s="2897"/>
      <c r="M48" s="2889"/>
      <c r="N48" s="2889"/>
      <c r="O48" s="2889"/>
      <c r="P48" s="3521" t="str">
        <f>A48</f>
        <v>成交单价（元/平方米）</v>
      </c>
      <c r="Q48" s="3550"/>
      <c r="R48" s="3551">
        <f>E48</f>
        <v>47284</v>
      </c>
      <c r="S48" s="3551"/>
      <c r="T48" s="3551">
        <f>G48</f>
        <v>49825</v>
      </c>
      <c r="U48" s="3551"/>
      <c r="V48" s="3551">
        <f>I48</f>
        <v>50000</v>
      </c>
      <c r="W48" s="3551"/>
      <c r="X48" s="405"/>
      <c r="Y48" s="718"/>
      <c r="Z48" s="405"/>
      <c r="AA48" s="405"/>
      <c r="AB48" s="405"/>
      <c r="AC48" s="585"/>
    </row>
    <row r="49" spans="1:29" ht="15.75" thickBot="1">
      <c r="A49" s="445" t="s">
        <v>2249</v>
      </c>
      <c r="B49" s="446"/>
      <c r="C49" s="1272">
        <f>R50</f>
        <v>49763</v>
      </c>
      <c r="D49" s="2485" t="s">
        <v>2636</v>
      </c>
      <c r="E49" s="1273">
        <f>R49</f>
        <v>46816</v>
      </c>
      <c r="F49" s="2486"/>
      <c r="G49" s="1272">
        <f>T49</f>
        <v>49332</v>
      </c>
      <c r="H49" s="2486"/>
      <c r="I49" s="1273">
        <f>V49</f>
        <v>53140</v>
      </c>
      <c r="J49" s="2486"/>
      <c r="K49" s="2488">
        <f>F49+H49+J49</f>
        <v>0</v>
      </c>
      <c r="L49" s="2897"/>
      <c r="M49" s="2889"/>
      <c r="N49" s="2889"/>
      <c r="O49" s="2889"/>
      <c r="P49" s="3521" t="str">
        <f>A49</f>
        <v>比较价值（元/平方米）</v>
      </c>
      <c r="Q49" s="3550"/>
      <c r="R49" s="3551">
        <f>IF(F1="售价",ROUND(PRODUCT(R48,AA7:AA47),0),ROUND(PRODUCT(R48,AA7:AA47),1))</f>
        <v>46816</v>
      </c>
      <c r="S49" s="3551"/>
      <c r="T49" s="3551">
        <f>IF(F1="售价",ROUND(PRODUCT(T48,AB7:AB47),0),ROUND(PRODUCT(T48,AB7:AB47),1))</f>
        <v>49332</v>
      </c>
      <c r="U49" s="3551"/>
      <c r="V49" s="3551">
        <f>IF(F1="售价",ROUND(PRODUCT(V48,AC7:AC47),0),ROUND(PRODUCT(V48,AC7:AC47),1))</f>
        <v>53140</v>
      </c>
      <c r="W49" s="3551"/>
      <c r="X49" s="405"/>
      <c r="Y49" s="405"/>
      <c r="Z49" s="405"/>
      <c r="AA49" s="405"/>
      <c r="AB49" s="405"/>
      <c r="AC49" s="585"/>
    </row>
    <row r="50" spans="1:29" ht="15.75" thickBot="1">
      <c r="A50" s="449" t="s">
        <v>2250</v>
      </c>
      <c r="B50" s="450"/>
      <c r="C50" s="1275">
        <f>R50</f>
        <v>49763</v>
      </c>
      <c r="D50" s="1275"/>
      <c r="E50" s="1275"/>
      <c r="F50" s="1275"/>
      <c r="G50" s="1275"/>
      <c r="H50" s="1275"/>
      <c r="I50" s="1275"/>
      <c r="J50" s="451"/>
      <c r="K50" s="721"/>
      <c r="L50" s="2897"/>
      <c r="M50" s="2889"/>
      <c r="N50" s="2889"/>
      <c r="O50" s="2889"/>
      <c r="P50" s="3552" t="str">
        <f>A50</f>
        <v>估价对象XX用房的比较价值（楼面单价，元/平方米）</v>
      </c>
      <c r="Q50" s="3553"/>
      <c r="R50" s="3554">
        <f>IF(F1="售价",ROUND(IF(D49="简单平均",AVERAGE(R49:V49),R49*F49+T49*H49+V49*J49),0),ROUND(IF(D49="简单平均",AVERAGE(R49:V49),R49*F49+T49*H49+V49*J49),1))</f>
        <v>49763</v>
      </c>
      <c r="S50" s="3554"/>
      <c r="T50" s="3554"/>
      <c r="U50" s="3554"/>
      <c r="V50" s="3554"/>
      <c r="W50" s="3554"/>
      <c r="X50" s="2080"/>
      <c r="Y50" s="2080"/>
      <c r="Z50" s="2080"/>
      <c r="AA50" s="2080"/>
      <c r="AB50" s="2080"/>
      <c r="AC50" s="2081"/>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2251</v>
      </c>
      <c r="D53" s="455"/>
      <c r="E53" s="456">
        <f>IF(E48&lt;E49,E49/E48-1,E48/E49-1)</f>
        <v>9.996582365003448E-3</v>
      </c>
      <c r="F53" s="457" t="str">
        <f>IF(OR(E53&gt;=0.3,E53&lt;=-0.3),"超过30%","")</f>
        <v/>
      </c>
      <c r="G53" s="456">
        <f>IF(G48&lt;G49,G49/G48-1,G48/G49-1)</f>
        <v>9.9935133381983121E-3</v>
      </c>
      <c r="H53" s="457" t="str">
        <f>IF(OR(G53&gt;=0.3,G53&lt;=-0.3),"超过30%","")</f>
        <v/>
      </c>
      <c r="I53" s="456">
        <f>IF(I48&lt;I49,I49/I48-1,I48/I49-1)</f>
        <v>6.2799999999999967E-2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2252</v>
      </c>
      <c r="D54" s="458"/>
      <c r="E54" s="456">
        <f>IF(E49&lt;G49,G49/E49-1,E49/G49-1)</f>
        <v>5.3742310321257758E-2</v>
      </c>
      <c r="F54" s="457" t="str">
        <f>IF(OR(E54&gt;=0.2,E54&lt;=-0.2),"超过20%","")</f>
        <v/>
      </c>
      <c r="G54" s="456">
        <f>IF(G49&lt;I49,I49/G49-1,G49/I49-1)</f>
        <v>7.7191275439876694E-2</v>
      </c>
      <c r="H54" s="457" t="str">
        <f>IF(OR(G54&gt;=0.2,G54&lt;=-0.2),"超过20%","")</f>
        <v/>
      </c>
      <c r="I54" s="456">
        <f>IF(I49&lt;E49,E49/I49-1,I49/E49-1)</f>
        <v>0.13508202323991791</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2253</v>
      </c>
      <c r="D55" s="458"/>
      <c r="E55" s="456">
        <f>IF(E48&lt;G48,G48/E48-1,E48/G48-1)</f>
        <v>5.3739108366466448E-2</v>
      </c>
      <c r="F55" s="457" t="str">
        <f>IF(OR(E55&gt;=0.3,E55&lt;=-0.3),"超过30%","")</f>
        <v/>
      </c>
      <c r="G55" s="456">
        <f>IF(G48&lt;I48,I48/G48-1,G48/I48-1)</f>
        <v>3.5122930255895302E-3</v>
      </c>
      <c r="H55" s="457" t="str">
        <f>IF(OR(G55&gt;=0.3,G55&lt;=-0.3),"超过30%","")</f>
        <v/>
      </c>
      <c r="I55" s="456">
        <f>IF(I48&lt;E48,E48/I48-1,I48/E48-1)</f>
        <v>5.7440148887572873E-2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0" t="s">
        <v>2254</v>
      </c>
      <c r="B58" s="696"/>
      <c r="C58" s="701"/>
      <c r="D58" s="701"/>
      <c r="E58" s="701"/>
      <c r="F58" s="702"/>
      <c r="G58" s="702"/>
      <c r="H58" s="701"/>
      <c r="I58" s="701"/>
      <c r="J58" s="701"/>
      <c r="K58" s="703"/>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2165</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2130</v>
      </c>
      <c r="B62" s="467"/>
      <c r="C62" s="479" t="s">
        <v>2232</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2168</v>
      </c>
      <c r="B64" s="485" t="s">
        <v>2134</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2139</v>
      </c>
      <c r="B77" s="485" t="s">
        <v>2277</v>
      </c>
      <c r="C77" s="530" t="s">
        <v>2177</v>
      </c>
      <c r="D77" s="530" t="s">
        <v>2178</v>
      </c>
      <c r="E77" s="530" t="s">
        <v>2179</v>
      </c>
      <c r="F77" s="530" t="s">
        <v>2180</v>
      </c>
      <c r="G77" s="530" t="s">
        <v>2181</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98</v>
      </c>
      <c r="E78" s="501">
        <f>D78-$K15</f>
        <v>96</v>
      </c>
      <c r="F78" s="501">
        <f>E78-$K15</f>
        <v>94</v>
      </c>
      <c r="G78" s="501">
        <f>F78-$K15</f>
        <v>92</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2182</v>
      </c>
      <c r="C79" s="535" t="s">
        <v>2177</v>
      </c>
      <c r="D79" s="535" t="s">
        <v>2178</v>
      </c>
      <c r="E79" s="535" t="s">
        <v>2179</v>
      </c>
      <c r="F79" s="535" t="s">
        <v>2180</v>
      </c>
      <c r="G79" s="535" t="s">
        <v>2181</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2183</v>
      </c>
      <c r="C81" s="535" t="s">
        <v>2177</v>
      </c>
      <c r="D81" s="535" t="s">
        <v>2178</v>
      </c>
      <c r="E81" s="535" t="s">
        <v>2179</v>
      </c>
      <c r="F81" s="535" t="s">
        <v>2180</v>
      </c>
      <c r="G81" s="535" t="s">
        <v>2181</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2269</v>
      </c>
      <c r="C83" s="615" t="s">
        <v>2255</v>
      </c>
      <c r="D83" s="615" t="s">
        <v>2256</v>
      </c>
      <c r="E83" s="615" t="s">
        <v>2257</v>
      </c>
      <c r="F83" s="615" t="s">
        <v>2258</v>
      </c>
      <c r="G83" s="615" t="s">
        <v>2259</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5"/>
      <c r="I84" s="615"/>
      <c r="J84" s="615"/>
      <c r="K84" s="615"/>
      <c r="L84" s="615"/>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2278</v>
      </c>
      <c r="C85" s="535" t="s">
        <v>2177</v>
      </c>
      <c r="D85" s="535" t="s">
        <v>2178</v>
      </c>
      <c r="E85" s="535" t="s">
        <v>2179</v>
      </c>
      <c r="F85" s="535" t="s">
        <v>2180</v>
      </c>
      <c r="G85" s="535" t="s">
        <v>2181</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2279</v>
      </c>
      <c r="C87" s="3264" t="s">
        <v>3277</v>
      </c>
      <c r="D87" s="3264" t="s">
        <v>3278</v>
      </c>
      <c r="E87" s="3264" t="s">
        <v>3279</v>
      </c>
      <c r="F87" s="3264" t="s">
        <v>3280</v>
      </c>
      <c r="G87" s="3264" t="s">
        <v>3281</v>
      </c>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3264" t="s">
        <v>3284</v>
      </c>
      <c r="D89" s="3264" t="s">
        <v>3285</v>
      </c>
      <c r="E89" s="3264" t="s">
        <v>3286</v>
      </c>
      <c r="F89" s="2061"/>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2"/>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2143</v>
      </c>
      <c r="B101" s="485" t="s">
        <v>2192</v>
      </c>
      <c r="C101" s="3268" t="s">
        <v>3301</v>
      </c>
      <c r="D101" s="3268" t="s">
        <v>3303</v>
      </c>
      <c r="E101" s="3268"/>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100</v>
      </c>
      <c r="E104" s="552">
        <v>300</v>
      </c>
      <c r="F104" s="552">
        <v>500</v>
      </c>
      <c r="G104" s="552">
        <v>1000</v>
      </c>
      <c r="H104" s="552">
        <v>1500</v>
      </c>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2194</v>
      </c>
      <c r="C106" s="3266" t="s">
        <v>3287</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2196</v>
      </c>
      <c r="C108" s="3264" t="s">
        <v>3288</v>
      </c>
      <c r="D108" s="3264" t="s">
        <v>3289</v>
      </c>
      <c r="E108" s="3264" t="s">
        <v>3290</v>
      </c>
      <c r="F108" s="3267" t="s">
        <v>3291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2280</v>
      </c>
      <c r="C113" s="3264" t="s">
        <v>3292</v>
      </c>
      <c r="D113" s="3264" t="s">
        <v>3293</v>
      </c>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2197</v>
      </c>
      <c r="C115" s="3266" t="s">
        <v>3294</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2198</v>
      </c>
      <c r="C117" s="3264" t="s">
        <v>3295</v>
      </c>
      <c r="D117" s="3264" t="s">
        <v>3296</v>
      </c>
      <c r="E117" s="3264" t="s">
        <v>3297</v>
      </c>
      <c r="F117" s="3264" t="s">
        <v>3298</v>
      </c>
      <c r="G117" s="3264" t="s">
        <v>3299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1" t="s">
        <v>2281</v>
      </c>
      <c r="C119" s="3267" t="s">
        <v>3300</v>
      </c>
      <c r="D119" s="540"/>
      <c r="E119" s="540"/>
      <c r="F119" s="540"/>
      <c r="G119" s="540"/>
      <c r="H119" s="540"/>
      <c r="I119" s="540"/>
      <c r="J119" s="540"/>
      <c r="K119" s="540"/>
      <c r="L119" s="2101"/>
      <c r="M119" s="2102"/>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2264</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2200</v>
      </c>
      <c r="C123" s="3264" t="s">
        <v>3288</v>
      </c>
      <c r="D123" s="3264" t="s">
        <v>3289</v>
      </c>
      <c r="E123" s="3264" t="s">
        <v>3290</v>
      </c>
      <c r="F123" s="3267" t="s">
        <v>3291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2"/>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278</v>
      </c>
      <c r="C2" s="1519" t="s">
        <v>1240</v>
      </c>
      <c r="D2" s="1519"/>
      <c r="E2" s="1520"/>
      <c r="F2" s="1521"/>
      <c r="G2" s="2879"/>
      <c r="H2" s="2868"/>
      <c r="I2" s="2868"/>
      <c r="J2" s="2868"/>
      <c r="K2" s="2869"/>
      <c r="L2" s="2868"/>
      <c r="M2" s="2868"/>
    </row>
    <row r="3" spans="1:37" ht="18" customHeight="1" thickBot="1">
      <c r="A3" s="1522" t="s">
        <v>1241</v>
      </c>
      <c r="B3" s="1523">
        <f ca="1">IF(ISERROR(B2*10000/F43),0,ROUND(B2*10000/F43,0))</f>
        <v>32706</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18</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ROUND(F6*F8*F7*(1-F9)/10000,0)</f>
        <v>18</v>
      </c>
      <c r="D6" s="160" t="s">
        <v>2606</v>
      </c>
      <c r="E6" s="308" t="s">
        <v>1129</v>
      </c>
      <c r="F6" s="309">
        <f ca="1">INDIRECT("'数据-取费表'!u"&amp;$G$1)</f>
        <v>6.5</v>
      </c>
      <c r="G6" s="1516"/>
      <c r="H6" s="1179" t="s">
        <v>822</v>
      </c>
      <c r="I6" s="3557" t="s">
        <v>1127</v>
      </c>
      <c r="J6" s="307">
        <f ca="1">ROUND(M6*M8*M7*(1-M9)/10000,0)</f>
        <v>0</v>
      </c>
      <c r="K6" s="160" t="s">
        <v>2605</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1">
        <f ca="1">ROUND(IF(AND(项目基本情况!B11="自然人",项目基本情况!B10="北京市"),J6*M17/(1+'数据-取费表'!C42),J18+J19+J20),0)</f>
        <v>0</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0.7</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IF(项目基本情况!B11="自然人","——",ROUND(C6*F32/(1+'数据-取费表'!C42),2))</f>
        <v>0.96</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2.06</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IF(项目基本情况!B11="自然人","——",ROUND(F34*F35/10000,2))</f>
        <v>0.02</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ROUND(C29*F36,1)</f>
        <v>0.7</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ROUND(C13*F37,1)</f>
        <v>0.1</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0.2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278</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32706</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8" t="s">
        <v>1243</v>
      </c>
      <c r="P45" s="1593"/>
      <c r="Q45" s="1593"/>
      <c r="R45" s="1593"/>
    </row>
    <row r="46" spans="1:18" s="1516" customFormat="1" ht="13.5" thickBot="1">
      <c r="A46" s="1536" t="s">
        <v>1244</v>
      </c>
      <c r="C46" s="1537">
        <f ca="1">C68-C40</f>
        <v>-348</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278</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200</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3">
        <f ca="1">IF(M47="住宅",IF(D1="——",MAX(J51,L48),MAX(J51,L48-'数据-取费表'!B24)),IF(D1="——",MIN(J51,L48),MIN(J51,L48-'数据-取费表'!B24)))</f>
        <v>31.55</v>
      </c>
      <c r="K53" s="3555" t="s">
        <v>1272</v>
      </c>
      <c r="L53" s="3556"/>
      <c r="O53" s="1550" t="s">
        <v>833</v>
      </c>
      <c r="P53" s="1551" t="s">
        <v>1273</v>
      </c>
      <c r="Q53" s="1552">
        <f ca="1">Q47+Q48</f>
        <v>278</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278</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278</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0.7</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0.1</v>
      </c>
      <c r="D65" s="1073" t="s">
        <v>1178</v>
      </c>
      <c r="E65" s="1059" t="s">
        <v>1179</v>
      </c>
      <c r="F65" s="336">
        <f t="shared" ca="1" si="0"/>
        <v>1.5E-3</v>
      </c>
      <c r="I65" s="1594" t="s">
        <v>1303</v>
      </c>
      <c r="J65" s="1595">
        <v>40</v>
      </c>
      <c r="K65" s="1595">
        <v>30</v>
      </c>
      <c r="L65" s="1595">
        <v>50</v>
      </c>
      <c r="M65" s="1597">
        <v>0.02</v>
      </c>
      <c r="O65" s="1550" t="s">
        <v>827</v>
      </c>
      <c r="P65" s="1551" t="s">
        <v>1304</v>
      </c>
      <c r="Q65" s="1552">
        <f ca="1">C40+J29</f>
        <v>278</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200</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11</v>
      </c>
      <c r="R68" s="1552" t="s">
        <v>838</v>
      </c>
    </row>
    <row r="69" spans="1:18" s="1516" customFormat="1" ht="13.5" thickBot="1">
      <c r="A69" s="1060"/>
      <c r="B69" s="1061"/>
      <c r="C69" s="312"/>
      <c r="D69" s="1079" t="s">
        <v>1197</v>
      </c>
      <c r="E69" s="1059" t="s">
        <v>1198</v>
      </c>
      <c r="F69" s="339">
        <f ca="1">F41</f>
        <v>31.55</v>
      </c>
      <c r="O69" s="1560" t="s">
        <v>835</v>
      </c>
      <c r="P69" s="1599" t="s">
        <v>1308</v>
      </c>
      <c r="Q69" s="1552">
        <f ca="1">C39</f>
        <v>14</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278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0.78600000000000003</v>
      </c>
    </row>
    <row r="80" spans="1:18">
      <c r="B80" s="346" t="s">
        <v>1235</v>
      </c>
      <c r="C80" s="280">
        <f ca="1">ROUND(C75/C39,3)</f>
        <v>0.214</v>
      </c>
    </row>
    <row r="81" spans="2:3">
      <c r="B81" s="276" t="s">
        <v>1236</v>
      </c>
      <c r="C81" s="244"/>
    </row>
    <row r="82" spans="2:3">
      <c r="B82" s="279" t="s">
        <v>1237</v>
      </c>
      <c r="C82" s="281">
        <f ca="1">1-C83</f>
        <v>0.86</v>
      </c>
    </row>
    <row r="83" spans="2:3">
      <c r="B83" s="279" t="s">
        <v>1238</v>
      </c>
      <c r="C83" s="280">
        <f ca="1">ROUND(C13/C40,3)</f>
        <v>0.14000000000000001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C40" sqref="C40: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281</v>
      </c>
      <c r="C2" s="1519" t="s">
        <v>1315</v>
      </c>
      <c r="D2" s="1603">
        <f ca="1">C40+J29+L46</f>
        <v>2813129</v>
      </c>
      <c r="E2" s="1520" t="s">
        <v>1316</v>
      </c>
      <c r="F2" s="1521"/>
      <c r="G2" s="2879"/>
      <c r="H2" s="2868"/>
      <c r="I2" s="2868"/>
      <c r="J2" s="2868"/>
      <c r="K2" s="2869"/>
      <c r="L2" s="2868"/>
      <c r="M2" s="2868"/>
    </row>
    <row r="3" spans="1:37" ht="18" customHeight="1" thickBot="1">
      <c r="A3" s="1522" t="s">
        <v>1317</v>
      </c>
      <c r="B3" s="1523">
        <f ca="1">IF(ISERROR(D2/F43),0,ROUND(D2/F43,0))</f>
        <v>33096</v>
      </c>
      <c r="C3" s="1519" t="s">
        <v>1318</v>
      </c>
      <c r="D3" s="1519"/>
      <c r="E3" s="1520"/>
      <c r="F3" s="1521"/>
      <c r="G3" s="2879"/>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181723</v>
      </c>
      <c r="D5" s="1496" t="s">
        <v>1325</v>
      </c>
      <c r="E5" s="1181"/>
      <c r="F5" s="1182"/>
      <c r="G5" s="1516"/>
      <c r="H5" s="305">
        <v>1</v>
      </c>
      <c r="I5" s="306" t="s">
        <v>1324</v>
      </c>
      <c r="J5" s="1180">
        <f ca="1">J6+J10+J12</f>
        <v>0</v>
      </c>
      <c r="K5" s="1496" t="s">
        <v>1325</v>
      </c>
      <c r="L5" s="1181"/>
      <c r="M5" s="1182"/>
    </row>
    <row r="6" spans="1:37" ht="18" customHeight="1">
      <c r="A6" s="1179" t="s">
        <v>822</v>
      </c>
      <c r="B6" s="3557" t="s">
        <v>1127</v>
      </c>
      <c r="C6" s="1184">
        <f ca="1">ROUND(F6*F8*F7*(1-F9),0)</f>
        <v>181496</v>
      </c>
      <c r="D6" s="160" t="s">
        <v>2603</v>
      </c>
      <c r="E6" s="308" t="s">
        <v>1129</v>
      </c>
      <c r="F6" s="309">
        <f ca="1">INDIRECT("'数据-取费表'!u"&amp;$G$1)</f>
        <v>6.5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227</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11159</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1">
        <f ca="1">ROUND(IF(AND(项目基本情况!B11="自然人",项目基本情况!B10="北京市"),J6*M17/(1+'数据-取费表'!C42),J18+J19+J20),0)</f>
        <v>4153</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7006</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-11159</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40071</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30652</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9680</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20742</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230</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ROUND(C29*F36,0)</f>
        <v>7006</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596</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1817.2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141652</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2813129</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33096</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-3747833</v>
      </c>
      <c r="D45" s="1605" t="s">
        <v>1328</v>
      </c>
      <c r="E45" s="1532"/>
      <c r="F45" s="1532"/>
      <c r="O45" s="1535" t="s">
        <v>1243</v>
      </c>
      <c r="P45" s="1593"/>
      <c r="Q45" s="1593"/>
      <c r="R45" s="1593"/>
    </row>
    <row r="46" spans="1:18" s="1516" customFormat="1" ht="13.5" thickBot="1">
      <c r="A46" s="1536" t="s">
        <v>1244</v>
      </c>
      <c r="C46" s="1537">
        <f ca="1">ROUND(C45/10000,0)</f>
        <v>-375</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2813129</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2022406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31.55</v>
      </c>
      <c r="K53" s="3555" t="s">
        <v>1272</v>
      </c>
      <c r="L53" s="3556"/>
      <c r="O53" s="1550" t="s">
        <v>833</v>
      </c>
      <c r="P53" s="1551" t="s">
        <v>1273</v>
      </c>
      <c r="Q53" s="1552">
        <f ca="1">Q47+Q48</f>
        <v>2813129</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2813129</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47066</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39464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2813129</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7006</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596</v>
      </c>
      <c r="D65" s="1073" t="s">
        <v>1178</v>
      </c>
      <c r="E65" s="1059" t="s">
        <v>1179</v>
      </c>
      <c r="F65" s="336">
        <f t="shared" ca="1" si="0"/>
        <v>1.5E-3</v>
      </c>
      <c r="I65" s="1594" t="s">
        <v>1303</v>
      </c>
      <c r="J65" s="1595">
        <v>40</v>
      </c>
      <c r="K65" s="1595">
        <v>30</v>
      </c>
      <c r="L65" s="1595">
        <v>50</v>
      </c>
      <c r="M65" s="1597">
        <v>0.02</v>
      </c>
      <c r="O65" s="1550" t="s">
        <v>827</v>
      </c>
      <c r="P65" s="1551" t="s">
        <v>1304</v>
      </c>
      <c r="Q65" s="1552">
        <f ca="1">C40+J29</f>
        <v>2813129</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-47066</v>
      </c>
      <c r="D67" s="1072" t="s">
        <v>1188</v>
      </c>
      <c r="E67" s="1077"/>
      <c r="F67" s="1078"/>
      <c r="O67" s="1560" t="s">
        <v>829</v>
      </c>
      <c r="P67" s="1551" t="s">
        <v>1286</v>
      </c>
      <c r="Q67" s="1598">
        <f ca="1">L51</f>
        <v>2022406</v>
      </c>
      <c r="R67" s="1552" t="s">
        <v>1306</v>
      </c>
    </row>
    <row r="68" spans="1:18" s="1516" customFormat="1" ht="16.5" thickBot="1">
      <c r="A68" s="1056" t="s">
        <v>819</v>
      </c>
      <c r="B68" s="1057" t="s">
        <v>1209</v>
      </c>
      <c r="C68" s="307">
        <f ca="1">ROUND(C67*(1-((1+F70)/(1+F68))^F69)/(F68-F70),0)</f>
        <v>-934704</v>
      </c>
      <c r="D68" s="1074" t="s">
        <v>1193</v>
      </c>
      <c r="E68" s="1059" t="s">
        <v>1194</v>
      </c>
      <c r="F68" s="318">
        <f ca="1">F40</f>
        <v>0.06</v>
      </c>
      <c r="O68" s="1560" t="s">
        <v>830</v>
      </c>
      <c r="P68" s="1599" t="s">
        <v>1307</v>
      </c>
      <c r="Q68" s="1552">
        <f ca="1">ROUND(Q69-Q70*Q71,0)</f>
        <v>111876</v>
      </c>
      <c r="R68" s="1552" t="s">
        <v>838</v>
      </c>
    </row>
    <row r="69" spans="1:18" s="1516" customFormat="1" ht="13.5" thickBot="1">
      <c r="A69" s="1060"/>
      <c r="B69" s="1061"/>
      <c r="C69" s="312"/>
      <c r="D69" s="1079" t="s">
        <v>1197</v>
      </c>
      <c r="E69" s="1059" t="s">
        <v>1198</v>
      </c>
      <c r="F69" s="339">
        <f ca="1">F41</f>
        <v>31.55</v>
      </c>
      <c r="O69" s="1560" t="s">
        <v>835</v>
      </c>
      <c r="P69" s="1599" t="s">
        <v>1308</v>
      </c>
      <c r="Q69" s="1552">
        <f ca="1">C39</f>
        <v>141652</v>
      </c>
      <c r="R69" s="1552" t="s">
        <v>1253</v>
      </c>
    </row>
    <row r="70" spans="1:18" s="1516" customFormat="1" ht="13.5" thickBot="1">
      <c r="A70" s="1063"/>
      <c r="B70" s="1064"/>
      <c r="C70" s="316"/>
      <c r="D70" s="1075"/>
      <c r="E70" s="1059" t="s">
        <v>1201</v>
      </c>
      <c r="F70" s="1163">
        <f ca="1">F42</f>
        <v>0.03</v>
      </c>
      <c r="O70" s="1560" t="s">
        <v>836</v>
      </c>
      <c r="P70" s="1599" t="s">
        <v>1309</v>
      </c>
      <c r="Q70" s="1552">
        <f ca="1">C13</f>
        <v>397009</v>
      </c>
      <c r="R70" s="1552" t="s">
        <v>1253</v>
      </c>
    </row>
    <row r="71" spans="1:18" s="1516" customFormat="1" ht="13.5" thickBot="1">
      <c r="A71" s="1080" t="s">
        <v>820</v>
      </c>
      <c r="B71" s="1081" t="s">
        <v>1211</v>
      </c>
      <c r="C71" s="342">
        <f ca="1">ROUND(C68/F71,0)</f>
        <v>-10997</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2813129</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0.79</v>
      </c>
    </row>
    <row r="80" spans="1:18">
      <c r="B80" s="346" t="s">
        <v>1235</v>
      </c>
      <c r="C80" s="280">
        <f ca="1">ROUND(C75/C39,3)</f>
        <v>0.21</v>
      </c>
    </row>
    <row r="81" spans="2:3">
      <c r="B81" s="276" t="s">
        <v>1236</v>
      </c>
      <c r="C81" s="244"/>
    </row>
    <row r="82" spans="2:3">
      <c r="B82" s="279" t="s">
        <v>1237</v>
      </c>
      <c r="C82" s="281">
        <f ca="1">1-C83</f>
        <v>0.85899999999999999</v>
      </c>
    </row>
    <row r="83" spans="2:3">
      <c r="B83" s="279" t="s">
        <v>1238</v>
      </c>
      <c r="C83" s="280">
        <f ca="1">ROUND(C13/C40,3)</f>
        <v>0.14099999999999999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2933</v>
      </c>
      <c r="B1" s="3007"/>
      <c r="C1" s="3019"/>
      <c r="D1" s="3019"/>
      <c r="E1" s="3008"/>
      <c r="F1" s="3009"/>
      <c r="G1" s="3010"/>
      <c r="J1" s="3013" t="s">
        <v>2812</v>
      </c>
      <c r="K1" s="3014"/>
      <c r="L1" s="3014"/>
      <c r="M1" s="3014"/>
      <c r="N1" s="3014"/>
      <c r="O1" s="3014"/>
      <c r="P1" s="3014"/>
      <c r="Q1" s="3014"/>
      <c r="R1" s="3015"/>
      <c r="S1" s="3016"/>
      <c r="T1" s="3016"/>
      <c r="U1" s="3016"/>
    </row>
    <row r="2" spans="1:22" s="3028" customFormat="1" ht="13.15" customHeight="1">
      <c r="A2" s="1517" t="s">
        <v>2813</v>
      </c>
      <c r="B2" s="3018" t="e">
        <f>C40</f>
        <v>#DIV/0!</v>
      </c>
      <c r="C2" s="3019" t="s">
        <v>2814</v>
      </c>
      <c r="D2" s="3019"/>
      <c r="E2" s="3020"/>
      <c r="F2" s="3021"/>
      <c r="G2" s="3022"/>
      <c r="H2" s="3023"/>
      <c r="I2" s="3024"/>
      <c r="J2" s="3560" t="s">
        <v>2815</v>
      </c>
      <c r="K2" s="3561"/>
      <c r="L2" s="3025" t="s">
        <v>2816</v>
      </c>
      <c r="M2" s="3025" t="s">
        <v>2817</v>
      </c>
      <c r="N2" s="3025" t="s">
        <v>2818</v>
      </c>
      <c r="O2" s="3025" t="s">
        <v>2819</v>
      </c>
      <c r="P2" s="3025" t="s">
        <v>2820</v>
      </c>
      <c r="Q2" s="3026" t="s">
        <v>2821</v>
      </c>
      <c r="R2" s="3027" t="s">
        <v>2822</v>
      </c>
      <c r="S2" s="3016"/>
      <c r="T2" s="3016"/>
      <c r="U2" s="3016"/>
      <c r="V2" s="3024"/>
    </row>
    <row r="3" spans="1:22" s="3028" customFormat="1" ht="13.15" customHeight="1">
      <c r="A3" s="3029" t="s">
        <v>2823</v>
      </c>
      <c r="B3" s="3030" t="e">
        <f>ROUND(B2*10000/B4,0)</f>
        <v>#DIV/0!</v>
      </c>
      <c r="C3" s="3019" t="s">
        <v>2824</v>
      </c>
      <c r="D3" s="3019"/>
      <c r="E3" s="3020"/>
      <c r="F3" s="3021"/>
      <c r="G3" s="3022"/>
      <c r="H3" s="3023"/>
      <c r="I3" s="3024"/>
      <c r="J3" s="3562" t="s">
        <v>2825</v>
      </c>
      <c r="K3" s="3563"/>
      <c r="L3" s="3031"/>
      <c r="M3" s="3031"/>
      <c r="N3" s="3031"/>
      <c r="O3" s="3031"/>
      <c r="P3" s="3031"/>
      <c r="Q3" s="3032"/>
      <c r="R3" s="3033">
        <f>SUM(L3:Q3)</f>
        <v>0</v>
      </c>
      <c r="S3" s="3016"/>
      <c r="T3" s="3016"/>
      <c r="U3" s="3016"/>
      <c r="V3" s="3024"/>
    </row>
    <row r="4" spans="1:22" s="3028" customFormat="1" ht="13.15" customHeight="1">
      <c r="A4" s="3034" t="s">
        <v>2826</v>
      </c>
      <c r="B4" s="3035"/>
      <c r="C4" s="3019"/>
      <c r="D4" s="3019"/>
      <c r="E4" s="3020"/>
      <c r="F4" s="3021"/>
      <c r="G4" s="3022"/>
      <c r="H4" s="3023"/>
      <c r="I4" s="3024"/>
      <c r="J4" s="3562" t="s">
        <v>2827</v>
      </c>
      <c r="K4" s="3563"/>
      <c r="L4" s="3036"/>
      <c r="M4" s="3036"/>
      <c r="N4" s="3036"/>
      <c r="O4" s="3036"/>
      <c r="P4" s="3036"/>
      <c r="Q4" s="3037"/>
      <c r="R4" s="3038">
        <f>SUM(L4:Q4)</f>
        <v>0</v>
      </c>
      <c r="S4" s="3016"/>
      <c r="T4" s="3016"/>
      <c r="U4" s="3016"/>
      <c r="V4" s="3024"/>
    </row>
    <row r="5" spans="1:22" s="3028" customFormat="1" ht="13.15" customHeight="1" thickBot="1">
      <c r="A5" s="3039" t="s">
        <v>2828</v>
      </c>
      <c r="B5" s="3040"/>
      <c r="C5" s="3019"/>
      <c r="D5" s="3041"/>
      <c r="E5" s="3021"/>
      <c r="F5" s="3021"/>
      <c r="G5" s="3022"/>
      <c r="H5" s="3023"/>
      <c r="I5" s="3024"/>
      <c r="J5" s="3042" t="s">
        <v>2829</v>
      </c>
      <c r="K5" s="3043"/>
      <c r="L5" s="3043"/>
      <c r="M5" s="3044"/>
      <c r="N5" s="3044"/>
      <c r="O5" s="3044"/>
      <c r="P5" s="3044"/>
      <c r="Q5" s="3044"/>
      <c r="R5" s="3027">
        <f>SUM(R14,R19,R24,R25,R27,R28)</f>
        <v>0</v>
      </c>
      <c r="S5" s="3016"/>
      <c r="T5" s="3016" t="s">
        <v>2830</v>
      </c>
      <c r="U5" s="3016" t="e">
        <f>ROUND(R5*10000/365/R3,1)</f>
        <v>#DIV/0!</v>
      </c>
      <c r="V5" s="3024"/>
    </row>
    <row r="6" spans="1:22" s="3028" customFormat="1" ht="13.15" customHeight="1" thickBot="1">
      <c r="A6" s="3564" t="s">
        <v>2831</v>
      </c>
      <c r="B6" s="3565"/>
      <c r="C6" s="3566"/>
      <c r="D6" s="3045"/>
      <c r="E6" s="3046"/>
      <c r="F6" s="3047"/>
      <c r="G6" s="3048"/>
      <c r="H6" s="3023"/>
      <c r="I6" s="3024"/>
      <c r="J6" s="3567">
        <v>1</v>
      </c>
      <c r="K6" s="3568" t="s">
        <v>2832</v>
      </c>
      <c r="L6" s="3049" t="s">
        <v>2833</v>
      </c>
      <c r="M6" s="3050" t="s">
        <v>2834</v>
      </c>
      <c r="N6" s="3050" t="s">
        <v>2835</v>
      </c>
      <c r="O6" s="3050" t="s">
        <v>2836</v>
      </c>
      <c r="P6" s="3050" t="s">
        <v>2837</v>
      </c>
      <c r="Q6" s="3050" t="s">
        <v>2838</v>
      </c>
      <c r="R6" s="3033" t="s">
        <v>2839</v>
      </c>
      <c r="S6" s="3016"/>
      <c r="T6" s="3016" t="s">
        <v>2840</v>
      </c>
      <c r="U6" s="3016"/>
      <c r="V6" s="3024"/>
    </row>
    <row r="7" spans="1:22" s="3028" customFormat="1" ht="13.15" customHeight="1">
      <c r="A7" s="3051" t="s">
        <v>2841</v>
      </c>
      <c r="B7" s="3052"/>
      <c r="C7" s="3053"/>
      <c r="D7" s="3054">
        <f>SUM(D9,D10,D11,D17,0)</f>
        <v>0</v>
      </c>
      <c r="E7" s="3055" t="e">
        <f>E9+E10+E11+E17</f>
        <v>#DIV/0!</v>
      </c>
      <c r="F7" s="3056"/>
      <c r="G7" s="3057"/>
      <c r="H7" s="3023"/>
      <c r="I7" s="3024"/>
      <c r="J7" s="3567"/>
      <c r="K7" s="3569"/>
      <c r="L7" s="3058" t="s">
        <v>2842</v>
      </c>
      <c r="M7" s="3059"/>
      <c r="N7" s="3035"/>
      <c r="O7" s="3060"/>
      <c r="P7" s="3060"/>
      <c r="Q7" s="3061">
        <v>365</v>
      </c>
      <c r="R7" s="3062">
        <f>ROUND(M7*N7*O7*P7*Q7/10000,0)</f>
        <v>0</v>
      </c>
      <c r="S7" s="3016"/>
      <c r="T7" s="3016" t="s">
        <v>2843</v>
      </c>
      <c r="U7" s="3016"/>
      <c r="V7" s="3024"/>
    </row>
    <row r="8" spans="1:22" s="3028" customFormat="1" ht="13.15" customHeight="1">
      <c r="A8" s="3063" t="s">
        <v>2844</v>
      </c>
      <c r="B8" s="3571" t="s">
        <v>2845</v>
      </c>
      <c r="C8" s="3572"/>
      <c r="D8" s="3064" t="s">
        <v>2846</v>
      </c>
      <c r="E8" s="3065" t="s">
        <v>2847</v>
      </c>
      <c r="F8" s="3066" t="s">
        <v>2848</v>
      </c>
      <c r="G8" s="3067"/>
      <c r="H8" s="3023"/>
      <c r="I8" s="3024"/>
      <c r="J8" s="3567"/>
      <c r="K8" s="3569"/>
      <c r="L8" s="3058" t="s">
        <v>2849</v>
      </c>
      <c r="M8" s="3059"/>
      <c r="N8" s="3035"/>
      <c r="O8" s="3060"/>
      <c r="P8" s="3060"/>
      <c r="Q8" s="3061">
        <v>365</v>
      </c>
      <c r="R8" s="3062">
        <f t="shared" ref="R8:R13" si="0">ROUND(M8*N8*O8*P8*Q8/10000,0)</f>
        <v>0</v>
      </c>
      <c r="S8" s="3016"/>
      <c r="T8" s="3016" t="s">
        <v>2850</v>
      </c>
      <c r="U8" s="3016"/>
      <c r="V8" s="3024"/>
    </row>
    <row r="9" spans="1:22" s="3028" customFormat="1" ht="13.15" customHeight="1">
      <c r="A9" s="3063">
        <v>1</v>
      </c>
      <c r="B9" s="3571" t="s">
        <v>2851</v>
      </c>
      <c r="C9" s="3572"/>
      <c r="D9" s="3064">
        <f>ROUND(D6*E9,0)</f>
        <v>0</v>
      </c>
      <c r="E9" s="3068"/>
      <c r="F9" s="3069" t="s">
        <v>2852</v>
      </c>
      <c r="G9" s="3048"/>
      <c r="H9" s="3023"/>
      <c r="I9" s="3024"/>
      <c r="J9" s="3567"/>
      <c r="K9" s="3569"/>
      <c r="L9" s="3058" t="s">
        <v>2853</v>
      </c>
      <c r="M9" s="3059"/>
      <c r="N9" s="3035"/>
      <c r="O9" s="3060"/>
      <c r="P9" s="3060"/>
      <c r="Q9" s="3061">
        <v>365</v>
      </c>
      <c r="R9" s="3062">
        <f t="shared" si="0"/>
        <v>0</v>
      </c>
      <c r="S9" s="3016"/>
      <c r="T9" s="3016"/>
      <c r="U9" s="3016"/>
      <c r="V9" s="3024"/>
    </row>
    <row r="10" spans="1:22" s="3028" customFormat="1" ht="13.15" customHeight="1">
      <c r="A10" s="3063">
        <v>2</v>
      </c>
      <c r="B10" s="3571" t="s">
        <v>2854</v>
      </c>
      <c r="C10" s="3572"/>
      <c r="D10" s="3064">
        <f>ROUND(D6*E10,0)</f>
        <v>0</v>
      </c>
      <c r="E10" s="3068"/>
      <c r="F10" s="3069" t="s">
        <v>2855</v>
      </c>
      <c r="G10" s="3048"/>
      <c r="H10" s="3023"/>
      <c r="I10" s="3024"/>
      <c r="J10" s="3567"/>
      <c r="K10" s="3569"/>
      <c r="L10" s="3058" t="s">
        <v>2856</v>
      </c>
      <c r="M10" s="3059"/>
      <c r="N10" s="3035"/>
      <c r="O10" s="3060"/>
      <c r="P10" s="3060"/>
      <c r="Q10" s="3061">
        <v>365</v>
      </c>
      <c r="R10" s="3062">
        <f t="shared" si="0"/>
        <v>0</v>
      </c>
      <c r="S10" s="3016"/>
      <c r="T10" s="3016"/>
      <c r="U10" s="3016"/>
      <c r="V10" s="3024"/>
    </row>
    <row r="11" spans="1:22" s="3028" customFormat="1" ht="13.15" customHeight="1">
      <c r="A11" s="3063">
        <v>3</v>
      </c>
      <c r="B11" s="3571" t="s">
        <v>2857</v>
      </c>
      <c r="C11" s="3572"/>
      <c r="D11" s="3064">
        <f>D12+D14+D15+D16</f>
        <v>0</v>
      </c>
      <c r="E11" s="3070" t="e">
        <f>D11/D6</f>
        <v>#DIV/0!</v>
      </c>
      <c r="F11" s="3066"/>
      <c r="G11" s="3067"/>
      <c r="H11" s="3023"/>
      <c r="I11" s="3024"/>
      <c r="J11" s="3567"/>
      <c r="K11" s="3569"/>
      <c r="L11" s="3058" t="s">
        <v>2858</v>
      </c>
      <c r="M11" s="3059"/>
      <c r="N11" s="3035"/>
      <c r="O11" s="3060"/>
      <c r="P11" s="3060"/>
      <c r="Q11" s="3061">
        <v>365</v>
      </c>
      <c r="R11" s="3062">
        <f t="shared" si="0"/>
        <v>0</v>
      </c>
      <c r="S11" s="3016"/>
      <c r="T11" s="3016"/>
      <c r="U11" s="3016"/>
      <c r="V11" s="3024"/>
    </row>
    <row r="12" spans="1:22" s="3028" customFormat="1" ht="13.15" customHeight="1">
      <c r="A12" s="3071" t="s">
        <v>2859</v>
      </c>
      <c r="B12" s="3573" t="s">
        <v>2860</v>
      </c>
      <c r="C12" s="3574"/>
      <c r="D12" s="3072">
        <f>ROUND(D13*1.2%*(1-30%),0)</f>
        <v>0</v>
      </c>
      <c r="E12" s="3073">
        <v>1.2E-2</v>
      </c>
      <c r="F12" s="3066" t="s">
        <v>2861</v>
      </c>
      <c r="G12" s="3067"/>
      <c r="H12" s="3023"/>
      <c r="I12" s="3024"/>
      <c r="J12" s="3567"/>
      <c r="K12" s="3569"/>
      <c r="L12" s="3058" t="s">
        <v>2862</v>
      </c>
      <c r="M12" s="3059"/>
      <c r="N12" s="3035"/>
      <c r="O12" s="3060"/>
      <c r="P12" s="3060"/>
      <c r="Q12" s="3061">
        <v>365</v>
      </c>
      <c r="R12" s="3062">
        <f t="shared" si="0"/>
        <v>0</v>
      </c>
      <c r="S12" s="3016"/>
      <c r="T12" s="3016"/>
      <c r="U12" s="3016"/>
      <c r="V12" s="3024"/>
    </row>
    <row r="13" spans="1:22" s="3028" customFormat="1" ht="13.15" customHeight="1">
      <c r="A13" s="3071"/>
      <c r="B13" s="3074"/>
      <c r="C13" s="3075" t="s">
        <v>2863</v>
      </c>
      <c r="D13" s="3076"/>
      <c r="E13" s="3077"/>
      <c r="F13" s="3066"/>
      <c r="G13" s="3067"/>
      <c r="H13" s="3023"/>
      <c r="I13" s="3024"/>
      <c r="J13" s="3567"/>
      <c r="K13" s="3569"/>
      <c r="L13" s="3058" t="s">
        <v>2864</v>
      </c>
      <c r="M13" s="3059"/>
      <c r="N13" s="3035"/>
      <c r="O13" s="3060"/>
      <c r="P13" s="3060"/>
      <c r="Q13" s="3061">
        <v>365</v>
      </c>
      <c r="R13" s="3062">
        <f t="shared" si="0"/>
        <v>0</v>
      </c>
      <c r="S13" s="3016"/>
      <c r="T13" s="3016"/>
      <c r="U13" s="3016"/>
      <c r="V13" s="3024"/>
    </row>
    <row r="14" spans="1:22" s="3028" customFormat="1" ht="13.15" customHeight="1">
      <c r="A14" s="3071" t="s">
        <v>2865</v>
      </c>
      <c r="B14" s="3573" t="s">
        <v>2866</v>
      </c>
      <c r="C14" s="3574"/>
      <c r="D14" s="3072">
        <f>ROUND(E14*B5/10000,0)</f>
        <v>0</v>
      </c>
      <c r="E14" s="3061"/>
      <c r="F14" s="3066" t="s">
        <v>2867</v>
      </c>
      <c r="G14" s="3067"/>
      <c r="H14" s="3023"/>
      <c r="I14" s="3024"/>
      <c r="J14" s="3567"/>
      <c r="K14" s="3570"/>
      <c r="L14" s="3078" t="s">
        <v>2868</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2869</v>
      </c>
      <c r="B15" s="3573" t="s">
        <v>2870</v>
      </c>
      <c r="C15" s="3574"/>
      <c r="D15" s="3072">
        <f>ROUND(D6*E15,0)</f>
        <v>0</v>
      </c>
      <c r="E15" s="3073">
        <v>5.5E-2</v>
      </c>
      <c r="F15" s="3066" t="s">
        <v>2871</v>
      </c>
      <c r="G15" s="3048"/>
      <c r="H15" s="3023"/>
      <c r="I15" s="3024"/>
      <c r="J15" s="3567">
        <v>2</v>
      </c>
      <c r="K15" s="3568" t="s">
        <v>2872</v>
      </c>
      <c r="L15" s="3058" t="s">
        <v>2873</v>
      </c>
      <c r="M15" s="3059" t="s">
        <v>2874</v>
      </c>
      <c r="N15" s="3059" t="s">
        <v>2875</v>
      </c>
      <c r="O15" s="3060" t="s">
        <v>2876</v>
      </c>
      <c r="P15" s="3060" t="s">
        <v>2838</v>
      </c>
      <c r="Q15" s="3035" t="s">
        <v>2877</v>
      </c>
      <c r="R15" s="3082" t="s">
        <v>2839</v>
      </c>
      <c r="S15" s="3016"/>
      <c r="T15" s="3016"/>
      <c r="U15" s="3016"/>
      <c r="V15" s="3024"/>
    </row>
    <row r="16" spans="1:22" s="3028" customFormat="1" ht="13.15" customHeight="1">
      <c r="A16" s="3071" t="s">
        <v>2878</v>
      </c>
      <c r="B16" s="3573" t="s">
        <v>2879</v>
      </c>
      <c r="C16" s="3574"/>
      <c r="D16" s="3083">
        <f>D6*E16</f>
        <v>0</v>
      </c>
      <c r="E16" s="3084"/>
      <c r="F16" s="3069" t="s">
        <v>2880</v>
      </c>
      <c r="G16" s="3048"/>
      <c r="H16" s="3023"/>
      <c r="I16" s="3024"/>
      <c r="J16" s="3567"/>
      <c r="K16" s="3569"/>
      <c r="L16" s="3058" t="s">
        <v>2881</v>
      </c>
      <c r="M16" s="3059"/>
      <c r="N16" s="3059"/>
      <c r="O16" s="3060"/>
      <c r="P16" s="3061">
        <v>365</v>
      </c>
      <c r="Q16" s="3035"/>
      <c r="R16" s="3082">
        <f>ROUND(M16*N16*O16*P16/10000,0)</f>
        <v>0</v>
      </c>
      <c r="S16" s="3016"/>
      <c r="T16" s="3016"/>
      <c r="U16" s="3016"/>
      <c r="V16" s="3024"/>
    </row>
    <row r="17" spans="1:22" s="3028" customFormat="1" ht="13.15" customHeight="1" thickBot="1">
      <c r="A17" s="3085">
        <v>4</v>
      </c>
      <c r="B17" s="3575" t="s">
        <v>2882</v>
      </c>
      <c r="C17" s="3576"/>
      <c r="D17" s="3086">
        <f>ROUND(D6*E17,0)</f>
        <v>0</v>
      </c>
      <c r="E17" s="3087"/>
      <c r="F17" s="3088" t="s">
        <v>2883</v>
      </c>
      <c r="G17" s="3048"/>
      <c r="H17" s="3023"/>
      <c r="I17" s="3024"/>
      <c r="J17" s="3567"/>
      <c r="K17" s="3569"/>
      <c r="L17" s="3058" t="s">
        <v>2884</v>
      </c>
      <c r="M17" s="3059"/>
      <c r="N17" s="3059"/>
      <c r="O17" s="3060"/>
      <c r="P17" s="3061">
        <v>365</v>
      </c>
      <c r="Q17" s="3035"/>
      <c r="R17" s="3082">
        <f>ROUND(M17*N17*O17*P17/10000,0)</f>
        <v>0</v>
      </c>
      <c r="S17" s="3016"/>
      <c r="T17" s="3016"/>
      <c r="U17" s="3016"/>
      <c r="V17" s="3024"/>
    </row>
    <row r="18" spans="1:22" s="3028" customFormat="1" ht="13.15" customHeight="1" thickBot="1">
      <c r="A18" s="3051" t="s">
        <v>2885</v>
      </c>
      <c r="B18" s="3052"/>
      <c r="C18" s="3052"/>
      <c r="D18" s="3089">
        <f>ROUND(D6*E18,0)</f>
        <v>0</v>
      </c>
      <c r="E18" s="3090"/>
      <c r="F18" s="3091" t="s">
        <v>2886</v>
      </c>
      <c r="G18" s="3048"/>
      <c r="H18" s="3023"/>
      <c r="I18" s="3024"/>
      <c r="J18" s="3567"/>
      <c r="K18" s="3569"/>
      <c r="L18" s="3058" t="s">
        <v>2887</v>
      </c>
      <c r="M18" s="3059"/>
      <c r="N18" s="3059"/>
      <c r="O18" s="3060"/>
      <c r="P18" s="3061">
        <v>365</v>
      </c>
      <c r="Q18" s="3035"/>
      <c r="R18" s="3082">
        <f>ROUND(M18*N18*O18*P18/10000,0)</f>
        <v>0</v>
      </c>
      <c r="S18" s="3016"/>
      <c r="T18" s="3016"/>
      <c r="U18" s="3016"/>
      <c r="V18" s="3024"/>
    </row>
    <row r="19" spans="1:22" s="3028" customFormat="1" ht="13.15" customHeight="1" thickBot="1">
      <c r="A19" s="3092" t="s">
        <v>2888</v>
      </c>
      <c r="B19" s="3046"/>
      <c r="C19" s="3046"/>
      <c r="D19" s="3046"/>
      <c r="E19" s="3046"/>
      <c r="F19" s="3047"/>
      <c r="G19" s="3067"/>
      <c r="H19" s="3023"/>
      <c r="I19" s="3024"/>
      <c r="J19" s="3567"/>
      <c r="K19" s="3570"/>
      <c r="L19" s="3078" t="s">
        <v>2868</v>
      </c>
      <c r="M19" s="3079"/>
      <c r="N19" s="3079">
        <f>SUM(N16:N18)</f>
        <v>0</v>
      </c>
      <c r="O19" s="3080"/>
      <c r="P19" s="3093" t="s">
        <v>2932</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67">
        <v>3</v>
      </c>
      <c r="K20" s="3568" t="s">
        <v>2889</v>
      </c>
      <c r="L20" s="3058" t="s">
        <v>2890</v>
      </c>
      <c r="M20" s="3059" t="s">
        <v>2891</v>
      </c>
      <c r="N20" s="3096" t="s">
        <v>2892</v>
      </c>
      <c r="O20" s="3060" t="s">
        <v>2893</v>
      </c>
      <c r="P20" s="3061" t="s">
        <v>2894</v>
      </c>
      <c r="Q20" s="3035" t="s">
        <v>2895</v>
      </c>
      <c r="R20" s="3082" t="s">
        <v>2896</v>
      </c>
      <c r="S20" s="3097"/>
      <c r="T20" s="3097"/>
      <c r="U20" s="3097"/>
      <c r="V20" s="3024"/>
    </row>
    <row r="21" spans="1:22" s="3028" customFormat="1" ht="13.15" customHeight="1">
      <c r="A21" s="3051"/>
      <c r="B21" s="3052"/>
      <c r="C21" s="3098" t="s">
        <v>2897</v>
      </c>
      <c r="D21" s="3099" t="s">
        <v>2898</v>
      </c>
      <c r="E21" s="3100" t="s">
        <v>2899</v>
      </c>
      <c r="F21" s="3095"/>
      <c r="G21" s="3067"/>
      <c r="H21" s="3023"/>
      <c r="I21" s="3024"/>
      <c r="J21" s="3567"/>
      <c r="K21" s="3569"/>
      <c r="L21" s="3058" t="s">
        <v>2900</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2901</v>
      </c>
      <c r="D22" s="3103" t="s">
        <v>2902</v>
      </c>
      <c r="E22" s="3104" t="s">
        <v>2903</v>
      </c>
      <c r="F22" s="3095"/>
      <c r="G22" s="3105"/>
      <c r="H22" s="3023"/>
      <c r="I22" s="3024"/>
      <c r="J22" s="3567"/>
      <c r="K22" s="3569"/>
      <c r="L22" s="3058" t="s">
        <v>2904</v>
      </c>
      <c r="M22" s="3059"/>
      <c r="N22" s="3059"/>
      <c r="O22" s="3060"/>
      <c r="P22" s="3061">
        <v>365</v>
      </c>
      <c r="Q22" s="3035"/>
      <c r="R22" s="3101">
        <f>ROUND(M22*N22*O22*P22/10000,0)</f>
        <v>0</v>
      </c>
      <c r="S22" s="3097"/>
      <c r="T22" s="3097"/>
      <c r="U22" s="3097"/>
      <c r="V22" s="3024"/>
    </row>
    <row r="23" spans="1:22" s="3028" customFormat="1" ht="13.15" customHeight="1">
      <c r="A23" s="3106">
        <v>1</v>
      </c>
      <c r="B23" s="3107" t="s">
        <v>2905</v>
      </c>
      <c r="C23" s="3108">
        <f>D6</f>
        <v>0</v>
      </c>
      <c r="D23" s="3109">
        <f>C23*(1+D24)</f>
        <v>0</v>
      </c>
      <c r="E23" s="3110">
        <f>D23*(1+E24)</f>
        <v>0</v>
      </c>
      <c r="F23" s="3111"/>
      <c r="G23" s="3112"/>
      <c r="H23" s="3023"/>
      <c r="I23" s="3024"/>
      <c r="J23" s="3567"/>
      <c r="K23" s="3569"/>
      <c r="L23" s="3058" t="s">
        <v>2906</v>
      </c>
      <c r="M23" s="3059"/>
      <c r="N23" s="3059"/>
      <c r="O23" s="3060"/>
      <c r="P23" s="3061">
        <v>365</v>
      </c>
      <c r="Q23" s="3035"/>
      <c r="R23" s="3101">
        <f>ROUND(M23*N23*O23*P23/10000,0)</f>
        <v>0</v>
      </c>
      <c r="S23" s="3016"/>
      <c r="T23" s="3016"/>
      <c r="U23" s="3016"/>
      <c r="V23" s="3024"/>
    </row>
    <row r="24" spans="1:22" s="3028" customFormat="1" ht="13.15" customHeight="1">
      <c r="A24" s="3113"/>
      <c r="B24" s="3114" t="s">
        <v>2907</v>
      </c>
      <c r="C24" s="3115"/>
      <c r="D24" s="3116"/>
      <c r="E24" s="3117"/>
      <c r="F24" s="3118"/>
      <c r="G24" s="3112"/>
      <c r="H24" s="3023"/>
      <c r="I24" s="3024"/>
      <c r="J24" s="3567"/>
      <c r="K24" s="3570"/>
      <c r="L24" s="3078" t="s">
        <v>2868</v>
      </c>
      <c r="M24" s="3079">
        <f>SUM(M21:M23)</f>
        <v>0</v>
      </c>
      <c r="N24" s="3079"/>
      <c r="O24" s="3080"/>
      <c r="P24" s="3093" t="s">
        <v>2932</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2908</v>
      </c>
      <c r="L25" s="3121"/>
      <c r="M25" s="3121"/>
      <c r="N25" s="3121"/>
      <c r="O25" s="3121"/>
      <c r="P25" s="3122"/>
      <c r="Q25" s="3123">
        <v>0</v>
      </c>
      <c r="R25" s="3094">
        <f>ROUND(R14*Q25,0)</f>
        <v>0</v>
      </c>
      <c r="S25" s="3016"/>
      <c r="T25" s="3016"/>
      <c r="U25" s="3016"/>
      <c r="V25" s="3124"/>
    </row>
    <row r="26" spans="1:22" s="3125" customFormat="1" ht="13.15" customHeight="1">
      <c r="A26" s="3106">
        <v>2</v>
      </c>
      <c r="B26" s="3107" t="s">
        <v>2909</v>
      </c>
      <c r="C26" s="3108">
        <f>D7</f>
        <v>0</v>
      </c>
      <c r="D26" s="3109">
        <f>D23*D27</f>
        <v>0</v>
      </c>
      <c r="E26" s="3110">
        <f>E23*E27</f>
        <v>0</v>
      </c>
      <c r="F26" s="3111"/>
      <c r="G26" s="3112"/>
      <c r="H26" s="3023"/>
      <c r="I26" s="3024"/>
      <c r="J26" s="3577">
        <v>5</v>
      </c>
      <c r="K26" s="3126" t="s">
        <v>2910</v>
      </c>
      <c r="L26" s="3127"/>
      <c r="M26" s="3128"/>
      <c r="N26" s="3129" t="s">
        <v>2911</v>
      </c>
      <c r="O26" s="3129" t="s">
        <v>2912</v>
      </c>
      <c r="P26" s="3130" t="s">
        <v>2913</v>
      </c>
      <c r="Q26" s="3130" t="s">
        <v>2914</v>
      </c>
      <c r="R26" s="3033" t="s">
        <v>2839</v>
      </c>
      <c r="S26" s="3131"/>
      <c r="T26" s="3131"/>
      <c r="U26" s="3131"/>
      <c r="V26" s="3124"/>
    </row>
    <row r="27" spans="1:22" s="3028" customFormat="1" ht="13.15" customHeight="1">
      <c r="A27" s="3113"/>
      <c r="B27" s="3114" t="s">
        <v>2915</v>
      </c>
      <c r="C27" s="3132" t="e">
        <f>E7</f>
        <v>#DIV/0!</v>
      </c>
      <c r="D27" s="3116"/>
      <c r="E27" s="3117"/>
      <c r="F27" s="3118"/>
      <c r="G27" s="3112"/>
      <c r="H27" s="3133"/>
      <c r="I27" s="3124"/>
      <c r="J27" s="3578"/>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2916</v>
      </c>
      <c r="F28" s="3118"/>
      <c r="G28" s="3105"/>
      <c r="H28" s="3133"/>
      <c r="I28" s="3124"/>
      <c r="J28" s="3139">
        <v>6</v>
      </c>
      <c r="K28" s="3140" t="s">
        <v>2917</v>
      </c>
      <c r="L28" s="3141" t="s">
        <v>2918</v>
      </c>
      <c r="M28" s="3142"/>
      <c r="N28" s="3141" t="s">
        <v>2919</v>
      </c>
      <c r="O28" s="3143"/>
      <c r="P28" s="3141" t="s">
        <v>2920</v>
      </c>
      <c r="Q28" s="3144">
        <v>1.4999999999999999E-2</v>
      </c>
      <c r="R28" s="3145"/>
      <c r="S28" s="3097"/>
      <c r="T28" s="3097"/>
      <c r="U28" s="3097"/>
      <c r="V28" s="3124"/>
    </row>
    <row r="29" spans="1:22" s="3125" customFormat="1" ht="13.15" customHeight="1">
      <c r="A29" s="3106">
        <v>3</v>
      </c>
      <c r="B29" s="3107" t="s">
        <v>2921</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2915</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2922</v>
      </c>
      <c r="K31" s="3014"/>
      <c r="L31" s="3014"/>
      <c r="M31" s="3014"/>
      <c r="N31" s="3014"/>
      <c r="O31" s="3014"/>
      <c r="P31" s="3014"/>
      <c r="Q31" s="3014"/>
      <c r="R31" s="3015"/>
      <c r="S31" s="3097"/>
      <c r="T31" s="3016"/>
      <c r="U31" s="3016"/>
      <c r="V31" s="3124"/>
    </row>
    <row r="32" spans="1:22" s="3125" customFormat="1" ht="13.15" customHeight="1">
      <c r="A32" s="3106">
        <v>4</v>
      </c>
      <c r="B32" s="3107" t="s">
        <v>2923</v>
      </c>
      <c r="C32" s="3108">
        <f>C23-C26-C29</f>
        <v>0</v>
      </c>
      <c r="D32" s="3109">
        <f>D23-D26-D29</f>
        <v>0</v>
      </c>
      <c r="E32" s="3110">
        <f>E23-E26-E29</f>
        <v>0</v>
      </c>
      <c r="F32" s="3111"/>
      <c r="G32" s="3105"/>
      <c r="H32" s="3023"/>
      <c r="I32" s="3024"/>
      <c r="J32" s="3560" t="s">
        <v>2815</v>
      </c>
      <c r="K32" s="3561"/>
      <c r="L32" s="3025" t="s">
        <v>2816</v>
      </c>
      <c r="M32" s="3025" t="s">
        <v>2817</v>
      </c>
      <c r="N32" s="3025" t="s">
        <v>2818</v>
      </c>
      <c r="O32" s="3025" t="s">
        <v>2819</v>
      </c>
      <c r="P32" s="3025" t="s">
        <v>2820</v>
      </c>
      <c r="Q32" s="3026" t="s">
        <v>2821</v>
      </c>
      <c r="R32" s="3148" t="s">
        <v>2822</v>
      </c>
      <c r="S32" s="3097"/>
      <c r="T32" s="3016"/>
      <c r="U32" s="3016"/>
      <c r="V32" s="3124"/>
    </row>
    <row r="33" spans="1:23" s="3028" customFormat="1" ht="13.15" customHeight="1">
      <c r="A33" s="3106"/>
      <c r="B33" s="3107"/>
      <c r="C33" s="3108"/>
      <c r="D33" s="3149"/>
      <c r="E33" s="3150"/>
      <c r="F33" s="3111"/>
      <c r="G33" s="3105"/>
      <c r="H33" s="3133"/>
      <c r="I33" s="3124"/>
      <c r="J33" s="3562" t="s">
        <v>2825</v>
      </c>
      <c r="K33" s="3563"/>
      <c r="L33" s="3031"/>
      <c r="M33" s="3031"/>
      <c r="N33" s="3031"/>
      <c r="O33" s="3031"/>
      <c r="P33" s="3031"/>
      <c r="Q33" s="3032"/>
      <c r="R33" s="3151">
        <f>SUM(L33:Q33)</f>
        <v>0</v>
      </c>
      <c r="S33" s="3097"/>
      <c r="T33" s="3016"/>
      <c r="U33" s="3016"/>
      <c r="V33" s="3024"/>
    </row>
    <row r="34" spans="1:23" s="3028" customFormat="1" ht="13.15" customHeight="1">
      <c r="A34" s="3106">
        <v>5</v>
      </c>
      <c r="B34" s="3107" t="s">
        <v>2924</v>
      </c>
      <c r="C34" s="3152"/>
      <c r="D34" s="3153"/>
      <c r="E34" s="3154"/>
      <c r="F34" s="3111"/>
      <c r="G34" s="3105"/>
      <c r="H34" s="3133"/>
      <c r="I34" s="3124"/>
      <c r="J34" s="3562" t="s">
        <v>2827</v>
      </c>
      <c r="K34" s="3563"/>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2925</v>
      </c>
      <c r="C35" s="3156"/>
      <c r="D35" s="3157"/>
      <c r="E35" s="3158"/>
      <c r="F35" s="3111"/>
      <c r="G35" s="3159"/>
      <c r="H35" s="3023"/>
      <c r="I35" s="3124"/>
      <c r="J35" s="3042" t="s">
        <v>2829</v>
      </c>
      <c r="K35" s="3043"/>
      <c r="L35" s="3043"/>
      <c r="M35" s="3044"/>
      <c r="N35" s="3044"/>
      <c r="O35" s="3044"/>
      <c r="P35" s="3044"/>
      <c r="Q35" s="3044"/>
      <c r="R35" s="3160">
        <f>R40+R41+R43</f>
        <v>0</v>
      </c>
      <c r="S35" s="3097"/>
      <c r="T35" s="3016" t="s">
        <v>2830</v>
      </c>
      <c r="U35" s="3016"/>
      <c r="V35" s="3024"/>
    </row>
    <row r="36" spans="1:23" s="3028" customFormat="1" ht="13.15" customHeight="1" thickBot="1">
      <c r="A36" s="3106">
        <v>7</v>
      </c>
      <c r="B36" s="3161" t="s">
        <v>2926</v>
      </c>
      <c r="C36" s="3162"/>
      <c r="D36" s="3163"/>
      <c r="E36" s="3164"/>
      <c r="F36" s="3165">
        <f>C36+D36+E36</f>
        <v>0</v>
      </c>
      <c r="G36" s="3105"/>
      <c r="H36" s="3023"/>
      <c r="I36" s="3024"/>
      <c r="J36" s="3567">
        <v>1</v>
      </c>
      <c r="K36" s="3568" t="s">
        <v>2927</v>
      </c>
      <c r="L36" s="3049"/>
      <c r="M36" s="3050"/>
      <c r="N36" s="3050"/>
      <c r="O36" s="3050"/>
      <c r="P36" s="3050"/>
      <c r="Q36" s="3050"/>
      <c r="R36" s="3033" t="s">
        <v>2839</v>
      </c>
      <c r="S36" s="3097"/>
      <c r="T36" s="3016" t="s">
        <v>2840</v>
      </c>
      <c r="U36" s="3016"/>
      <c r="V36" s="3024"/>
    </row>
    <row r="37" spans="1:23" s="3028" customFormat="1" ht="13.15" customHeight="1">
      <c r="A37" s="3106"/>
      <c r="B37" s="3107"/>
      <c r="C37" s="3107"/>
      <c r="D37" s="3107"/>
      <c r="E37" s="3107"/>
      <c r="F37" s="3111"/>
      <c r="G37" s="3105"/>
      <c r="H37" s="3023"/>
      <c r="I37" s="3024"/>
      <c r="J37" s="3567"/>
      <c r="K37" s="3569"/>
      <c r="L37" s="3058"/>
      <c r="M37" s="3059"/>
      <c r="N37" s="3035"/>
      <c r="O37" s="3060"/>
      <c r="P37" s="3060"/>
      <c r="Q37" s="3061"/>
      <c r="R37" s="3062"/>
      <c r="S37" s="3097"/>
      <c r="T37" s="3016" t="s">
        <v>2843</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67"/>
      <c r="K38" s="3569"/>
      <c r="L38" s="3058"/>
      <c r="M38" s="3059"/>
      <c r="N38" s="3035"/>
      <c r="O38" s="3060"/>
      <c r="P38" s="3060"/>
      <c r="Q38" s="3061"/>
      <c r="R38" s="3062"/>
      <c r="S38" s="3097"/>
      <c r="T38" s="3016" t="s">
        <v>2850</v>
      </c>
      <c r="U38" s="3016"/>
      <c r="V38" s="3024"/>
    </row>
    <row r="39" spans="1:23" s="3028" customFormat="1" ht="13.15" customHeight="1">
      <c r="A39" s="3106">
        <v>9</v>
      </c>
      <c r="B39" s="3107" t="s">
        <v>2928</v>
      </c>
      <c r="C39" s="3072" t="e">
        <f>C38</f>
        <v>#DIV/0!</v>
      </c>
      <c r="D39" s="3107">
        <f>D38/(1+D34)^C36</f>
        <v>0</v>
      </c>
      <c r="E39" s="3107">
        <f>E38/(1+E34)^(C36+D36)</f>
        <v>0</v>
      </c>
      <c r="F39" s="3111"/>
      <c r="G39" s="3166"/>
      <c r="H39" s="3023"/>
      <c r="I39" s="3024"/>
      <c r="J39" s="3567"/>
      <c r="K39" s="3569"/>
      <c r="L39" s="3058"/>
      <c r="M39" s="3059"/>
      <c r="N39" s="3035"/>
      <c r="O39" s="3060"/>
      <c r="P39" s="3060"/>
      <c r="Q39" s="3061"/>
      <c r="R39" s="3062"/>
      <c r="S39" s="3097"/>
      <c r="T39" s="3016"/>
      <c r="U39" s="3016"/>
      <c r="V39" s="3024"/>
    </row>
    <row r="40" spans="1:23" s="3028" customFormat="1" ht="13.15" customHeight="1">
      <c r="A40" s="3167">
        <v>10</v>
      </c>
      <c r="B40" s="3107" t="s">
        <v>2929</v>
      </c>
      <c r="C40" s="3168" t="e">
        <f>C39+D39+E39</f>
        <v>#DIV/0!</v>
      </c>
      <c r="D40" s="3169"/>
      <c r="E40" s="3169"/>
      <c r="F40" s="3170"/>
      <c r="G40" s="3105"/>
      <c r="H40" s="3023"/>
      <c r="I40" s="3024"/>
      <c r="J40" s="3567"/>
      <c r="K40" s="3570"/>
      <c r="L40" s="3078" t="s">
        <v>2868</v>
      </c>
      <c r="M40" s="3079"/>
      <c r="N40" s="3079"/>
      <c r="O40" s="3080"/>
      <c r="P40" s="3080"/>
      <c r="Q40" s="3081"/>
      <c r="R40" s="3027">
        <f>SUM(R37:R39)</f>
        <v>0</v>
      </c>
      <c r="S40" s="3097"/>
      <c r="T40" s="3016"/>
      <c r="U40" s="3016"/>
      <c r="V40" s="3024"/>
    </row>
    <row r="41" spans="1:23" s="3028" customFormat="1" ht="13.15" customHeight="1" thickBot="1">
      <c r="A41" s="3171">
        <v>11</v>
      </c>
      <c r="B41" s="3172" t="s">
        <v>2930</v>
      </c>
      <c r="C41" s="3172" t="e">
        <f>ROUND(C40*10000/B4,0)</f>
        <v>#DIV/0!</v>
      </c>
      <c r="D41" s="3173"/>
      <c r="E41" s="3173"/>
      <c r="F41" s="3174"/>
      <c r="G41" s="3175"/>
      <c r="H41" s="3023"/>
      <c r="I41" s="3024"/>
      <c r="J41" s="3119">
        <v>2</v>
      </c>
      <c r="K41" s="3120" t="s">
        <v>2908</v>
      </c>
      <c r="L41" s="3121"/>
      <c r="M41" s="3121"/>
      <c r="N41" s="3121"/>
      <c r="O41" s="3121"/>
      <c r="P41" s="3122"/>
      <c r="Q41" s="3123"/>
      <c r="R41" s="3094">
        <f>ROUND(R40*Q41,0)</f>
        <v>0</v>
      </c>
      <c r="S41" s="3097"/>
      <c r="T41" s="3016"/>
      <c r="U41" s="3131"/>
      <c r="V41" s="3024"/>
    </row>
    <row r="42" spans="1:23" s="3028" customFormat="1" ht="13.15" customHeight="1">
      <c r="G42" s="3175"/>
      <c r="H42" s="3023"/>
      <c r="I42" s="3024"/>
      <c r="J42" s="3577">
        <v>3</v>
      </c>
      <c r="K42" s="3126" t="s">
        <v>2910</v>
      </c>
      <c r="L42" s="3127"/>
      <c r="M42" s="3128"/>
      <c r="N42" s="3129" t="s">
        <v>2911</v>
      </c>
      <c r="O42" s="3129" t="s">
        <v>2912</v>
      </c>
      <c r="P42" s="3130" t="s">
        <v>2913</v>
      </c>
      <c r="Q42" s="3130" t="s">
        <v>2914</v>
      </c>
      <c r="R42" s="3033" t="s">
        <v>2839</v>
      </c>
      <c r="S42" s="3131"/>
      <c r="T42" s="3131"/>
      <c r="U42" s="3016"/>
      <c r="V42" s="3024"/>
    </row>
    <row r="43" spans="1:23" ht="13.15" customHeight="1">
      <c r="A43" s="3028"/>
      <c r="B43" s="3028"/>
      <c r="C43" s="3028"/>
      <c r="D43" s="3028"/>
      <c r="E43" s="3028"/>
      <c r="F43" s="3028"/>
      <c r="I43" s="3011"/>
      <c r="J43" s="3578"/>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2917</v>
      </c>
      <c r="L44" s="3179" t="s">
        <v>2918</v>
      </c>
      <c r="M44" s="3142"/>
      <c r="N44" s="3179" t="s">
        <v>2919</v>
      </c>
      <c r="O44" s="3142"/>
      <c r="P44" s="3179" t="s">
        <v>2920</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0"/>
      <c r="G1" s="1622"/>
      <c r="H1" s="1622"/>
      <c r="I1" s="1622"/>
      <c r="J1" s="1622"/>
      <c r="K1" s="1622"/>
      <c r="L1" s="1622"/>
      <c r="M1" s="1622"/>
      <c r="N1" s="1622"/>
      <c r="O1" s="1622"/>
      <c r="P1" s="1622"/>
      <c r="Q1" s="1622"/>
      <c r="R1" s="1622"/>
      <c r="S1" s="1622"/>
    </row>
    <row r="2" spans="1:22" ht="15.75">
      <c r="A2" s="2004" t="s">
        <v>1907</v>
      </c>
      <c r="B2" s="2005">
        <f ca="1">SUMIF(B6:B13,"&lt;&gt;#ref!",B6:B13)</f>
        <v>858</v>
      </c>
      <c r="C2" s="2006" t="s">
        <v>2099</v>
      </c>
      <c r="D2" s="2007" t="s">
        <v>2100</v>
      </c>
      <c r="E2" s="2777">
        <f>SUM(E6:E13)</f>
        <v>199.12</v>
      </c>
      <c r="F2" s="2880"/>
      <c r="G2" s="1622"/>
      <c r="H2" s="1622"/>
      <c r="I2" s="1622"/>
      <c r="J2" s="1622"/>
      <c r="K2" s="1622"/>
      <c r="L2" s="1622"/>
      <c r="M2" s="1622"/>
      <c r="N2" s="1622"/>
      <c r="O2" s="1622"/>
      <c r="P2" s="1622"/>
      <c r="Q2" s="1622"/>
      <c r="R2" s="1622"/>
      <c r="S2" s="1622"/>
    </row>
    <row r="3" spans="1:22" ht="15.75">
      <c r="A3" s="2004" t="s">
        <v>1119</v>
      </c>
      <c r="B3" s="2771">
        <f ca="1">ROUND(B2*10000/E2,0)</f>
        <v>43090</v>
      </c>
      <c r="C3" s="2006" t="s">
        <v>2107</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2101</v>
      </c>
      <c r="B5" s="3579" t="s">
        <v>2102</v>
      </c>
      <c r="C5" s="3580"/>
      <c r="D5" s="2881"/>
      <c r="E5" s="2008" t="s">
        <v>2103</v>
      </c>
      <c r="F5" s="2009" t="s">
        <v>2104</v>
      </c>
      <c r="G5" s="1622"/>
      <c r="H5" s="1622"/>
      <c r="I5" s="1622"/>
      <c r="J5" s="1622"/>
      <c r="K5" s="1622"/>
      <c r="L5" s="1622"/>
      <c r="M5" s="1622"/>
      <c r="N5" s="1622"/>
      <c r="O5" s="1622"/>
      <c r="P5" s="1622"/>
      <c r="Q5" s="1622"/>
      <c r="R5" s="1622"/>
      <c r="S5" s="1622"/>
    </row>
    <row r="6" spans="1:22">
      <c r="A6" s="2774" t="str">
        <f>'数据-取费表'!AN6</f>
        <v>收益法商</v>
      </c>
      <c r="B6" s="2772">
        <f ca="1">IF(F6="是",'数据-取费表'!AO6,0)</f>
        <v>577</v>
      </c>
      <c r="C6" s="2006" t="s">
        <v>2099</v>
      </c>
      <c r="D6" s="2882"/>
      <c r="E6" s="2776">
        <f>IF(OR(A6=0,F6="否"),0,'数据-取费表'!K6+'数据-取费表'!S6)</f>
        <v>114.12</v>
      </c>
      <c r="F6" s="2010" t="s">
        <v>2105</v>
      </c>
      <c r="G6" s="1622"/>
      <c r="H6" s="1622"/>
      <c r="I6" s="1622"/>
      <c r="J6" s="1622"/>
      <c r="K6" s="1622"/>
      <c r="L6" s="1622"/>
      <c r="M6" s="1622"/>
      <c r="N6" s="1622"/>
      <c r="O6" s="1622"/>
      <c r="P6" s="1622"/>
      <c r="Q6" s="1622"/>
      <c r="R6" s="1622"/>
      <c r="S6" s="1622"/>
    </row>
    <row r="7" spans="1:22">
      <c r="A7" s="2774" t="str">
        <f>'数据-取费表'!AN7</f>
        <v>收益法 (元)</v>
      </c>
      <c r="B7" s="2772">
        <f ca="1">IF(F7="是",'数据-取费表'!AO7,0)</f>
        <v>281</v>
      </c>
      <c r="C7" s="2006" t="s">
        <v>2099</v>
      </c>
      <c r="D7" s="2882"/>
      <c r="E7" s="2776">
        <f>IF(OR(A7=0,F7="否"),0,'数据-取费表'!K7+'数据-取费表'!S7)</f>
        <v>85</v>
      </c>
      <c r="F7" s="2010" t="s">
        <v>2105</v>
      </c>
      <c r="G7" s="1622"/>
      <c r="H7" s="1622"/>
      <c r="I7" s="1622"/>
      <c r="J7" s="1622"/>
      <c r="K7" s="1622"/>
      <c r="L7" s="1622"/>
      <c r="M7" s="1622"/>
      <c r="N7" s="1622"/>
      <c r="O7" s="1622"/>
      <c r="P7" s="1622"/>
      <c r="Q7" s="1622"/>
      <c r="R7" s="1622"/>
      <c r="S7" s="1622"/>
    </row>
    <row r="8" spans="1:22">
      <c r="A8" s="2774">
        <f>'数据-取费表'!AN8</f>
        <v>0</v>
      </c>
      <c r="B8" s="2772" t="e">
        <f ca="1">IF(F8="是",'数据-取费表'!AO8,0)</f>
        <v>#REF!</v>
      </c>
      <c r="C8" s="2006" t="s">
        <v>2099</v>
      </c>
      <c r="D8" s="2882"/>
      <c r="E8" s="2776">
        <f>IF(OR(A8=0,F8="否"),0,'数据-取费表'!K8+'数据-取费表'!S8)</f>
        <v>0</v>
      </c>
      <c r="F8" s="2010" t="s">
        <v>2105</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2099</v>
      </c>
      <c r="D9" s="2882"/>
      <c r="E9" s="2776">
        <f>IF(OR(A9=0,F9="否"),0,'数据-取费表'!K9+'数据-取费表'!S9)</f>
        <v>0</v>
      </c>
      <c r="F9" s="2010" t="s">
        <v>2105</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2099</v>
      </c>
      <c r="D10" s="2882"/>
      <c r="E10" s="2776">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2099</v>
      </c>
      <c r="D11" s="2882"/>
      <c r="E11" s="2776">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2099</v>
      </c>
      <c r="D12" s="2882"/>
      <c r="E12" s="2776">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1" t="s">
        <v>2099</v>
      </c>
      <c r="D13" s="2883"/>
      <c r="E13" s="2776">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1"/>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6"/>
      <c r="M2" s="2887"/>
      <c r="N2" s="2887"/>
      <c r="O2" s="2887"/>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6"/>
      <c r="M3" s="2887"/>
      <c r="N3" s="2887"/>
      <c r="O3" s="2887"/>
      <c r="P3" s="2019"/>
      <c r="Q3" s="2020"/>
      <c r="R3" s="2020"/>
      <c r="S3" s="2020"/>
      <c r="T3" s="2020"/>
      <c r="U3" s="2020"/>
      <c r="V3" s="2020"/>
      <c r="W3" s="2020"/>
      <c r="X3" s="2020"/>
      <c r="Y3" s="2020"/>
      <c r="Z3" s="2020"/>
      <c r="AA3" s="2020"/>
      <c r="AB3" s="2020"/>
      <c r="AC3" s="1170"/>
    </row>
    <row r="4" spans="1:29" ht="15">
      <c r="A4" s="361" t="s">
        <v>2115</v>
      </c>
      <c r="B4" s="362"/>
      <c r="C4" s="3525" t="s">
        <v>2116</v>
      </c>
      <c r="D4" s="3526"/>
      <c r="E4" s="3527" t="s">
        <v>2117</v>
      </c>
      <c r="F4" s="3528"/>
      <c r="G4" s="3525" t="s">
        <v>2118</v>
      </c>
      <c r="H4" s="3526"/>
      <c r="I4" s="3525" t="s">
        <v>2119</v>
      </c>
      <c r="J4" s="3526"/>
      <c r="K4" s="2023" t="s">
        <v>2120</v>
      </c>
      <c r="L4" s="2888"/>
      <c r="M4" s="2889"/>
      <c r="N4" s="2889"/>
      <c r="O4" s="2889"/>
      <c r="P4" s="3585" t="s">
        <v>2121</v>
      </c>
      <c r="Q4" s="3586"/>
      <c r="R4" s="3582" t="s">
        <v>2117</v>
      </c>
      <c r="S4" s="3583"/>
      <c r="T4" s="3582" t="s">
        <v>2118</v>
      </c>
      <c r="U4" s="3583"/>
      <c r="V4" s="3538" t="s">
        <v>2119</v>
      </c>
      <c r="W4" s="3538"/>
      <c r="X4" s="1487"/>
      <c r="Y4" s="3582" t="s">
        <v>2121</v>
      </c>
      <c r="Z4" s="3583"/>
      <c r="AA4" s="3581" t="s">
        <v>2117</v>
      </c>
      <c r="AB4" s="3581" t="s">
        <v>2118</v>
      </c>
      <c r="AC4" s="3581" t="s">
        <v>2119</v>
      </c>
    </row>
    <row r="5" spans="1:29" ht="15">
      <c r="A5" s="364"/>
      <c r="B5" s="365"/>
      <c r="C5" s="3514" t="s">
        <v>2122</v>
      </c>
      <c r="D5" s="3515"/>
      <c r="E5" s="3584" t="s">
        <v>2123</v>
      </c>
      <c r="F5" s="3513"/>
      <c r="G5" s="3514" t="s">
        <v>2124</v>
      </c>
      <c r="H5" s="3515"/>
      <c r="I5" s="3514" t="s">
        <v>2125</v>
      </c>
      <c r="J5" s="3515"/>
      <c r="K5" s="2024"/>
      <c r="L5" s="2888"/>
      <c r="M5" s="2889"/>
      <c r="N5" s="2889"/>
      <c r="O5" s="2889"/>
      <c r="P5" s="3587"/>
      <c r="Q5" s="3532"/>
      <c r="R5" s="3510"/>
      <c r="S5" s="3511"/>
      <c r="T5" s="3510"/>
      <c r="U5" s="3511"/>
      <c r="V5" s="3538"/>
      <c r="W5" s="3538"/>
      <c r="X5" s="1487"/>
      <c r="Y5" s="3510"/>
      <c r="Z5" s="3511"/>
      <c r="AA5" s="3504"/>
      <c r="AB5" s="3504"/>
      <c r="AC5" s="3504"/>
    </row>
    <row r="6" spans="1:29" ht="15.75" thickBot="1">
      <c r="A6" s="366"/>
      <c r="B6" s="367"/>
      <c r="C6" s="3516" t="s">
        <v>2126</v>
      </c>
      <c r="D6" s="3517"/>
      <c r="E6" s="3519" t="s">
        <v>2126</v>
      </c>
      <c r="F6" s="3520"/>
      <c r="G6" s="3516" t="s">
        <v>2126</v>
      </c>
      <c r="H6" s="3517"/>
      <c r="I6" s="3516" t="s">
        <v>2126</v>
      </c>
      <c r="J6" s="3517"/>
      <c r="K6" s="2024" t="s">
        <v>2127</v>
      </c>
      <c r="L6" s="2888"/>
      <c r="M6" s="2889"/>
      <c r="N6" s="2889"/>
      <c r="O6" s="2889"/>
      <c r="P6" s="3588"/>
      <c r="Q6" s="3534"/>
      <c r="R6" s="3510"/>
      <c r="S6" s="3511"/>
      <c r="T6" s="3535"/>
      <c r="U6" s="3536"/>
      <c r="V6" s="3538"/>
      <c r="W6" s="3538"/>
      <c r="X6" s="1487"/>
      <c r="Y6" s="3535"/>
      <c r="Z6" s="3536"/>
      <c r="AA6" s="3505"/>
      <c r="AB6" s="3505"/>
      <c r="AC6" s="3505"/>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5"/>
      <c r="L7" s="2890"/>
      <c r="M7" s="2891"/>
      <c r="N7" s="2891"/>
      <c r="O7" s="2891"/>
      <c r="P7" s="3506" t="s">
        <v>2129</v>
      </c>
      <c r="Q7" s="3540"/>
      <c r="R7" s="707" t="s">
        <v>23</v>
      </c>
      <c r="S7" s="708">
        <f t="shared" ref="S7:S15" si="0">F7</f>
        <v>0</v>
      </c>
      <c r="T7" s="707" t="s">
        <v>23</v>
      </c>
      <c r="U7" s="708">
        <f t="shared" ref="U7:U15" si="1">H7</f>
        <v>0</v>
      </c>
      <c r="V7" s="707" t="s">
        <v>23</v>
      </c>
      <c r="W7" s="708">
        <f t="shared" ref="W7:W15" si="2">J7</f>
        <v>0</v>
      </c>
      <c r="X7" s="709"/>
      <c r="Y7" s="3506" t="s">
        <v>2129</v>
      </c>
      <c r="Z7" s="3507"/>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0"/>
      <c r="M8" s="2891"/>
      <c r="N8" s="2891"/>
      <c r="O8" s="2891"/>
      <c r="P8" s="3506" t="s">
        <v>2132</v>
      </c>
      <c r="Q8" s="3507"/>
      <c r="R8" s="707" t="s">
        <v>23</v>
      </c>
      <c r="S8" s="708">
        <f t="shared" si="0"/>
        <v>0</v>
      </c>
      <c r="T8" s="707" t="s">
        <v>23</v>
      </c>
      <c r="U8" s="708">
        <f t="shared" si="1"/>
        <v>0</v>
      </c>
      <c r="V8" s="707" t="s">
        <v>23</v>
      </c>
      <c r="W8" s="708">
        <f t="shared" si="2"/>
        <v>0</v>
      </c>
      <c r="X8" s="709"/>
      <c r="Y8" s="3506" t="s">
        <v>2132</v>
      </c>
      <c r="Z8" s="3507"/>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0"/>
      <c r="M9" s="2891"/>
      <c r="N9" s="2891"/>
      <c r="O9" s="2891"/>
      <c r="P9" s="3521"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21"/>
      <c r="Q10" s="1475" t="str">
        <f t="shared" si="6"/>
        <v>土地使用年限（年）</v>
      </c>
      <c r="R10" s="707" t="s">
        <v>17</v>
      </c>
      <c r="S10" s="708">
        <f t="shared" si="0"/>
        <v>100</v>
      </c>
      <c r="T10" s="707" t="s">
        <v>17</v>
      </c>
      <c r="U10" s="708">
        <f t="shared" si="1"/>
        <v>100</v>
      </c>
      <c r="V10" s="707" t="s">
        <v>17</v>
      </c>
      <c r="W10" s="708">
        <f t="shared" si="2"/>
        <v>100</v>
      </c>
      <c r="X10" s="709"/>
      <c r="Y10" s="3476"/>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21"/>
      <c r="Q11" s="1475" t="str">
        <f t="shared" si="6"/>
        <v>容积率</v>
      </c>
      <c r="R11" s="707" t="s">
        <v>21</v>
      </c>
      <c r="S11" s="708" t="e">
        <f t="shared" si="0"/>
        <v>#N/A</v>
      </c>
      <c r="T11" s="707" t="s">
        <v>21</v>
      </c>
      <c r="U11" s="708" t="e">
        <f t="shared" si="1"/>
        <v>#N/A</v>
      </c>
      <c r="V11" s="707" t="s">
        <v>21</v>
      </c>
      <c r="W11" s="708" t="e">
        <f t="shared" si="2"/>
        <v>#N/A</v>
      </c>
      <c r="X11" s="709"/>
      <c r="Y11" s="3476"/>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0"/>
      <c r="M12" s="2891"/>
      <c r="N12" s="2891"/>
      <c r="O12" s="2891"/>
      <c r="P12" s="3521"/>
      <c r="Q12" s="1475">
        <f t="shared" si="6"/>
        <v>111</v>
      </c>
      <c r="R12" s="707" t="s">
        <v>21</v>
      </c>
      <c r="S12" s="708">
        <f t="shared" si="0"/>
        <v>100</v>
      </c>
      <c r="T12" s="707" t="s">
        <v>21</v>
      </c>
      <c r="U12" s="708">
        <f t="shared" si="1"/>
        <v>100</v>
      </c>
      <c r="V12" s="707" t="s">
        <v>21</v>
      </c>
      <c r="W12" s="708">
        <f t="shared" si="2"/>
        <v>100</v>
      </c>
      <c r="X12" s="709"/>
      <c r="Y12" s="3476"/>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5"/>
      <c r="M13" s="2889"/>
      <c r="N13" s="2889"/>
      <c r="O13" s="2889"/>
      <c r="P13" s="3521"/>
      <c r="Q13" s="1475">
        <f t="shared" si="6"/>
        <v>111</v>
      </c>
      <c r="R13" s="707" t="s">
        <v>21</v>
      </c>
      <c r="S13" s="708">
        <f t="shared" si="0"/>
        <v>100</v>
      </c>
      <c r="T13" s="707" t="s">
        <v>21</v>
      </c>
      <c r="U13" s="708">
        <f t="shared" si="1"/>
        <v>100</v>
      </c>
      <c r="V13" s="707" t="s">
        <v>21</v>
      </c>
      <c r="W13" s="708">
        <f t="shared" si="2"/>
        <v>100</v>
      </c>
      <c r="X13" s="709"/>
      <c r="Y13" s="3476"/>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5"/>
      <c r="M14" s="2889"/>
      <c r="N14" s="2889"/>
      <c r="O14" s="2889"/>
      <c r="P14" s="3521"/>
      <c r="Q14" s="1475">
        <f t="shared" si="6"/>
        <v>111</v>
      </c>
      <c r="R14" s="707" t="s">
        <v>21</v>
      </c>
      <c r="S14" s="708">
        <f t="shared" si="0"/>
        <v>100</v>
      </c>
      <c r="T14" s="707" t="s">
        <v>21</v>
      </c>
      <c r="U14" s="708">
        <f t="shared" si="1"/>
        <v>100</v>
      </c>
      <c r="V14" s="707" t="s">
        <v>21</v>
      </c>
      <c r="W14" s="708">
        <f t="shared" si="2"/>
        <v>100</v>
      </c>
      <c r="X14" s="709"/>
      <c r="Y14" s="3476"/>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541" t="s">
        <v>2140</v>
      </c>
      <c r="Q15" s="1484" t="str">
        <f t="shared" si="6"/>
        <v>居住社区成熟度</v>
      </c>
      <c r="R15" s="711" t="s">
        <v>21</v>
      </c>
      <c r="S15" s="712">
        <f t="shared" si="0"/>
        <v>100</v>
      </c>
      <c r="T15" s="711" t="s">
        <v>21</v>
      </c>
      <c r="U15" s="712">
        <f t="shared" si="1"/>
        <v>100</v>
      </c>
      <c r="V15" s="711" t="s">
        <v>21</v>
      </c>
      <c r="W15" s="712">
        <f t="shared" si="2"/>
        <v>100</v>
      </c>
      <c r="X15" s="1487"/>
      <c r="Y15" s="3543"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5"/>
      <c r="M16" s="2889"/>
      <c r="N16" s="2889"/>
      <c r="O16" s="2889"/>
      <c r="P16" s="3542"/>
      <c r="Q16" s="1484"/>
      <c r="R16" s="711"/>
      <c r="S16" s="712"/>
      <c r="T16" s="711"/>
      <c r="U16" s="712"/>
      <c r="V16" s="711"/>
      <c r="W16" s="712"/>
      <c r="X16" s="1487"/>
      <c r="Y16" s="3544"/>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42"/>
      <c r="Q17" s="1484" t="str">
        <f>B17</f>
        <v>交通便捷度</v>
      </c>
      <c r="R17" s="711" t="s">
        <v>21</v>
      </c>
      <c r="S17" s="712">
        <f>F17</f>
        <v>100</v>
      </c>
      <c r="T17" s="711" t="s">
        <v>21</v>
      </c>
      <c r="U17" s="712">
        <f>H17</f>
        <v>100</v>
      </c>
      <c r="V17" s="711" t="s">
        <v>21</v>
      </c>
      <c r="W17" s="712">
        <f>J17</f>
        <v>100</v>
      </c>
      <c r="X17" s="1487"/>
      <c r="Y17" s="3544"/>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5"/>
      <c r="M18" s="2889"/>
      <c r="N18" s="2889"/>
      <c r="O18" s="2889"/>
      <c r="P18" s="3542"/>
      <c r="Q18" s="1484"/>
      <c r="R18" s="711"/>
      <c r="S18" s="712"/>
      <c r="T18" s="711"/>
      <c r="U18" s="712"/>
      <c r="V18" s="711"/>
      <c r="W18" s="712"/>
      <c r="X18" s="1487"/>
      <c r="Y18" s="3544"/>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42"/>
      <c r="Q19" s="1484" t="str">
        <f>B19</f>
        <v>公共配套设施</v>
      </c>
      <c r="R19" s="711" t="s">
        <v>21</v>
      </c>
      <c r="S19" s="712">
        <f>F19</f>
        <v>100</v>
      </c>
      <c r="T19" s="711" t="s">
        <v>21</v>
      </c>
      <c r="U19" s="712">
        <f>H19</f>
        <v>100</v>
      </c>
      <c r="V19" s="711" t="s">
        <v>21</v>
      </c>
      <c r="W19" s="712">
        <f>J19</f>
        <v>100</v>
      </c>
      <c r="X19" s="1487"/>
      <c r="Y19" s="3544"/>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5"/>
      <c r="M20" s="2889"/>
      <c r="N20" s="2889"/>
      <c r="O20" s="2889"/>
      <c r="P20" s="3542"/>
      <c r="Q20" s="1484"/>
      <c r="R20" s="711"/>
      <c r="S20" s="712"/>
      <c r="T20" s="711"/>
      <c r="U20" s="712"/>
      <c r="V20" s="711"/>
      <c r="W20" s="712"/>
      <c r="X20" s="1487"/>
      <c r="Y20" s="3544"/>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42"/>
      <c r="Q21" s="1484" t="str">
        <f>B21</f>
        <v>基础设施水平</v>
      </c>
      <c r="R21" s="711" t="s">
        <v>17</v>
      </c>
      <c r="S21" s="712">
        <f>F21</f>
        <v>100</v>
      </c>
      <c r="T21" s="711" t="s">
        <v>17</v>
      </c>
      <c r="U21" s="712">
        <f>H21</f>
        <v>100</v>
      </c>
      <c r="V21" s="711" t="s">
        <v>17</v>
      </c>
      <c r="W21" s="712">
        <f>J21</f>
        <v>100</v>
      </c>
      <c r="X21" s="1487"/>
      <c r="Y21" s="3544"/>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5"/>
      <c r="M22" s="2889"/>
      <c r="N22" s="2889"/>
      <c r="O22" s="2889"/>
      <c r="P22" s="3542"/>
      <c r="Q22" s="1484"/>
      <c r="R22" s="711"/>
      <c r="S22" s="712"/>
      <c r="T22" s="711"/>
      <c r="U22" s="712"/>
      <c r="V22" s="711"/>
      <c r="W22" s="712"/>
      <c r="X22" s="1487"/>
      <c r="Y22" s="3544"/>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42"/>
      <c r="Q23" s="1484" t="str">
        <f>B23</f>
        <v>自然及人文环境</v>
      </c>
      <c r="R23" s="711" t="s">
        <v>21</v>
      </c>
      <c r="S23" s="712">
        <f>F23</f>
        <v>100</v>
      </c>
      <c r="T23" s="711" t="s">
        <v>21</v>
      </c>
      <c r="U23" s="712">
        <f>H23</f>
        <v>100</v>
      </c>
      <c r="V23" s="711" t="s">
        <v>21</v>
      </c>
      <c r="W23" s="712">
        <f>J23</f>
        <v>100</v>
      </c>
      <c r="X23" s="1487"/>
      <c r="Y23" s="3544"/>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5"/>
      <c r="M24" s="2889"/>
      <c r="N24" s="2889"/>
      <c r="O24" s="2889"/>
      <c r="P24" s="3542"/>
      <c r="Q24" s="1484"/>
      <c r="R24" s="711"/>
      <c r="S24" s="712"/>
      <c r="T24" s="711"/>
      <c r="U24" s="712"/>
      <c r="V24" s="711"/>
      <c r="W24" s="712"/>
      <c r="X24" s="1487"/>
      <c r="Y24" s="3544"/>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5"/>
      <c r="M25" s="2889"/>
      <c r="N25" s="2889"/>
      <c r="O25" s="2889"/>
      <c r="P25" s="3542"/>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44"/>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5"/>
      <c r="M26" s="2889"/>
      <c r="N26" s="2889"/>
      <c r="O26" s="2889"/>
      <c r="P26" s="3542"/>
      <c r="Q26" s="1484" t="str">
        <f t="shared" si="11"/>
        <v>朝向</v>
      </c>
      <c r="R26" s="711" t="s">
        <v>21</v>
      </c>
      <c r="S26" s="712">
        <f t="shared" si="12"/>
        <v>100</v>
      </c>
      <c r="T26" s="711" t="s">
        <v>21</v>
      </c>
      <c r="U26" s="712">
        <f t="shared" si="13"/>
        <v>100</v>
      </c>
      <c r="V26" s="711" t="s">
        <v>21</v>
      </c>
      <c r="W26" s="712">
        <f t="shared" si="14"/>
        <v>100</v>
      </c>
      <c r="X26" s="1487"/>
      <c r="Y26" s="3544"/>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0"/>
      <c r="M27" s="2891"/>
      <c r="N27" s="2891"/>
      <c r="O27" s="2891"/>
      <c r="P27" s="3542"/>
      <c r="Q27" s="1475">
        <f t="shared" si="11"/>
        <v>111</v>
      </c>
      <c r="R27" s="707" t="s">
        <v>21</v>
      </c>
      <c r="S27" s="708">
        <f t="shared" si="12"/>
        <v>100</v>
      </c>
      <c r="T27" s="707" t="s">
        <v>21</v>
      </c>
      <c r="U27" s="708">
        <f t="shared" si="13"/>
        <v>100</v>
      </c>
      <c r="V27" s="707" t="s">
        <v>21</v>
      </c>
      <c r="W27" s="708">
        <f t="shared" si="14"/>
        <v>100</v>
      </c>
      <c r="X27" s="709"/>
      <c r="Y27" s="3544"/>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5"/>
      <c r="M28" s="2889"/>
      <c r="N28" s="2889"/>
      <c r="O28" s="2889"/>
      <c r="P28" s="3542"/>
      <c r="Q28" s="1484">
        <f t="shared" si="11"/>
        <v>111</v>
      </c>
      <c r="R28" s="711" t="s">
        <v>21</v>
      </c>
      <c r="S28" s="712">
        <f t="shared" si="12"/>
        <v>100</v>
      </c>
      <c r="T28" s="711" t="s">
        <v>21</v>
      </c>
      <c r="U28" s="712">
        <f t="shared" si="13"/>
        <v>100</v>
      </c>
      <c r="V28" s="711" t="s">
        <v>21</v>
      </c>
      <c r="W28" s="712">
        <f t="shared" si="14"/>
        <v>100</v>
      </c>
      <c r="X28" s="1487"/>
      <c r="Y28" s="3544"/>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5"/>
      <c r="M29" s="2889"/>
      <c r="N29" s="2889"/>
      <c r="O29" s="2889"/>
      <c r="P29" s="3542"/>
      <c r="Q29" s="1484">
        <f t="shared" si="11"/>
        <v>111</v>
      </c>
      <c r="R29" s="711" t="s">
        <v>21</v>
      </c>
      <c r="S29" s="712">
        <f t="shared" si="12"/>
        <v>100</v>
      </c>
      <c r="T29" s="711" t="s">
        <v>21</v>
      </c>
      <c r="U29" s="712">
        <f t="shared" si="13"/>
        <v>100</v>
      </c>
      <c r="V29" s="711" t="s">
        <v>21</v>
      </c>
      <c r="W29" s="712">
        <f t="shared" si="14"/>
        <v>100</v>
      </c>
      <c r="X29" s="1487"/>
      <c r="Y29" s="3544"/>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5"/>
      <c r="M30" s="2889"/>
      <c r="N30" s="2889"/>
      <c r="O30" s="2889"/>
      <c r="P30" s="3542"/>
      <c r="Q30" s="1484">
        <f t="shared" si="11"/>
        <v>111</v>
      </c>
      <c r="R30" s="711" t="s">
        <v>21</v>
      </c>
      <c r="S30" s="712">
        <f t="shared" si="12"/>
        <v>100</v>
      </c>
      <c r="T30" s="711" t="s">
        <v>21</v>
      </c>
      <c r="U30" s="712">
        <f t="shared" si="13"/>
        <v>100</v>
      </c>
      <c r="V30" s="711" t="s">
        <v>21</v>
      </c>
      <c r="W30" s="712">
        <f t="shared" si="14"/>
        <v>100</v>
      </c>
      <c r="X30" s="1487"/>
      <c r="Y30" s="3544"/>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5"/>
      <c r="M31" s="2889"/>
      <c r="N31" s="2889"/>
      <c r="O31" s="2889"/>
      <c r="P31" s="3542"/>
      <c r="Q31" s="1484">
        <f t="shared" si="11"/>
        <v>111</v>
      </c>
      <c r="R31" s="711" t="s">
        <v>21</v>
      </c>
      <c r="S31" s="712">
        <f t="shared" si="12"/>
        <v>100</v>
      </c>
      <c r="T31" s="711" t="s">
        <v>21</v>
      </c>
      <c r="U31" s="712">
        <f t="shared" si="13"/>
        <v>100</v>
      </c>
      <c r="V31" s="711" t="s">
        <v>21</v>
      </c>
      <c r="W31" s="712">
        <f t="shared" si="14"/>
        <v>100</v>
      </c>
      <c r="X31" s="1487"/>
      <c r="Y31" s="3544"/>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5"/>
      <c r="M32" s="2889"/>
      <c r="N32" s="2889"/>
      <c r="O32" s="2889"/>
      <c r="P32" s="3545" t="s">
        <v>2145</v>
      </c>
      <c r="Q32" s="1484" t="str">
        <f t="shared" si="11"/>
        <v>建筑类型</v>
      </c>
      <c r="R32" s="711" t="s">
        <v>21</v>
      </c>
      <c r="S32" s="712">
        <f t="shared" si="12"/>
        <v>100</v>
      </c>
      <c r="T32" s="711" t="s">
        <v>21</v>
      </c>
      <c r="U32" s="712">
        <f t="shared" si="13"/>
        <v>100</v>
      </c>
      <c r="V32" s="711" t="s">
        <v>21</v>
      </c>
      <c r="W32" s="712">
        <f t="shared" si="14"/>
        <v>100</v>
      </c>
      <c r="X32" s="1487"/>
      <c r="Y32" s="3548"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4"/>
      <c r="M33" s="2896"/>
      <c r="N33" s="2896"/>
      <c r="O33" s="2896"/>
      <c r="P33" s="3546"/>
      <c r="Q33" s="713" t="str">
        <f t="shared" si="11"/>
        <v>项目建筑规模</v>
      </c>
      <c r="R33" s="714" t="s">
        <v>21</v>
      </c>
      <c r="S33" s="715" t="e">
        <f t="shared" si="12"/>
        <v>#N/A</v>
      </c>
      <c r="T33" s="714" t="s">
        <v>21</v>
      </c>
      <c r="U33" s="715" t="e">
        <f t="shared" si="13"/>
        <v>#N/A</v>
      </c>
      <c r="V33" s="714" t="s">
        <v>21</v>
      </c>
      <c r="W33" s="715" t="e">
        <f t="shared" si="14"/>
        <v>#N/A</v>
      </c>
      <c r="X33" s="716"/>
      <c r="Y33" s="3548"/>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5"/>
      <c r="M34" s="2889"/>
      <c r="N34" s="2889"/>
      <c r="O34" s="2889"/>
      <c r="P34" s="3546"/>
      <c r="Q34" s="1484" t="str">
        <f t="shared" si="11"/>
        <v>建筑结构</v>
      </c>
      <c r="R34" s="711" t="s">
        <v>21</v>
      </c>
      <c r="S34" s="712">
        <f t="shared" si="12"/>
        <v>100</v>
      </c>
      <c r="T34" s="711" t="s">
        <v>21</v>
      </c>
      <c r="U34" s="712">
        <f t="shared" si="13"/>
        <v>100</v>
      </c>
      <c r="V34" s="711" t="s">
        <v>21</v>
      </c>
      <c r="W34" s="712">
        <f t="shared" si="14"/>
        <v>100</v>
      </c>
      <c r="X34" s="1487"/>
      <c r="Y34" s="3548"/>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5"/>
      <c r="M35" s="2889"/>
      <c r="N35" s="2889"/>
      <c r="O35" s="2889"/>
      <c r="P35" s="3546"/>
      <c r="Q35" s="1484" t="str">
        <f t="shared" si="11"/>
        <v>建筑品质</v>
      </c>
      <c r="R35" s="711" t="s">
        <v>21</v>
      </c>
      <c r="S35" s="712">
        <f t="shared" si="12"/>
        <v>100</v>
      </c>
      <c r="T35" s="711" t="s">
        <v>21</v>
      </c>
      <c r="U35" s="712">
        <f t="shared" si="13"/>
        <v>100</v>
      </c>
      <c r="V35" s="711" t="s">
        <v>21</v>
      </c>
      <c r="W35" s="712">
        <f t="shared" si="14"/>
        <v>100</v>
      </c>
      <c r="X35" s="1487"/>
      <c r="Y35" s="3548"/>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5"/>
      <c r="M36" s="2889"/>
      <c r="N36" s="2889"/>
      <c r="O36" s="2889"/>
      <c r="P36" s="3546"/>
      <c r="Q36" s="1484" t="str">
        <f t="shared" si="11"/>
        <v>公共部分装修</v>
      </c>
      <c r="R36" s="711" t="s">
        <v>21</v>
      </c>
      <c r="S36" s="712">
        <f t="shared" si="12"/>
        <v>100</v>
      </c>
      <c r="T36" s="711" t="s">
        <v>21</v>
      </c>
      <c r="U36" s="712">
        <f t="shared" si="13"/>
        <v>100</v>
      </c>
      <c r="V36" s="711" t="s">
        <v>21</v>
      </c>
      <c r="W36" s="712">
        <f t="shared" si="14"/>
        <v>100</v>
      </c>
      <c r="X36" s="1487"/>
      <c r="Y36" s="3548"/>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46"/>
      <c r="Q37" s="1475" t="str">
        <f t="shared" si="11"/>
        <v>成新度</v>
      </c>
      <c r="R37" s="707" t="s">
        <v>21</v>
      </c>
      <c r="S37" s="708" t="e">
        <f t="shared" si="12"/>
        <v>#N/A</v>
      </c>
      <c r="T37" s="707" t="s">
        <v>21</v>
      </c>
      <c r="U37" s="708" t="e">
        <f t="shared" si="13"/>
        <v>#N/A</v>
      </c>
      <c r="V37" s="707" t="s">
        <v>21</v>
      </c>
      <c r="W37" s="708" t="e">
        <f t="shared" si="14"/>
        <v>#N/A</v>
      </c>
      <c r="X37" s="709"/>
      <c r="Y37" s="3548"/>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5"/>
      <c r="M38" s="2889"/>
      <c r="N38" s="2889"/>
      <c r="O38" s="2889"/>
      <c r="P38" s="3546" t="s">
        <v>2145</v>
      </c>
      <c r="Q38" s="1484" t="str">
        <f t="shared" si="11"/>
        <v>物业管理</v>
      </c>
      <c r="R38" s="711" t="s">
        <v>21</v>
      </c>
      <c r="S38" s="712">
        <f t="shared" si="12"/>
        <v>100</v>
      </c>
      <c r="T38" s="711" t="s">
        <v>21</v>
      </c>
      <c r="U38" s="712">
        <f t="shared" si="13"/>
        <v>100</v>
      </c>
      <c r="V38" s="711" t="s">
        <v>21</v>
      </c>
      <c r="W38" s="712">
        <f t="shared" si="14"/>
        <v>100</v>
      </c>
      <c r="X38" s="1487"/>
      <c r="Y38" s="3548"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5"/>
      <c r="M39" s="2889"/>
      <c r="N39" s="2889"/>
      <c r="O39" s="2889"/>
      <c r="P39" s="3546"/>
      <c r="Q39" s="1484" t="str">
        <f t="shared" si="11"/>
        <v>市政基础设施</v>
      </c>
      <c r="R39" s="711" t="s">
        <v>21</v>
      </c>
      <c r="S39" s="712">
        <f t="shared" si="12"/>
        <v>100</v>
      </c>
      <c r="T39" s="711" t="s">
        <v>21</v>
      </c>
      <c r="U39" s="712">
        <f t="shared" si="13"/>
        <v>100</v>
      </c>
      <c r="V39" s="711" t="s">
        <v>21</v>
      </c>
      <c r="W39" s="712">
        <f t="shared" si="14"/>
        <v>100</v>
      </c>
      <c r="X39" s="1487"/>
      <c r="Y39" s="3548"/>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5"/>
      <c r="M40" s="2889"/>
      <c r="N40" s="2889"/>
      <c r="O40" s="2889"/>
      <c r="P40" s="3546"/>
      <c r="Q40" s="1484" t="str">
        <f t="shared" si="11"/>
        <v>房型</v>
      </c>
      <c r="R40" s="711" t="s">
        <v>21</v>
      </c>
      <c r="S40" s="712">
        <f t="shared" si="12"/>
        <v>100</v>
      </c>
      <c r="T40" s="711" t="s">
        <v>21</v>
      </c>
      <c r="U40" s="712">
        <f t="shared" si="13"/>
        <v>100</v>
      </c>
      <c r="V40" s="711" t="s">
        <v>21</v>
      </c>
      <c r="W40" s="712">
        <f t="shared" si="14"/>
        <v>100</v>
      </c>
      <c r="X40" s="1487"/>
      <c r="Y40" s="3548"/>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4"/>
      <c r="M41" s="2896"/>
      <c r="N41" s="2896"/>
      <c r="O41" s="2896"/>
      <c r="P41" s="3546"/>
      <c r="Q41" s="713" t="str">
        <f t="shared" si="11"/>
        <v>单套/主力户型建筑面积</v>
      </c>
      <c r="R41" s="714" t="s">
        <v>21</v>
      </c>
      <c r="S41" s="715">
        <f t="shared" si="12"/>
        <v>100</v>
      </c>
      <c r="T41" s="714" t="s">
        <v>21</v>
      </c>
      <c r="U41" s="715">
        <f t="shared" si="13"/>
        <v>100</v>
      </c>
      <c r="V41" s="714" t="s">
        <v>21</v>
      </c>
      <c r="W41" s="715">
        <f t="shared" si="14"/>
        <v>100</v>
      </c>
      <c r="X41" s="716"/>
      <c r="Y41" s="3548"/>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5"/>
      <c r="M42" s="2889"/>
      <c r="N42" s="2889"/>
      <c r="O42" s="2889"/>
      <c r="P42" s="3546"/>
      <c r="Q42" s="1484" t="str">
        <f t="shared" si="11"/>
        <v>内部装修</v>
      </c>
      <c r="R42" s="711" t="s">
        <v>21</v>
      </c>
      <c r="S42" s="712">
        <f t="shared" si="12"/>
        <v>100</v>
      </c>
      <c r="T42" s="711" t="s">
        <v>21</v>
      </c>
      <c r="U42" s="712">
        <f t="shared" si="13"/>
        <v>100</v>
      </c>
      <c r="V42" s="711" t="s">
        <v>21</v>
      </c>
      <c r="W42" s="712">
        <f t="shared" si="14"/>
        <v>100</v>
      </c>
      <c r="X42" s="1487"/>
      <c r="Y42" s="3548"/>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5"/>
      <c r="M43" s="2889"/>
      <c r="N43" s="2889"/>
      <c r="O43" s="2889"/>
      <c r="P43" s="3546"/>
      <c r="Q43" s="1484" t="str">
        <f t="shared" si="11"/>
        <v>内部装修维护情况</v>
      </c>
      <c r="R43" s="711" t="s">
        <v>21</v>
      </c>
      <c r="S43" s="712">
        <f t="shared" si="12"/>
        <v>100</v>
      </c>
      <c r="T43" s="711" t="s">
        <v>21</v>
      </c>
      <c r="U43" s="712">
        <f t="shared" si="13"/>
        <v>100</v>
      </c>
      <c r="V43" s="711" t="s">
        <v>21</v>
      </c>
      <c r="W43" s="712">
        <f t="shared" si="14"/>
        <v>100</v>
      </c>
      <c r="X43" s="1487"/>
      <c r="Y43" s="3548"/>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0"/>
      <c r="M44" s="2891"/>
      <c r="N44" s="2891"/>
      <c r="O44" s="2891"/>
      <c r="P44" s="3546"/>
      <c r="Q44" s="1475">
        <f t="shared" si="11"/>
        <v>111</v>
      </c>
      <c r="R44" s="707" t="s">
        <v>21</v>
      </c>
      <c r="S44" s="708">
        <f t="shared" si="12"/>
        <v>100</v>
      </c>
      <c r="T44" s="707" t="s">
        <v>21</v>
      </c>
      <c r="U44" s="708">
        <f t="shared" si="13"/>
        <v>100</v>
      </c>
      <c r="V44" s="707" t="s">
        <v>21</v>
      </c>
      <c r="W44" s="708">
        <f t="shared" si="14"/>
        <v>100</v>
      </c>
      <c r="X44" s="709"/>
      <c r="Y44" s="3548"/>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5"/>
      <c r="M45" s="2889"/>
      <c r="N45" s="2889"/>
      <c r="O45" s="2889"/>
      <c r="P45" s="3546"/>
      <c r="Q45" s="1484">
        <f t="shared" si="11"/>
        <v>111</v>
      </c>
      <c r="R45" s="711" t="s">
        <v>21</v>
      </c>
      <c r="S45" s="712">
        <f t="shared" si="12"/>
        <v>100</v>
      </c>
      <c r="T45" s="711" t="s">
        <v>21</v>
      </c>
      <c r="U45" s="712">
        <f t="shared" si="13"/>
        <v>100</v>
      </c>
      <c r="V45" s="711" t="s">
        <v>21</v>
      </c>
      <c r="W45" s="712">
        <f t="shared" si="14"/>
        <v>100</v>
      </c>
      <c r="X45" s="1487"/>
      <c r="Y45" s="3548"/>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5"/>
      <c r="M46" s="2889"/>
      <c r="N46" s="2889"/>
      <c r="O46" s="2889"/>
      <c r="P46" s="3547"/>
      <c r="Q46" s="1484">
        <f t="shared" si="11"/>
        <v>111</v>
      </c>
      <c r="R46" s="711" t="s">
        <v>20</v>
      </c>
      <c r="S46" s="712">
        <f t="shared" si="12"/>
        <v>100</v>
      </c>
      <c r="T46" s="711" t="s">
        <v>20</v>
      </c>
      <c r="U46" s="712">
        <f t="shared" si="13"/>
        <v>100</v>
      </c>
      <c r="V46" s="711" t="s">
        <v>20</v>
      </c>
      <c r="W46" s="712">
        <f t="shared" si="14"/>
        <v>100</v>
      </c>
      <c r="X46" s="1487"/>
      <c r="Y46" s="3549"/>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7"/>
      <c r="M47" s="2898"/>
      <c r="N47" s="2889"/>
      <c r="O47" s="2898"/>
      <c r="P47" s="3550" t="str">
        <f>A47</f>
        <v>成交单价（元/平方米）</v>
      </c>
      <c r="Q47" s="3550"/>
      <c r="R47" s="3551">
        <f>E47</f>
        <v>0</v>
      </c>
      <c r="S47" s="3551"/>
      <c r="T47" s="3551">
        <f>G47</f>
        <v>0</v>
      </c>
      <c r="U47" s="3551"/>
      <c r="V47" s="3551">
        <f>I47</f>
        <v>0</v>
      </c>
      <c r="W47" s="3551"/>
      <c r="X47" s="696"/>
      <c r="Y47" s="718"/>
      <c r="Z47" s="696"/>
      <c r="AA47" s="696"/>
      <c r="AB47" s="696"/>
      <c r="AC47" s="696"/>
    </row>
    <row r="48" spans="1:29" ht="15.75" thickBot="1">
      <c r="A48" s="445" t="s">
        <v>2158</v>
      </c>
      <c r="B48" s="446"/>
      <c r="C48" s="1272" t="e">
        <f>R49</f>
        <v>#DIV/0!</v>
      </c>
      <c r="D48" s="2485" t="s">
        <v>2636</v>
      </c>
      <c r="E48" s="1273" t="e">
        <f>R48</f>
        <v>#DIV/0!</v>
      </c>
      <c r="F48" s="2486"/>
      <c r="G48" s="1272" t="e">
        <f>T48</f>
        <v>#DIV/0!</v>
      </c>
      <c r="H48" s="2486"/>
      <c r="I48" s="1273" t="e">
        <f>V48</f>
        <v>#DIV/0!</v>
      </c>
      <c r="J48" s="2486"/>
      <c r="K48" s="2487">
        <f>F48+H48+J48</f>
        <v>0</v>
      </c>
      <c r="L48" s="2897"/>
      <c r="M48" s="2898"/>
      <c r="N48" s="2898"/>
      <c r="O48" s="2898"/>
      <c r="P48" s="3550" t="str">
        <f>A48</f>
        <v>比较价值（元/平方米）</v>
      </c>
      <c r="Q48" s="355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7"/>
      <c r="M49" s="2898"/>
      <c r="N49" s="2898"/>
      <c r="O49" s="2898"/>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696"/>
      <c r="Y49" s="696"/>
      <c r="Z49" s="696"/>
      <c r="AA49" s="696"/>
      <c r="AB49" s="696"/>
      <c r="AC49" s="696"/>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1"/>
    </row>
    <row r="55" spans="1:29" s="459" customFormat="1">
      <c r="A55" s="2901"/>
      <c r="B55" s="2904"/>
      <c r="C55" s="2905"/>
      <c r="D55" s="2901"/>
      <c r="E55" s="2901"/>
      <c r="F55" s="2901"/>
      <c r="G55" s="2901"/>
      <c r="H55" s="2901"/>
      <c r="I55" s="2901"/>
      <c r="J55" s="2901"/>
      <c r="K55" s="2906"/>
      <c r="L55" s="2900"/>
      <c r="M55" s="2901"/>
      <c r="N55" s="2901"/>
      <c r="O55" s="2901"/>
      <c r="P55" s="2051"/>
    </row>
    <row r="56" spans="1:29">
      <c r="A56" s="2898"/>
      <c r="B56" s="2904"/>
      <c r="C56" s="2905"/>
      <c r="D56" s="2898"/>
      <c r="E56" s="2898"/>
      <c r="F56" s="2898"/>
      <c r="G56" s="2898"/>
      <c r="H56" s="2898"/>
      <c r="I56" s="2898"/>
      <c r="J56" s="2898"/>
      <c r="K56" s="2903"/>
      <c r="L56" s="2899"/>
      <c r="M56" s="2898"/>
      <c r="N56" s="2898"/>
      <c r="O56" s="2898"/>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25" t="s">
        <v>2226</v>
      </c>
      <c r="D4" s="3526"/>
      <c r="E4" s="3527" t="s">
        <v>2227</v>
      </c>
      <c r="F4" s="3528"/>
      <c r="G4" s="3525" t="s">
        <v>2228</v>
      </c>
      <c r="H4" s="3526"/>
      <c r="I4" s="3525" t="s">
        <v>2229</v>
      </c>
      <c r="J4" s="3526"/>
      <c r="K4" s="567" t="s">
        <v>2230</v>
      </c>
      <c r="L4" s="1022"/>
      <c r="M4" s="1023"/>
      <c r="N4" s="1023"/>
      <c r="O4" s="1023"/>
      <c r="P4" s="3585" t="s">
        <v>2231</v>
      </c>
      <c r="Q4" s="3586"/>
      <c r="R4" s="3582" t="s">
        <v>2227</v>
      </c>
      <c r="S4" s="3583"/>
      <c r="T4" s="3582" t="s">
        <v>2228</v>
      </c>
      <c r="U4" s="3583"/>
      <c r="V4" s="3538" t="s">
        <v>2229</v>
      </c>
      <c r="W4" s="3538"/>
      <c r="X4" s="1487"/>
      <c r="Y4" s="3582" t="s">
        <v>2231</v>
      </c>
      <c r="Z4" s="3583"/>
      <c r="AA4" s="3581" t="s">
        <v>2227</v>
      </c>
      <c r="AB4" s="3504" t="s">
        <v>2228</v>
      </c>
      <c r="AC4" s="3581" t="s">
        <v>2229</v>
      </c>
    </row>
    <row r="5" spans="1:29" ht="15">
      <c r="A5" s="364"/>
      <c r="B5" s="365"/>
      <c r="C5" s="3514" t="s">
        <v>2122</v>
      </c>
      <c r="D5" s="3515"/>
      <c r="E5" s="3584" t="s">
        <v>2123</v>
      </c>
      <c r="F5" s="3513"/>
      <c r="G5" s="3514" t="s">
        <v>2124</v>
      </c>
      <c r="H5" s="3515"/>
      <c r="I5" s="3514" t="s">
        <v>2125</v>
      </c>
      <c r="J5" s="3515"/>
      <c r="K5" s="567"/>
      <c r="L5" s="1022"/>
      <c r="M5" s="1023"/>
      <c r="N5" s="1023"/>
      <c r="O5" s="1023"/>
      <c r="P5" s="3587"/>
      <c r="Q5" s="3532"/>
      <c r="R5" s="3510"/>
      <c r="S5" s="3511"/>
      <c r="T5" s="3510"/>
      <c r="U5" s="3511"/>
      <c r="V5" s="3538"/>
      <c r="W5" s="3538"/>
      <c r="X5" s="1487"/>
      <c r="Y5" s="3510"/>
      <c r="Z5" s="3511"/>
      <c r="AA5" s="3504"/>
      <c r="AB5" s="3504"/>
      <c r="AC5" s="3504"/>
    </row>
    <row r="6" spans="1:29" ht="15.75" thickBot="1">
      <c r="A6" s="366"/>
      <c r="B6" s="367"/>
      <c r="C6" s="3516" t="s">
        <v>2126</v>
      </c>
      <c r="D6" s="3517"/>
      <c r="E6" s="3519" t="s">
        <v>2126</v>
      </c>
      <c r="F6" s="3520"/>
      <c r="G6" s="3516" t="s">
        <v>2126</v>
      </c>
      <c r="H6" s="3517"/>
      <c r="I6" s="3516" t="s">
        <v>2126</v>
      </c>
      <c r="J6" s="3517"/>
      <c r="K6" s="567" t="s">
        <v>2127</v>
      </c>
      <c r="L6" s="1022"/>
      <c r="M6" s="1023"/>
      <c r="N6" s="1023"/>
      <c r="O6" s="1023"/>
      <c r="P6" s="3588"/>
      <c r="Q6" s="3534"/>
      <c r="R6" s="3510"/>
      <c r="S6" s="3511"/>
      <c r="T6" s="3535"/>
      <c r="U6" s="3536"/>
      <c r="V6" s="3538"/>
      <c r="W6" s="3538"/>
      <c r="X6" s="1487"/>
      <c r="Y6" s="3535"/>
      <c r="Z6" s="3536"/>
      <c r="AA6" s="3505"/>
      <c r="AB6" s="3505"/>
      <c r="AC6" s="3505"/>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06" t="s">
        <v>2129</v>
      </c>
      <c r="Q7" s="3540"/>
      <c r="R7" s="707" t="s">
        <v>17</v>
      </c>
      <c r="S7" s="708">
        <f t="shared" ref="S7:S15" si="0">F7</f>
        <v>0</v>
      </c>
      <c r="T7" s="707" t="s">
        <v>17</v>
      </c>
      <c r="U7" s="708">
        <f t="shared" ref="U7:U15" si="1">H7</f>
        <v>0</v>
      </c>
      <c r="V7" s="707" t="s">
        <v>17</v>
      </c>
      <c r="W7" s="708">
        <f t="shared" ref="W7:W15" si="2">J7</f>
        <v>0</v>
      </c>
      <c r="X7" s="709"/>
      <c r="Y7" s="3506" t="s">
        <v>2129</v>
      </c>
      <c r="Z7" s="3507"/>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06" t="s">
        <v>2132</v>
      </c>
      <c r="Q8" s="3507"/>
      <c r="R8" s="707" t="s">
        <v>17</v>
      </c>
      <c r="S8" s="708">
        <f t="shared" si="0"/>
        <v>0</v>
      </c>
      <c r="T8" s="707" t="s">
        <v>17</v>
      </c>
      <c r="U8" s="708">
        <f t="shared" si="1"/>
        <v>0</v>
      </c>
      <c r="V8" s="707" t="s">
        <v>17</v>
      </c>
      <c r="W8" s="708">
        <f t="shared" si="2"/>
        <v>0</v>
      </c>
      <c r="X8" s="709"/>
      <c r="Y8" s="3506" t="s">
        <v>2132</v>
      </c>
      <c r="Z8" s="3507"/>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50"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50"/>
      <c r="Q10" s="1475" t="str">
        <f t="shared" si="6"/>
        <v>土地使用年限（年）</v>
      </c>
      <c r="R10" s="707" t="s">
        <v>17</v>
      </c>
      <c r="S10" s="708">
        <f t="shared" si="0"/>
        <v>100</v>
      </c>
      <c r="T10" s="707" t="s">
        <v>17</v>
      </c>
      <c r="U10" s="708">
        <f t="shared" si="1"/>
        <v>100</v>
      </c>
      <c r="V10" s="707" t="s">
        <v>17</v>
      </c>
      <c r="W10" s="708">
        <f t="shared" si="2"/>
        <v>100</v>
      </c>
      <c r="X10" s="709"/>
      <c r="Y10" s="3476"/>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50"/>
      <c r="Q11" s="1475" t="str">
        <f t="shared" si="6"/>
        <v>容积率</v>
      </c>
      <c r="R11" s="707" t="s">
        <v>17</v>
      </c>
      <c r="S11" s="708" t="e">
        <f t="shared" si="0"/>
        <v>#N/A</v>
      </c>
      <c r="T11" s="707" t="s">
        <v>17</v>
      </c>
      <c r="U11" s="708" t="e">
        <f t="shared" si="1"/>
        <v>#N/A</v>
      </c>
      <c r="V11" s="707" t="s">
        <v>17</v>
      </c>
      <c r="W11" s="708" t="e">
        <f t="shared" si="2"/>
        <v>#N/A</v>
      </c>
      <c r="X11" s="709"/>
      <c r="Y11" s="3476"/>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550"/>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550"/>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550"/>
      <c r="Q14" s="1475">
        <f t="shared" si="6"/>
        <v>111</v>
      </c>
      <c r="R14" s="707" t="s">
        <v>17</v>
      </c>
      <c r="S14" s="708">
        <f t="shared" si="0"/>
        <v>100</v>
      </c>
      <c r="T14" s="707" t="s">
        <v>17</v>
      </c>
      <c r="U14" s="708">
        <f t="shared" si="1"/>
        <v>100</v>
      </c>
      <c r="V14" s="707" t="s">
        <v>17</v>
      </c>
      <c r="W14" s="708">
        <f t="shared" si="2"/>
        <v>100</v>
      </c>
      <c r="X14" s="709"/>
      <c r="Y14" s="3476"/>
      <c r="Z14" s="55">
        <f t="shared" si="7"/>
        <v>111</v>
      </c>
      <c r="AA14" s="710">
        <f t="shared" si="3"/>
        <v>1</v>
      </c>
      <c r="AB14" s="710">
        <f t="shared" si="4"/>
        <v>1</v>
      </c>
      <c r="AC14" s="710">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43" t="s">
        <v>2140</v>
      </c>
      <c r="Q15" s="1484" t="str">
        <f t="shared" si="6"/>
        <v>产业集聚程度</v>
      </c>
      <c r="R15" s="711" t="s">
        <v>17</v>
      </c>
      <c r="S15" s="712">
        <f t="shared" si="0"/>
        <v>100</v>
      </c>
      <c r="T15" s="711" t="s">
        <v>17</v>
      </c>
      <c r="U15" s="712">
        <f t="shared" si="1"/>
        <v>100</v>
      </c>
      <c r="V15" s="711" t="s">
        <v>17</v>
      </c>
      <c r="W15" s="712">
        <f t="shared" si="2"/>
        <v>100</v>
      </c>
      <c r="X15" s="1487"/>
      <c r="Y15" s="3543"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44"/>
      <c r="Q16" s="1484"/>
      <c r="R16" s="711"/>
      <c r="S16" s="712"/>
      <c r="T16" s="711"/>
      <c r="U16" s="712"/>
      <c r="V16" s="711"/>
      <c r="W16" s="712"/>
      <c r="X16" s="1487"/>
      <c r="Y16" s="3544"/>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44"/>
      <c r="Q17" s="1484" t="str">
        <f>B17</f>
        <v>交通便捷度</v>
      </c>
      <c r="R17" s="711" t="s">
        <v>17</v>
      </c>
      <c r="S17" s="712">
        <f>F17</f>
        <v>100</v>
      </c>
      <c r="T17" s="711" t="s">
        <v>17</v>
      </c>
      <c r="U17" s="712">
        <f>H17</f>
        <v>100</v>
      </c>
      <c r="V17" s="711" t="s">
        <v>17</v>
      </c>
      <c r="W17" s="712">
        <f>J17</f>
        <v>100</v>
      </c>
      <c r="X17" s="1487"/>
      <c r="Y17" s="3544"/>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44"/>
      <c r="Q18" s="1484"/>
      <c r="R18" s="711"/>
      <c r="S18" s="712"/>
      <c r="T18" s="711"/>
      <c r="U18" s="712"/>
      <c r="V18" s="711"/>
      <c r="W18" s="712"/>
      <c r="X18" s="1487"/>
      <c r="Y18" s="3544"/>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44"/>
      <c r="Q19" s="1484" t="str">
        <f>B19</f>
        <v>公共配套设施</v>
      </c>
      <c r="R19" s="711" t="s">
        <v>17</v>
      </c>
      <c r="S19" s="712">
        <f>F19</f>
        <v>100</v>
      </c>
      <c r="T19" s="711" t="s">
        <v>17</v>
      </c>
      <c r="U19" s="712">
        <f>H19</f>
        <v>100</v>
      </c>
      <c r="V19" s="711" t="s">
        <v>17</v>
      </c>
      <c r="W19" s="712">
        <f>J19</f>
        <v>100</v>
      </c>
      <c r="X19" s="1487"/>
      <c r="Y19" s="3544"/>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44"/>
      <c r="Q20" s="1484"/>
      <c r="R20" s="711"/>
      <c r="S20" s="712"/>
      <c r="T20" s="711"/>
      <c r="U20" s="712"/>
      <c r="V20" s="711"/>
      <c r="W20" s="712"/>
      <c r="X20" s="1487"/>
      <c r="Y20" s="3544"/>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44"/>
      <c r="Q21" s="1484" t="str">
        <f>B21</f>
        <v>基础设施水平</v>
      </c>
      <c r="R21" s="711" t="s">
        <v>17</v>
      </c>
      <c r="S21" s="712">
        <f>F21</f>
        <v>100</v>
      </c>
      <c r="T21" s="711" t="s">
        <v>17</v>
      </c>
      <c r="U21" s="712">
        <f>H21</f>
        <v>100</v>
      </c>
      <c r="V21" s="711" t="s">
        <v>17</v>
      </c>
      <c r="W21" s="712">
        <f>J21</f>
        <v>100</v>
      </c>
      <c r="X21" s="1487"/>
      <c r="Y21" s="3544"/>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44"/>
      <c r="Q22" s="1484"/>
      <c r="R22" s="711"/>
      <c r="S22" s="712"/>
      <c r="T22" s="711"/>
      <c r="U22" s="712"/>
      <c r="V22" s="711"/>
      <c r="W22" s="712"/>
      <c r="X22" s="1487"/>
      <c r="Y22" s="3544"/>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44"/>
      <c r="Q23" s="1484" t="str">
        <f>B23</f>
        <v>环境质量</v>
      </c>
      <c r="R23" s="711" t="s">
        <v>17</v>
      </c>
      <c r="S23" s="712">
        <f>F23</f>
        <v>100</v>
      </c>
      <c r="T23" s="711" t="s">
        <v>17</v>
      </c>
      <c r="U23" s="712">
        <f>H23</f>
        <v>100</v>
      </c>
      <c r="V23" s="711" t="s">
        <v>17</v>
      </c>
      <c r="W23" s="712">
        <f>J23</f>
        <v>100</v>
      </c>
      <c r="X23" s="1487"/>
      <c r="Y23" s="3544"/>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44"/>
      <c r="Q24" s="1484"/>
      <c r="R24" s="711"/>
      <c r="S24" s="712"/>
      <c r="T24" s="711"/>
      <c r="U24" s="712"/>
      <c r="V24" s="711"/>
      <c r="W24" s="712"/>
      <c r="X24" s="1487"/>
      <c r="Y24" s="3544"/>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44"/>
      <c r="Q25" s="1484">
        <f>B25</f>
        <v>111</v>
      </c>
      <c r="R25" s="711" t="s">
        <v>17</v>
      </c>
      <c r="S25" s="712">
        <f>F25</f>
        <v>100</v>
      </c>
      <c r="T25" s="711" t="s">
        <v>17</v>
      </c>
      <c r="U25" s="712">
        <f>H25</f>
        <v>100</v>
      </c>
      <c r="V25" s="711" t="s">
        <v>17</v>
      </c>
      <c r="W25" s="712">
        <f>J25</f>
        <v>100</v>
      </c>
      <c r="X25" s="1487"/>
      <c r="Y25" s="3544"/>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44"/>
      <c r="Q26" s="1484">
        <f t="shared" ref="Q26:Q40" si="11">B26</f>
        <v>111</v>
      </c>
      <c r="R26" s="711" t="s">
        <v>17</v>
      </c>
      <c r="S26" s="712">
        <f>F26</f>
        <v>100</v>
      </c>
      <c r="T26" s="711" t="s">
        <v>17</v>
      </c>
      <c r="U26" s="712">
        <f>H26</f>
        <v>100</v>
      </c>
      <c r="V26" s="711" t="s">
        <v>17</v>
      </c>
      <c r="W26" s="712">
        <f>J26</f>
        <v>100</v>
      </c>
      <c r="X26" s="1487"/>
      <c r="Y26" s="3544"/>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44"/>
      <c r="Q27" s="1475">
        <f t="shared" si="11"/>
        <v>111</v>
      </c>
      <c r="R27" s="707" t="s">
        <v>17</v>
      </c>
      <c r="S27" s="708">
        <f>F27</f>
        <v>100</v>
      </c>
      <c r="T27" s="707" t="s">
        <v>17</v>
      </c>
      <c r="U27" s="708">
        <f>H27</f>
        <v>100</v>
      </c>
      <c r="V27" s="707" t="s">
        <v>17</v>
      </c>
      <c r="W27" s="708">
        <f>J27</f>
        <v>100</v>
      </c>
      <c r="X27" s="709"/>
      <c r="Y27" s="3544"/>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44"/>
      <c r="Q28" s="1484">
        <f t="shared" si="11"/>
        <v>111</v>
      </c>
      <c r="R28" s="711" t="s">
        <v>17</v>
      </c>
      <c r="S28" s="712">
        <f t="shared" ref="S28:S40" si="12">F28</f>
        <v>100</v>
      </c>
      <c r="T28" s="711" t="s">
        <v>17</v>
      </c>
      <c r="U28" s="712">
        <f t="shared" ref="U28:U40" si="13">H28</f>
        <v>100</v>
      </c>
      <c r="V28" s="711" t="s">
        <v>17</v>
      </c>
      <c r="W28" s="712">
        <f t="shared" ref="W28:W40" si="14">J28</f>
        <v>100</v>
      </c>
      <c r="X28" s="1487"/>
      <c r="Y28" s="3544"/>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592" t="s">
        <v>2145</v>
      </c>
      <c r="Q29" s="1484" t="str">
        <f t="shared" si="11"/>
        <v>建筑类型</v>
      </c>
      <c r="R29" s="711" t="s">
        <v>17</v>
      </c>
      <c r="S29" s="712">
        <f t="shared" si="12"/>
        <v>100</v>
      </c>
      <c r="T29" s="711" t="s">
        <v>17</v>
      </c>
      <c r="U29" s="712">
        <f t="shared" si="13"/>
        <v>100</v>
      </c>
      <c r="V29" s="711" t="s">
        <v>17</v>
      </c>
      <c r="W29" s="712">
        <f t="shared" si="14"/>
        <v>100</v>
      </c>
      <c r="X29" s="1487"/>
      <c r="Y29" s="3548"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48"/>
      <c r="Q30" s="713" t="str">
        <f t="shared" si="11"/>
        <v>项目建筑规模</v>
      </c>
      <c r="R30" s="714" t="s">
        <v>17</v>
      </c>
      <c r="S30" s="715" t="e">
        <f t="shared" si="12"/>
        <v>#N/A</v>
      </c>
      <c r="T30" s="714" t="s">
        <v>17</v>
      </c>
      <c r="U30" s="715" t="e">
        <f t="shared" si="13"/>
        <v>#N/A</v>
      </c>
      <c r="V30" s="714" t="s">
        <v>17</v>
      </c>
      <c r="W30" s="715" t="e">
        <f t="shared" si="14"/>
        <v>#N/A</v>
      </c>
      <c r="X30" s="716"/>
      <c r="Y30" s="3548"/>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48"/>
      <c r="Q31" s="1484" t="str">
        <f t="shared" si="11"/>
        <v>建筑结构</v>
      </c>
      <c r="R31" s="711" t="s">
        <v>17</v>
      </c>
      <c r="S31" s="712">
        <f t="shared" si="12"/>
        <v>100</v>
      </c>
      <c r="T31" s="711" t="s">
        <v>17</v>
      </c>
      <c r="U31" s="712">
        <f t="shared" si="13"/>
        <v>100</v>
      </c>
      <c r="V31" s="711" t="s">
        <v>17</v>
      </c>
      <c r="W31" s="712">
        <f t="shared" si="14"/>
        <v>100</v>
      </c>
      <c r="X31" s="1487"/>
      <c r="Y31" s="3548"/>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48"/>
      <c r="Q32" s="1484" t="str">
        <f t="shared" si="11"/>
        <v>公共部分装修</v>
      </c>
      <c r="R32" s="711" t="s">
        <v>17</v>
      </c>
      <c r="S32" s="712">
        <f t="shared" si="12"/>
        <v>100</v>
      </c>
      <c r="T32" s="711" t="s">
        <v>17</v>
      </c>
      <c r="U32" s="712">
        <f t="shared" si="13"/>
        <v>100</v>
      </c>
      <c r="V32" s="711" t="s">
        <v>17</v>
      </c>
      <c r="W32" s="712">
        <f t="shared" si="14"/>
        <v>100</v>
      </c>
      <c r="X32" s="1487"/>
      <c r="Y32" s="3548"/>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48"/>
      <c r="Q33" s="1484" t="str">
        <f t="shared" si="11"/>
        <v>成新度</v>
      </c>
      <c r="R33" s="711" t="s">
        <v>17</v>
      </c>
      <c r="S33" s="712" t="e">
        <f t="shared" si="12"/>
        <v>#N/A</v>
      </c>
      <c r="T33" s="711" t="s">
        <v>17</v>
      </c>
      <c r="U33" s="712" t="e">
        <f t="shared" si="13"/>
        <v>#N/A</v>
      </c>
      <c r="V33" s="711" t="s">
        <v>17</v>
      </c>
      <c r="W33" s="712" t="e">
        <f t="shared" si="14"/>
        <v>#N/A</v>
      </c>
      <c r="X33" s="1487"/>
      <c r="Y33" s="3548"/>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48"/>
      <c r="Q34" s="1475" t="str">
        <f t="shared" si="11"/>
        <v>物业管理</v>
      </c>
      <c r="R34" s="707" t="s">
        <v>17</v>
      </c>
      <c r="S34" s="708">
        <f t="shared" si="12"/>
        <v>100</v>
      </c>
      <c r="T34" s="707" t="s">
        <v>17</v>
      </c>
      <c r="U34" s="708">
        <f t="shared" si="13"/>
        <v>100</v>
      </c>
      <c r="V34" s="707" t="s">
        <v>17</v>
      </c>
      <c r="W34" s="708">
        <f t="shared" si="14"/>
        <v>100</v>
      </c>
      <c r="X34" s="709"/>
      <c r="Y34" s="3548"/>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48" t="s">
        <v>2145</v>
      </c>
      <c r="Q35" s="1484" t="str">
        <f t="shared" si="11"/>
        <v>市政基础设施</v>
      </c>
      <c r="R35" s="711" t="s">
        <v>17</v>
      </c>
      <c r="S35" s="712">
        <f t="shared" si="12"/>
        <v>100</v>
      </c>
      <c r="T35" s="711" t="s">
        <v>17</v>
      </c>
      <c r="U35" s="712">
        <f t="shared" si="13"/>
        <v>100</v>
      </c>
      <c r="V35" s="711" t="s">
        <v>17</v>
      </c>
      <c r="W35" s="712">
        <f t="shared" si="14"/>
        <v>100</v>
      </c>
      <c r="X35" s="1487"/>
      <c r="Y35" s="3548"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48"/>
      <c r="Q36" s="1484" t="str">
        <f t="shared" si="11"/>
        <v>内部装修</v>
      </c>
      <c r="R36" s="711" t="s">
        <v>17</v>
      </c>
      <c r="S36" s="712">
        <f t="shared" si="12"/>
        <v>100</v>
      </c>
      <c r="T36" s="711" t="s">
        <v>17</v>
      </c>
      <c r="U36" s="712">
        <f t="shared" si="13"/>
        <v>100</v>
      </c>
      <c r="V36" s="711" t="s">
        <v>17</v>
      </c>
      <c r="W36" s="712">
        <f t="shared" si="14"/>
        <v>100</v>
      </c>
      <c r="X36" s="1487"/>
      <c r="Y36" s="3548"/>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48"/>
      <c r="Q37" s="1484" t="str">
        <f t="shared" si="11"/>
        <v>内部装修状况</v>
      </c>
      <c r="R37" s="711" t="s">
        <v>17</v>
      </c>
      <c r="S37" s="712">
        <f t="shared" si="12"/>
        <v>100</v>
      </c>
      <c r="T37" s="711" t="s">
        <v>17</v>
      </c>
      <c r="U37" s="712">
        <f t="shared" si="13"/>
        <v>100</v>
      </c>
      <c r="V37" s="711" t="s">
        <v>17</v>
      </c>
      <c r="W37" s="712">
        <f t="shared" si="14"/>
        <v>100</v>
      </c>
      <c r="X37" s="1487"/>
      <c r="Y37" s="3548"/>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48"/>
      <c r="Q38" s="713">
        <f t="shared" si="11"/>
        <v>111</v>
      </c>
      <c r="R38" s="714" t="s">
        <v>17</v>
      </c>
      <c r="S38" s="715">
        <f t="shared" si="12"/>
        <v>100</v>
      </c>
      <c r="T38" s="714" t="s">
        <v>17</v>
      </c>
      <c r="U38" s="715">
        <f t="shared" si="13"/>
        <v>100</v>
      </c>
      <c r="V38" s="714" t="s">
        <v>17</v>
      </c>
      <c r="W38" s="715">
        <f t="shared" si="14"/>
        <v>100</v>
      </c>
      <c r="X38" s="716"/>
      <c r="Y38" s="3548"/>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48"/>
      <c r="Q39" s="1484">
        <f t="shared" si="11"/>
        <v>111</v>
      </c>
      <c r="R39" s="711" t="s">
        <v>17</v>
      </c>
      <c r="S39" s="712">
        <f t="shared" si="12"/>
        <v>100</v>
      </c>
      <c r="T39" s="711" t="s">
        <v>17</v>
      </c>
      <c r="U39" s="712">
        <f t="shared" si="13"/>
        <v>100</v>
      </c>
      <c r="V39" s="711" t="s">
        <v>17</v>
      </c>
      <c r="W39" s="712">
        <f t="shared" si="14"/>
        <v>100</v>
      </c>
      <c r="X39" s="1487"/>
      <c r="Y39" s="3548"/>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49"/>
      <c r="Q40" s="1484">
        <f t="shared" si="11"/>
        <v>111</v>
      </c>
      <c r="R40" s="711" t="s">
        <v>17</v>
      </c>
      <c r="S40" s="712">
        <f t="shared" si="12"/>
        <v>100</v>
      </c>
      <c r="T40" s="711" t="s">
        <v>17</v>
      </c>
      <c r="U40" s="712">
        <f t="shared" si="13"/>
        <v>100</v>
      </c>
      <c r="V40" s="711" t="s">
        <v>17</v>
      </c>
      <c r="W40" s="712">
        <f t="shared" si="14"/>
        <v>100</v>
      </c>
      <c r="X40" s="1487"/>
      <c r="Y40" s="3549"/>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50" t="str">
        <f>A41</f>
        <v>成交单价（元/平方米）</v>
      </c>
      <c r="Q41" s="3550"/>
      <c r="R41" s="3551">
        <f>E41</f>
        <v>0</v>
      </c>
      <c r="S41" s="3551"/>
      <c r="T41" s="3551">
        <f>G41</f>
        <v>0</v>
      </c>
      <c r="U41" s="3551"/>
      <c r="V41" s="3551">
        <f>I41</f>
        <v>0</v>
      </c>
      <c r="W41" s="3551"/>
      <c r="X41" s="696"/>
      <c r="Y41" s="718"/>
      <c r="Z41" s="696"/>
      <c r="AA41" s="696"/>
      <c r="AB41" s="696"/>
      <c r="AC41" s="696"/>
    </row>
    <row r="42" spans="1:29" ht="15.75" thickBot="1">
      <c r="A42" s="445" t="s">
        <v>2249</v>
      </c>
      <c r="B42" s="446"/>
      <c r="C42" s="1272" t="e">
        <f>R43</f>
        <v>#DIV/0!</v>
      </c>
      <c r="D42" s="2485" t="s">
        <v>2636</v>
      </c>
      <c r="E42" s="1273" t="e">
        <f>R42</f>
        <v>#DIV/0!</v>
      </c>
      <c r="F42" s="2486"/>
      <c r="G42" s="1272" t="e">
        <f>T42</f>
        <v>#DIV/0!</v>
      </c>
      <c r="H42" s="2486"/>
      <c r="I42" s="1273" t="e">
        <f>V42</f>
        <v>#DIV/0!</v>
      </c>
      <c r="J42" s="2486"/>
      <c r="K42" s="2488">
        <f>F42+H42+J42</f>
        <v>0</v>
      </c>
      <c r="L42" s="1035"/>
      <c r="M42" s="1036"/>
      <c r="N42" s="1023"/>
      <c r="O42" s="1036"/>
      <c r="P42" s="3550" t="str">
        <f>A42</f>
        <v>比较价值（元/平方米）</v>
      </c>
      <c r="Q42" s="355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89" t="str">
        <f>A43</f>
        <v>估价对象XX用房的比较价值（楼面单价，元/平方米）</v>
      </c>
      <c r="Q43" s="3590"/>
      <c r="R43" s="3591" t="e">
        <f>IF(F1="售价",ROUND(IF(D42="简单平均",AVERAGE(R42:V42),R42*F42+T42*H42+V42*J42),0),ROUND(IF(D42="简单平均",AVERAGE(R42:V42),R42*F42+T42*H42+V42*J42),1))</f>
        <v>#DIV/0!</v>
      </c>
      <c r="S43" s="3591"/>
      <c r="T43" s="3591"/>
      <c r="U43" s="3591"/>
      <c r="V43" s="3591"/>
      <c r="W43" s="3591"/>
      <c r="X43" s="696"/>
      <c r="Y43" s="696"/>
      <c r="Z43" s="696"/>
      <c r="AA43" s="696"/>
      <c r="AB43" s="696"/>
      <c r="AC43" s="696"/>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3"/>
      <c r="O54" s="2944"/>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2022年8月25日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7"/>
      <c r="M3" s="2908"/>
      <c r="N3" s="2908"/>
      <c r="O3" s="2908"/>
      <c r="P3" s="1277"/>
      <c r="Q3" s="705"/>
      <c r="R3" s="705"/>
      <c r="S3" s="705"/>
      <c r="T3" s="705"/>
      <c r="U3" s="705"/>
      <c r="V3" s="705"/>
      <c r="W3" s="705"/>
      <c r="X3" s="705"/>
      <c r="Y3" s="705"/>
      <c r="Z3" s="705"/>
      <c r="AA3" s="705"/>
      <c r="AB3" s="722"/>
      <c r="AC3" s="719"/>
    </row>
    <row r="4" spans="1:29" ht="15">
      <c r="A4" s="361" t="s">
        <v>2225</v>
      </c>
      <c r="B4" s="362"/>
      <c r="C4" s="3525" t="s">
        <v>2226</v>
      </c>
      <c r="D4" s="3526"/>
      <c r="E4" s="3527" t="s">
        <v>2227</v>
      </c>
      <c r="F4" s="3528"/>
      <c r="G4" s="3525" t="s">
        <v>2228</v>
      </c>
      <c r="H4" s="3526"/>
      <c r="I4" s="3525" t="s">
        <v>2229</v>
      </c>
      <c r="J4" s="3526"/>
      <c r="K4" s="567" t="s">
        <v>2230</v>
      </c>
      <c r="L4" s="2888"/>
      <c r="M4" s="2889"/>
      <c r="N4" s="2889"/>
      <c r="O4" s="2889"/>
      <c r="P4" s="3585" t="s">
        <v>2231</v>
      </c>
      <c r="Q4" s="3586"/>
      <c r="R4" s="3582" t="s">
        <v>2227</v>
      </c>
      <c r="S4" s="3583"/>
      <c r="T4" s="3582" t="s">
        <v>2228</v>
      </c>
      <c r="U4" s="3583"/>
      <c r="V4" s="3538" t="s">
        <v>2229</v>
      </c>
      <c r="W4" s="3538"/>
      <c r="X4" s="1487"/>
      <c r="Y4" s="3582" t="s">
        <v>2231</v>
      </c>
      <c r="Z4" s="3583"/>
      <c r="AA4" s="3581" t="s">
        <v>2227</v>
      </c>
      <c r="AB4" s="3504" t="s">
        <v>2228</v>
      </c>
      <c r="AC4" s="3581" t="s">
        <v>2229</v>
      </c>
    </row>
    <row r="5" spans="1:29" ht="15">
      <c r="A5" s="364"/>
      <c r="B5" s="365"/>
      <c r="C5" s="3514" t="s">
        <v>2122</v>
      </c>
      <c r="D5" s="3515"/>
      <c r="E5" s="3584" t="s">
        <v>2123</v>
      </c>
      <c r="F5" s="3513"/>
      <c r="G5" s="3514" t="s">
        <v>2124</v>
      </c>
      <c r="H5" s="3515"/>
      <c r="I5" s="3514" t="s">
        <v>2125</v>
      </c>
      <c r="J5" s="3515"/>
      <c r="K5" s="567"/>
      <c r="L5" s="2888"/>
      <c r="M5" s="2889"/>
      <c r="N5" s="2889"/>
      <c r="O5" s="2889"/>
      <c r="P5" s="3587"/>
      <c r="Q5" s="3532"/>
      <c r="R5" s="3510"/>
      <c r="S5" s="3511"/>
      <c r="T5" s="3510"/>
      <c r="U5" s="3511"/>
      <c r="V5" s="3538"/>
      <c r="W5" s="3538"/>
      <c r="X5" s="1487"/>
      <c r="Y5" s="3510"/>
      <c r="Z5" s="3511"/>
      <c r="AA5" s="3504"/>
      <c r="AB5" s="3504"/>
      <c r="AC5" s="3504"/>
    </row>
    <row r="6" spans="1:29" ht="15.75" thickBot="1">
      <c r="A6" s="366"/>
      <c r="B6" s="367"/>
      <c r="C6" s="3516" t="s">
        <v>2126</v>
      </c>
      <c r="D6" s="3517"/>
      <c r="E6" s="3519" t="s">
        <v>2126</v>
      </c>
      <c r="F6" s="3520"/>
      <c r="G6" s="3516" t="s">
        <v>2126</v>
      </c>
      <c r="H6" s="3517"/>
      <c r="I6" s="3516" t="s">
        <v>2126</v>
      </c>
      <c r="J6" s="3517"/>
      <c r="K6" s="567" t="s">
        <v>2127</v>
      </c>
      <c r="L6" s="2888"/>
      <c r="M6" s="2889"/>
      <c r="N6" s="2889"/>
      <c r="O6" s="2889"/>
      <c r="P6" s="3588"/>
      <c r="Q6" s="3534"/>
      <c r="R6" s="3510"/>
      <c r="S6" s="3511"/>
      <c r="T6" s="3535"/>
      <c r="U6" s="3536"/>
      <c r="V6" s="3538"/>
      <c r="W6" s="3538"/>
      <c r="X6" s="1487"/>
      <c r="Y6" s="3535"/>
      <c r="Z6" s="3536"/>
      <c r="AA6" s="3505"/>
      <c r="AB6" s="3505"/>
      <c r="AC6" s="3505"/>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06" t="s">
        <v>2129</v>
      </c>
      <c r="Q7" s="3540"/>
      <c r="R7" s="707" t="s">
        <v>17</v>
      </c>
      <c r="S7" s="708">
        <f t="shared" ref="S7:S14" si="0">F7</f>
        <v>0</v>
      </c>
      <c r="T7" s="707" t="s">
        <v>17</v>
      </c>
      <c r="U7" s="708">
        <f t="shared" ref="U7:U14" si="1">H7</f>
        <v>0</v>
      </c>
      <c r="V7" s="707" t="s">
        <v>17</v>
      </c>
      <c r="W7" s="708">
        <f t="shared" ref="W7:W14" si="2">J7</f>
        <v>0</v>
      </c>
      <c r="X7" s="709"/>
      <c r="Y7" s="3506" t="s">
        <v>2129</v>
      </c>
      <c r="Z7" s="3507"/>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06" t="s">
        <v>2132</v>
      </c>
      <c r="Q8" s="3507"/>
      <c r="R8" s="707" t="s">
        <v>17</v>
      </c>
      <c r="S8" s="708">
        <f t="shared" si="0"/>
        <v>0</v>
      </c>
      <c r="T8" s="707" t="s">
        <v>17</v>
      </c>
      <c r="U8" s="708">
        <f t="shared" si="1"/>
        <v>0</v>
      </c>
      <c r="V8" s="707" t="s">
        <v>17</v>
      </c>
      <c r="W8" s="708">
        <f t="shared" si="2"/>
        <v>0</v>
      </c>
      <c r="X8" s="709"/>
      <c r="Y8" s="3506" t="s">
        <v>2132</v>
      </c>
      <c r="Z8" s="3507"/>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50" t="s">
        <v>2135</v>
      </c>
      <c r="Q9" s="1475" t="str">
        <f t="shared" ref="Q9:Q14" si="6">B9</f>
        <v>用途</v>
      </c>
      <c r="R9" s="707" t="s">
        <v>17</v>
      </c>
      <c r="S9" s="708">
        <f t="shared" si="0"/>
        <v>100</v>
      </c>
      <c r="T9" s="707" t="s">
        <v>17</v>
      </c>
      <c r="U9" s="708">
        <f t="shared" si="1"/>
        <v>100</v>
      </c>
      <c r="V9" s="707" t="s">
        <v>17</v>
      </c>
      <c r="W9" s="708">
        <f t="shared" si="2"/>
        <v>100</v>
      </c>
      <c r="X9" s="709"/>
      <c r="Y9" s="3476"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50"/>
      <c r="Q10" s="1475" t="str">
        <f t="shared" si="6"/>
        <v>土地使用年限（年）</v>
      </c>
      <c r="R10" s="707" t="s">
        <v>17</v>
      </c>
      <c r="S10" s="708">
        <f t="shared" si="0"/>
        <v>100</v>
      </c>
      <c r="T10" s="707" t="s">
        <v>17</v>
      </c>
      <c r="U10" s="708">
        <f t="shared" si="1"/>
        <v>100</v>
      </c>
      <c r="V10" s="707" t="s">
        <v>17</v>
      </c>
      <c r="W10" s="708">
        <f t="shared" si="2"/>
        <v>100</v>
      </c>
      <c r="X10" s="709"/>
      <c r="Y10" s="3476"/>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50"/>
      <c r="Q11" s="1475">
        <f t="shared" si="6"/>
        <v>111</v>
      </c>
      <c r="R11" s="707" t="s">
        <v>17</v>
      </c>
      <c r="S11" s="708">
        <f t="shared" si="0"/>
        <v>100</v>
      </c>
      <c r="T11" s="707" t="s">
        <v>17</v>
      </c>
      <c r="U11" s="708">
        <f t="shared" si="1"/>
        <v>100</v>
      </c>
      <c r="V11" s="707" t="s">
        <v>17</v>
      </c>
      <c r="W11" s="708">
        <f t="shared" si="2"/>
        <v>100</v>
      </c>
      <c r="X11" s="709"/>
      <c r="Y11" s="3476"/>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50"/>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50"/>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710">
        <f t="shared" si="5"/>
        <v>1</v>
      </c>
    </row>
    <row r="14" spans="1:29" ht="142.5">
      <c r="A14" s="361" t="s">
        <v>2139</v>
      </c>
      <c r="B14" s="584"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543" t="s">
        <v>2140</v>
      </c>
      <c r="Q14" s="1484" t="str">
        <f t="shared" si="6"/>
        <v>交通便捷度</v>
      </c>
      <c r="R14" s="711" t="s">
        <v>17</v>
      </c>
      <c r="S14" s="712">
        <f t="shared" si="0"/>
        <v>100</v>
      </c>
      <c r="T14" s="711" t="s">
        <v>17</v>
      </c>
      <c r="U14" s="712">
        <f t="shared" si="1"/>
        <v>100</v>
      </c>
      <c r="V14" s="711" t="s">
        <v>17</v>
      </c>
      <c r="W14" s="712">
        <f t="shared" si="2"/>
        <v>100</v>
      </c>
      <c r="X14" s="1487"/>
      <c r="Y14" s="3543"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5"/>
      <c r="M15" s="2889"/>
      <c r="N15" s="2889"/>
      <c r="O15" s="2889"/>
      <c r="P15" s="3544"/>
      <c r="Q15" s="1484"/>
      <c r="R15" s="711"/>
      <c r="S15" s="712"/>
      <c r="T15" s="711"/>
      <c r="U15" s="712"/>
      <c r="V15" s="711"/>
      <c r="W15" s="712"/>
      <c r="X15" s="1487"/>
      <c r="Y15" s="3544"/>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44"/>
      <c r="Q16" s="1484" t="str">
        <f>B16</f>
        <v>公共配套设施</v>
      </c>
      <c r="R16" s="711" t="s">
        <v>17</v>
      </c>
      <c r="S16" s="712">
        <f>F16</f>
        <v>100</v>
      </c>
      <c r="T16" s="711" t="s">
        <v>17</v>
      </c>
      <c r="U16" s="712">
        <f>H16</f>
        <v>100</v>
      </c>
      <c r="V16" s="711" t="s">
        <v>17</v>
      </c>
      <c r="W16" s="712">
        <f>J16</f>
        <v>100</v>
      </c>
      <c r="X16" s="1487"/>
      <c r="Y16" s="3544"/>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5"/>
      <c r="M17" s="2889"/>
      <c r="N17" s="2889"/>
      <c r="O17" s="2889"/>
      <c r="P17" s="3544"/>
      <c r="Q17" s="1484"/>
      <c r="R17" s="711"/>
      <c r="S17" s="712"/>
      <c r="T17" s="711"/>
      <c r="U17" s="712"/>
      <c r="V17" s="711"/>
      <c r="W17" s="712"/>
      <c r="X17" s="1487"/>
      <c r="Y17" s="3544"/>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44"/>
      <c r="Q18" s="1484" t="str">
        <f>B18</f>
        <v>基础设施水平</v>
      </c>
      <c r="R18" s="711" t="s">
        <v>17</v>
      </c>
      <c r="S18" s="712">
        <f>F18</f>
        <v>100</v>
      </c>
      <c r="T18" s="711" t="s">
        <v>17</v>
      </c>
      <c r="U18" s="712">
        <f>H18</f>
        <v>100</v>
      </c>
      <c r="V18" s="711" t="s">
        <v>17</v>
      </c>
      <c r="W18" s="712">
        <f>J18</f>
        <v>100</v>
      </c>
      <c r="X18" s="1487"/>
      <c r="Y18" s="3544"/>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5"/>
      <c r="M19" s="2889"/>
      <c r="N19" s="2889"/>
      <c r="O19" s="2889"/>
      <c r="P19" s="3544"/>
      <c r="Q19" s="1484"/>
      <c r="R19" s="711"/>
      <c r="S19" s="712"/>
      <c r="T19" s="711"/>
      <c r="U19" s="712"/>
      <c r="V19" s="711"/>
      <c r="W19" s="712"/>
      <c r="X19" s="1487"/>
      <c r="Y19" s="3544"/>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44"/>
      <c r="Q20" s="1484" t="str">
        <f>B20</f>
        <v>自然及人文环境</v>
      </c>
      <c r="R20" s="711" t="s">
        <v>17</v>
      </c>
      <c r="S20" s="712">
        <f>F20</f>
        <v>100</v>
      </c>
      <c r="T20" s="711" t="s">
        <v>17</v>
      </c>
      <c r="U20" s="712">
        <f>H20</f>
        <v>100</v>
      </c>
      <c r="V20" s="711" t="s">
        <v>17</v>
      </c>
      <c r="W20" s="712">
        <f>J20</f>
        <v>100</v>
      </c>
      <c r="X20" s="1487"/>
      <c r="Y20" s="3544"/>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5"/>
      <c r="M21" s="2889"/>
      <c r="N21" s="2889"/>
      <c r="O21" s="2889"/>
      <c r="P21" s="3544"/>
      <c r="Q21" s="1484"/>
      <c r="R21" s="711"/>
      <c r="S21" s="712"/>
      <c r="T21" s="711"/>
      <c r="U21" s="712"/>
      <c r="V21" s="711"/>
      <c r="W21" s="712"/>
      <c r="X21" s="1487"/>
      <c r="Y21" s="3544"/>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44"/>
      <c r="Q22" s="1484" t="str">
        <f>B22</f>
        <v>楼层</v>
      </c>
      <c r="R22" s="711" t="s">
        <v>17</v>
      </c>
      <c r="S22" s="712">
        <f>F22</f>
        <v>100</v>
      </c>
      <c r="T22" s="711" t="s">
        <v>17</v>
      </c>
      <c r="U22" s="712">
        <f>H22</f>
        <v>100</v>
      </c>
      <c r="V22" s="711" t="s">
        <v>17</v>
      </c>
      <c r="W22" s="712">
        <f>J22</f>
        <v>100</v>
      </c>
      <c r="X22" s="1487"/>
      <c r="Y22" s="3544"/>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44"/>
      <c r="Q23" s="1484">
        <f>B23</f>
        <v>111</v>
      </c>
      <c r="R23" s="711" t="s">
        <v>17</v>
      </c>
      <c r="S23" s="712">
        <f>F23</f>
        <v>100</v>
      </c>
      <c r="T23" s="711" t="s">
        <v>17</v>
      </c>
      <c r="U23" s="712">
        <f>H23</f>
        <v>100</v>
      </c>
      <c r="V23" s="711" t="s">
        <v>17</v>
      </c>
      <c r="W23" s="712">
        <f>J23</f>
        <v>100</v>
      </c>
      <c r="X23" s="1487"/>
      <c r="Y23" s="3544"/>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44"/>
      <c r="Q24" s="1484">
        <f t="shared" ref="Q24:Q36" si="11">B24</f>
        <v>111</v>
      </c>
      <c r="R24" s="711" t="s">
        <v>17</v>
      </c>
      <c r="S24" s="712">
        <f>F24</f>
        <v>100</v>
      </c>
      <c r="T24" s="711" t="s">
        <v>17</v>
      </c>
      <c r="U24" s="712">
        <f>H24</f>
        <v>100</v>
      </c>
      <c r="V24" s="711" t="s">
        <v>17</v>
      </c>
      <c r="W24" s="712">
        <f>J24</f>
        <v>100</v>
      </c>
      <c r="X24" s="1487"/>
      <c r="Y24" s="3544"/>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0"/>
      <c r="M25" s="2891"/>
      <c r="N25" s="2891"/>
      <c r="O25" s="2891"/>
      <c r="P25" s="3544"/>
      <c r="Q25" s="1475">
        <f t="shared" si="11"/>
        <v>111</v>
      </c>
      <c r="R25" s="707" t="s">
        <v>17</v>
      </c>
      <c r="S25" s="708">
        <f>F25</f>
        <v>100</v>
      </c>
      <c r="T25" s="707" t="s">
        <v>17</v>
      </c>
      <c r="U25" s="708">
        <f>H25</f>
        <v>100</v>
      </c>
      <c r="V25" s="707" t="s">
        <v>17</v>
      </c>
      <c r="W25" s="708">
        <f>J25</f>
        <v>100</v>
      </c>
      <c r="X25" s="709"/>
      <c r="Y25" s="3544"/>
      <c r="Z25" s="55">
        <f>Q25</f>
        <v>111</v>
      </c>
      <c r="AA25" s="1485">
        <f>D25/F25</f>
        <v>1</v>
      </c>
      <c r="AB25" s="1485">
        <f>D25/H25</f>
        <v>1</v>
      </c>
      <c r="AC25" s="1485">
        <f>D25/J25</f>
        <v>1</v>
      </c>
    </row>
    <row r="26" spans="1:29" ht="28.5">
      <c r="A26" s="607"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92"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48"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4"/>
      <c r="M27" s="2896"/>
      <c r="N27" s="2896"/>
      <c r="O27" s="2896"/>
      <c r="P27" s="3548"/>
      <c r="Q27" s="713" t="str">
        <f t="shared" si="11"/>
        <v>项目停车位配比</v>
      </c>
      <c r="R27" s="714" t="s">
        <v>17</v>
      </c>
      <c r="S27" s="715">
        <f t="shared" si="12"/>
        <v>100</v>
      </c>
      <c r="T27" s="714" t="s">
        <v>17</v>
      </c>
      <c r="U27" s="715">
        <f t="shared" si="13"/>
        <v>100</v>
      </c>
      <c r="V27" s="714" t="s">
        <v>17</v>
      </c>
      <c r="W27" s="715">
        <f t="shared" si="14"/>
        <v>100</v>
      </c>
      <c r="X27" s="716"/>
      <c r="Y27" s="3548"/>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48"/>
      <c r="Q28" s="1484" t="str">
        <f t="shared" si="11"/>
        <v>公共部分装修</v>
      </c>
      <c r="R28" s="711" t="s">
        <v>17</v>
      </c>
      <c r="S28" s="712">
        <f t="shared" si="12"/>
        <v>100</v>
      </c>
      <c r="T28" s="711" t="s">
        <v>17</v>
      </c>
      <c r="U28" s="712">
        <f t="shared" si="13"/>
        <v>100</v>
      </c>
      <c r="V28" s="711" t="s">
        <v>17</v>
      </c>
      <c r="W28" s="712">
        <f t="shared" si="14"/>
        <v>100</v>
      </c>
      <c r="X28" s="1487"/>
      <c r="Y28" s="3548"/>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48"/>
      <c r="Q29" s="1484" t="str">
        <f t="shared" si="11"/>
        <v>成新率</v>
      </c>
      <c r="R29" s="711" t="s">
        <v>17</v>
      </c>
      <c r="S29" s="712" t="e">
        <f t="shared" si="12"/>
        <v>#N/A</v>
      </c>
      <c r="T29" s="711" t="s">
        <v>17</v>
      </c>
      <c r="U29" s="712" t="e">
        <f t="shared" si="13"/>
        <v>#N/A</v>
      </c>
      <c r="V29" s="711" t="s">
        <v>17</v>
      </c>
      <c r="W29" s="712" t="e">
        <f t="shared" si="14"/>
        <v>#N/A</v>
      </c>
      <c r="X29" s="1487"/>
      <c r="Y29" s="3548"/>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5"/>
      <c r="M30" s="2889"/>
      <c r="N30" s="2889"/>
      <c r="O30" s="2889"/>
      <c r="P30" s="3548"/>
      <c r="Q30" s="1484" t="str">
        <f t="shared" si="11"/>
        <v>物业等级</v>
      </c>
      <c r="R30" s="711" t="s">
        <v>17</v>
      </c>
      <c r="S30" s="712">
        <f t="shared" si="12"/>
        <v>100</v>
      </c>
      <c r="T30" s="711" t="s">
        <v>17</v>
      </c>
      <c r="U30" s="712">
        <f t="shared" si="13"/>
        <v>100</v>
      </c>
      <c r="V30" s="711" t="s">
        <v>17</v>
      </c>
      <c r="W30" s="712">
        <f t="shared" si="14"/>
        <v>100</v>
      </c>
      <c r="X30" s="1487"/>
      <c r="Y30" s="3548"/>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48"/>
      <c r="Q31" s="1475" t="str">
        <f t="shared" si="11"/>
        <v>停车位面积</v>
      </c>
      <c r="R31" s="707" t="s">
        <v>17</v>
      </c>
      <c r="S31" s="708" t="e">
        <f t="shared" si="12"/>
        <v>#N/A</v>
      </c>
      <c r="T31" s="707" t="s">
        <v>17</v>
      </c>
      <c r="U31" s="708" t="e">
        <f t="shared" si="13"/>
        <v>#N/A</v>
      </c>
      <c r="V31" s="707" t="s">
        <v>17</v>
      </c>
      <c r="W31" s="708" t="e">
        <f t="shared" si="14"/>
        <v>#N/A</v>
      </c>
      <c r="X31" s="709"/>
      <c r="Y31" s="3548"/>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48" t="s">
        <v>2145</v>
      </c>
      <c r="Q32" s="1484" t="str">
        <f t="shared" si="11"/>
        <v>车位类型</v>
      </c>
      <c r="R32" s="711" t="s">
        <v>17</v>
      </c>
      <c r="S32" s="712">
        <f t="shared" si="12"/>
        <v>100</v>
      </c>
      <c r="T32" s="711" t="s">
        <v>17</v>
      </c>
      <c r="U32" s="712">
        <f t="shared" si="13"/>
        <v>100</v>
      </c>
      <c r="V32" s="711" t="s">
        <v>17</v>
      </c>
      <c r="W32" s="712">
        <f t="shared" si="14"/>
        <v>100</v>
      </c>
      <c r="X32" s="1487"/>
      <c r="Y32" s="3548"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48"/>
      <c r="Q33" s="1484" t="str">
        <f t="shared" si="11"/>
        <v>是否直接入户</v>
      </c>
      <c r="R33" s="711" t="s">
        <v>17</v>
      </c>
      <c r="S33" s="712">
        <f t="shared" si="12"/>
        <v>100</v>
      </c>
      <c r="T33" s="711" t="s">
        <v>17</v>
      </c>
      <c r="U33" s="712">
        <f t="shared" si="13"/>
        <v>100</v>
      </c>
      <c r="V33" s="711" t="s">
        <v>17</v>
      </c>
      <c r="W33" s="712">
        <f t="shared" si="14"/>
        <v>100</v>
      </c>
      <c r="X33" s="1487"/>
      <c r="Y33" s="3548"/>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48"/>
      <c r="Q34" s="1484">
        <f t="shared" si="11"/>
        <v>111</v>
      </c>
      <c r="R34" s="711" t="s">
        <v>17</v>
      </c>
      <c r="S34" s="712">
        <f t="shared" si="12"/>
        <v>100</v>
      </c>
      <c r="T34" s="711" t="s">
        <v>17</v>
      </c>
      <c r="U34" s="712">
        <f t="shared" si="13"/>
        <v>100</v>
      </c>
      <c r="V34" s="711" t="s">
        <v>17</v>
      </c>
      <c r="W34" s="712">
        <f t="shared" si="14"/>
        <v>100</v>
      </c>
      <c r="X34" s="1487"/>
      <c r="Y34" s="3548"/>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48"/>
      <c r="Q35" s="713">
        <f t="shared" si="11"/>
        <v>111</v>
      </c>
      <c r="R35" s="714" t="s">
        <v>17</v>
      </c>
      <c r="S35" s="715">
        <f t="shared" si="12"/>
        <v>100</v>
      </c>
      <c r="T35" s="714" t="s">
        <v>17</v>
      </c>
      <c r="U35" s="715">
        <f t="shared" si="13"/>
        <v>100</v>
      </c>
      <c r="V35" s="714" t="s">
        <v>17</v>
      </c>
      <c r="W35" s="715">
        <f t="shared" si="14"/>
        <v>100</v>
      </c>
      <c r="X35" s="716"/>
      <c r="Y35" s="3548"/>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48"/>
      <c r="Q36" s="1484">
        <f t="shared" si="11"/>
        <v>111</v>
      </c>
      <c r="R36" s="711" t="s">
        <v>17</v>
      </c>
      <c r="S36" s="712">
        <f t="shared" si="12"/>
        <v>100</v>
      </c>
      <c r="T36" s="711" t="s">
        <v>17</v>
      </c>
      <c r="U36" s="712">
        <f t="shared" si="13"/>
        <v>100</v>
      </c>
      <c r="V36" s="711" t="s">
        <v>17</v>
      </c>
      <c r="W36" s="712">
        <f t="shared" si="14"/>
        <v>100</v>
      </c>
      <c r="X36" s="1487"/>
      <c r="Y36" s="3548"/>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5"/>
      <c r="L37" s="2897"/>
      <c r="M37" s="2898"/>
      <c r="N37" s="2889"/>
      <c r="O37" s="2898"/>
      <c r="P37" s="3550" t="str">
        <f>A37</f>
        <v>成交单价</v>
      </c>
      <c r="Q37" s="3550"/>
      <c r="R37" s="3551">
        <f>E37</f>
        <v>0</v>
      </c>
      <c r="S37" s="3551"/>
      <c r="T37" s="3551">
        <f>G37</f>
        <v>0</v>
      </c>
      <c r="U37" s="3551"/>
      <c r="V37" s="3551">
        <f>I37</f>
        <v>0</v>
      </c>
      <c r="W37" s="3551"/>
      <c r="X37" s="696"/>
      <c r="Y37" s="718"/>
      <c r="Z37" s="696"/>
      <c r="AA37" s="696"/>
      <c r="AB37" s="696"/>
      <c r="AC37" s="696"/>
    </row>
    <row r="38" spans="1:29" ht="15.75" thickBot="1">
      <c r="A38" s="445" t="s">
        <v>2302</v>
      </c>
      <c r="B38" s="446" t="str">
        <f>B37</f>
        <v>元/车位</v>
      </c>
      <c r="C38" s="1272" t="e">
        <f>R39</f>
        <v>#DIV/0!</v>
      </c>
      <c r="D38" s="2485" t="s">
        <v>2636</v>
      </c>
      <c r="E38" s="1273" t="e">
        <f>R38</f>
        <v>#DIV/0!</v>
      </c>
      <c r="F38" s="2486"/>
      <c r="G38" s="1272" t="e">
        <f>T38</f>
        <v>#DIV/0!</v>
      </c>
      <c r="H38" s="2486"/>
      <c r="I38" s="1273" t="e">
        <f>V38</f>
        <v>#DIV/0!</v>
      </c>
      <c r="J38" s="2486"/>
      <c r="K38" s="2488">
        <f>F38+H38+J38</f>
        <v>0</v>
      </c>
      <c r="L38" s="2897"/>
      <c r="M38" s="2898"/>
      <c r="N38" s="2898"/>
      <c r="O38" s="2898"/>
      <c r="P38" s="3550" t="str">
        <f>A38</f>
        <v>比较价值（元/平方米）</v>
      </c>
      <c r="Q38" s="355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7"/>
      <c r="M39" s="2898"/>
      <c r="N39" s="2898"/>
      <c r="O39" s="2898"/>
      <c r="P39" s="3589" t="str">
        <f>A39</f>
        <v>估价对象XX用房的比较价值（楼面单价，元/平方米）</v>
      </c>
      <c r="Q39" s="3590"/>
      <c r="R39" s="3593" t="e">
        <f>IF(F1="售价",ROUND(IF(D38="简单平均",AVERAGE(R38:W38),R38*F38+T38*H38+V38*J38),0),ROUND(IF(D38="简单平均",AVERAGE(R38:V38),R38*F38+T38*H38+V38*J38),1))</f>
        <v>#DIV/0!</v>
      </c>
      <c r="S39" s="3593"/>
      <c r="T39" s="3593"/>
      <c r="U39" s="3593"/>
      <c r="V39" s="3593"/>
      <c r="W39" s="3593"/>
      <c r="X39" s="696"/>
      <c r="Y39" s="696"/>
      <c r="Z39" s="696"/>
      <c r="AA39" s="696"/>
      <c r="AB39" s="696"/>
      <c r="AC39" s="696"/>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2307</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2165</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2130</v>
      </c>
      <c r="B51" s="467"/>
      <c r="C51" s="479" t="s">
        <v>2232</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4">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2168</v>
      </c>
      <c r="B53" s="485" t="s">
        <v>2134</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5">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2183</v>
      </c>
      <c r="C65" s="535" t="s">
        <v>2177</v>
      </c>
      <c r="D65" s="535" t="s">
        <v>2178</v>
      </c>
      <c r="E65" s="535" t="s">
        <v>2179</v>
      </c>
      <c r="F65" s="535" t="s">
        <v>2180</v>
      </c>
      <c r="G65" s="535" t="s">
        <v>2181</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2269</v>
      </c>
      <c r="C67" s="615" t="s">
        <v>2255</v>
      </c>
      <c r="D67" s="615" t="s">
        <v>2256</v>
      </c>
      <c r="E67" s="615" t="s">
        <v>2257</v>
      </c>
      <c r="F67" s="615" t="s">
        <v>2258</v>
      </c>
      <c r="G67" s="615" t="s">
        <v>2259</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2189</v>
      </c>
      <c r="C69" s="535" t="s">
        <v>2177</v>
      </c>
      <c r="D69" s="535" t="s">
        <v>2178</v>
      </c>
      <c r="E69" s="535" t="s">
        <v>2179</v>
      </c>
      <c r="F69" s="535" t="s">
        <v>2180</v>
      </c>
      <c r="G69" s="535" t="s">
        <v>2181</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2309</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2143</v>
      </c>
      <c r="B79" s="485" t="s">
        <v>2310</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2311</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2196</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2313</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2315</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2316</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1">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25" t="s">
        <v>2226</v>
      </c>
      <c r="D4" s="3526"/>
      <c r="E4" s="3527" t="s">
        <v>2227</v>
      </c>
      <c r="F4" s="3528"/>
      <c r="G4" s="3525" t="s">
        <v>2228</v>
      </c>
      <c r="H4" s="3526"/>
      <c r="I4" s="3525" t="s">
        <v>2229</v>
      </c>
      <c r="J4" s="3526"/>
      <c r="K4" s="567" t="s">
        <v>2230</v>
      </c>
      <c r="L4" s="2888"/>
      <c r="M4" s="2889"/>
      <c r="N4" s="2889"/>
      <c r="O4" s="2889"/>
      <c r="P4" s="3585" t="s">
        <v>2231</v>
      </c>
      <c r="Q4" s="3586"/>
      <c r="R4" s="3582" t="s">
        <v>2227</v>
      </c>
      <c r="S4" s="3583"/>
      <c r="T4" s="3582" t="s">
        <v>2228</v>
      </c>
      <c r="U4" s="3583"/>
      <c r="V4" s="3538" t="s">
        <v>2229</v>
      </c>
      <c r="W4" s="3538"/>
      <c r="X4" s="1487"/>
      <c r="Y4" s="3582" t="s">
        <v>2231</v>
      </c>
      <c r="Z4" s="3583"/>
      <c r="AA4" s="3581" t="s">
        <v>2227</v>
      </c>
      <c r="AB4" s="3504" t="s">
        <v>2228</v>
      </c>
      <c r="AC4" s="3581" t="s">
        <v>2229</v>
      </c>
    </row>
    <row r="5" spans="1:29" ht="15">
      <c r="A5" s="364"/>
      <c r="B5" s="365"/>
      <c r="C5" s="3514" t="s">
        <v>2122</v>
      </c>
      <c r="D5" s="3515"/>
      <c r="E5" s="3584" t="s">
        <v>2123</v>
      </c>
      <c r="F5" s="3513"/>
      <c r="G5" s="3514" t="s">
        <v>2124</v>
      </c>
      <c r="H5" s="3515"/>
      <c r="I5" s="3514" t="s">
        <v>2125</v>
      </c>
      <c r="J5" s="3515"/>
      <c r="K5" s="567"/>
      <c r="L5" s="2888"/>
      <c r="M5" s="2889"/>
      <c r="N5" s="2889"/>
      <c r="O5" s="2889"/>
      <c r="P5" s="3587"/>
      <c r="Q5" s="3532"/>
      <c r="R5" s="3510"/>
      <c r="S5" s="3511"/>
      <c r="T5" s="3510"/>
      <c r="U5" s="3511"/>
      <c r="V5" s="3538"/>
      <c r="W5" s="3538"/>
      <c r="X5" s="1487"/>
      <c r="Y5" s="3510"/>
      <c r="Z5" s="3511"/>
      <c r="AA5" s="3504"/>
      <c r="AB5" s="3504"/>
      <c r="AC5" s="3504"/>
    </row>
    <row r="6" spans="1:29" ht="15.75" thickBot="1">
      <c r="A6" s="366"/>
      <c r="B6" s="367"/>
      <c r="C6" s="3516" t="s">
        <v>2126</v>
      </c>
      <c r="D6" s="3517"/>
      <c r="E6" s="3519" t="s">
        <v>2126</v>
      </c>
      <c r="F6" s="3520"/>
      <c r="G6" s="3516" t="s">
        <v>2126</v>
      </c>
      <c r="H6" s="3517"/>
      <c r="I6" s="3516" t="s">
        <v>2126</v>
      </c>
      <c r="J6" s="3517"/>
      <c r="K6" s="567" t="s">
        <v>2127</v>
      </c>
      <c r="L6" s="2888"/>
      <c r="M6" s="2889"/>
      <c r="N6" s="2889"/>
      <c r="O6" s="2889"/>
      <c r="P6" s="3588"/>
      <c r="Q6" s="3534"/>
      <c r="R6" s="3510"/>
      <c r="S6" s="3511"/>
      <c r="T6" s="3535"/>
      <c r="U6" s="3536"/>
      <c r="V6" s="3538"/>
      <c r="W6" s="3538"/>
      <c r="X6" s="1487"/>
      <c r="Y6" s="3535"/>
      <c r="Z6" s="3536"/>
      <c r="AA6" s="3505"/>
      <c r="AB6" s="3505"/>
      <c r="AC6" s="3505"/>
    </row>
    <row r="7" spans="1:29" s="113" customFormat="1" ht="15.75" thickBot="1">
      <c r="A7" s="368" t="s">
        <v>2128</v>
      </c>
      <c r="B7" s="369"/>
      <c r="C7" s="370">
        <f>'数据-取费表'!B2</f>
        <v>44798</v>
      </c>
      <c r="D7" s="371">
        <v>100</v>
      </c>
      <c r="E7" s="372"/>
      <c r="F7" s="373">
        <f>SUMIF(46:46,YEAR(E7)&amp;"-"&amp;MONTH(E7),47:47)</f>
        <v>0</v>
      </c>
      <c r="G7" s="2107"/>
      <c r="H7" s="371">
        <f>SUMIF(46:46,YEAR(G7)&amp;"-"&amp;MONTH(G7),47:47)</f>
        <v>0</v>
      </c>
      <c r="I7" s="372"/>
      <c r="J7" s="371">
        <f>SUMIF(46:46,YEAR(I7)&amp;"-"&amp;MONTH(I7),47:47)</f>
        <v>0</v>
      </c>
      <c r="K7" s="568"/>
      <c r="L7" s="2890"/>
      <c r="M7" s="2891"/>
      <c r="N7" s="2891"/>
      <c r="O7" s="2891"/>
      <c r="P7" s="3506" t="s">
        <v>2129</v>
      </c>
      <c r="Q7" s="3540"/>
      <c r="R7" s="707" t="s">
        <v>17</v>
      </c>
      <c r="S7" s="708">
        <f t="shared" ref="S7:S14" si="0">F7</f>
        <v>0</v>
      </c>
      <c r="T7" s="707" t="s">
        <v>17</v>
      </c>
      <c r="U7" s="708">
        <f t="shared" ref="U7:U14" si="1">H7</f>
        <v>0</v>
      </c>
      <c r="V7" s="707" t="s">
        <v>17</v>
      </c>
      <c r="W7" s="708">
        <f t="shared" ref="W7:W14" si="2">J7</f>
        <v>0</v>
      </c>
      <c r="X7" s="709"/>
      <c r="Y7" s="3506" t="s">
        <v>2129</v>
      </c>
      <c r="Z7" s="3507"/>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06" t="s">
        <v>2132</v>
      </c>
      <c r="Q8" s="3507"/>
      <c r="R8" s="707" t="s">
        <v>17</v>
      </c>
      <c r="S8" s="708">
        <f t="shared" si="0"/>
        <v>0</v>
      </c>
      <c r="T8" s="707" t="s">
        <v>17</v>
      </c>
      <c r="U8" s="708">
        <f t="shared" si="1"/>
        <v>0</v>
      </c>
      <c r="V8" s="707" t="s">
        <v>17</v>
      </c>
      <c r="W8" s="708">
        <f t="shared" si="2"/>
        <v>0</v>
      </c>
      <c r="X8" s="709"/>
      <c r="Y8" s="3506" t="s">
        <v>2132</v>
      </c>
      <c r="Z8" s="3507"/>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50" t="s">
        <v>2135</v>
      </c>
      <c r="Q9" s="1475" t="str">
        <f t="shared" ref="Q9:Q14" si="6">B9</f>
        <v>用途</v>
      </c>
      <c r="R9" s="707" t="s">
        <v>17</v>
      </c>
      <c r="S9" s="708">
        <f t="shared" si="0"/>
        <v>100</v>
      </c>
      <c r="T9" s="707" t="s">
        <v>17</v>
      </c>
      <c r="U9" s="708">
        <f t="shared" si="1"/>
        <v>100</v>
      </c>
      <c r="V9" s="707" t="s">
        <v>17</v>
      </c>
      <c r="W9" s="708">
        <f t="shared" si="2"/>
        <v>100</v>
      </c>
      <c r="X9" s="709"/>
      <c r="Y9" s="3476"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50"/>
      <c r="Q10" s="1475" t="str">
        <f t="shared" si="6"/>
        <v>土地使用年限（年）</v>
      </c>
      <c r="R10" s="707" t="s">
        <v>17</v>
      </c>
      <c r="S10" s="708">
        <f t="shared" si="0"/>
        <v>100</v>
      </c>
      <c r="T10" s="707" t="s">
        <v>17</v>
      </c>
      <c r="U10" s="708">
        <f t="shared" si="1"/>
        <v>100</v>
      </c>
      <c r="V10" s="707" t="s">
        <v>17</v>
      </c>
      <c r="W10" s="708">
        <f t="shared" si="2"/>
        <v>100</v>
      </c>
      <c r="X10" s="709"/>
      <c r="Y10" s="3476"/>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50"/>
      <c r="Q11" s="1475">
        <f t="shared" si="6"/>
        <v>111</v>
      </c>
      <c r="R11" s="707" t="s">
        <v>17</v>
      </c>
      <c r="S11" s="708">
        <f t="shared" si="0"/>
        <v>100</v>
      </c>
      <c r="T11" s="707" t="s">
        <v>17</v>
      </c>
      <c r="U11" s="708">
        <f t="shared" si="1"/>
        <v>100</v>
      </c>
      <c r="V11" s="707" t="s">
        <v>17</v>
      </c>
      <c r="W11" s="708">
        <f t="shared" si="2"/>
        <v>100</v>
      </c>
      <c r="X11" s="709"/>
      <c r="Y11" s="3476"/>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50"/>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8"/>
      <c r="H13" s="397">
        <f>SUMIF(59:59,G13,60:60)-SUMIF(59:59,C13,60:60)+100</f>
        <v>100</v>
      </c>
      <c r="I13" s="428"/>
      <c r="J13" s="394">
        <f>SUMIF(59:59,I13,60:60)-SUMIF(59:59,C13,60:60)+100</f>
        <v>100</v>
      </c>
      <c r="K13" s="570"/>
      <c r="L13" s="2895"/>
      <c r="M13" s="2889"/>
      <c r="N13" s="2889"/>
      <c r="O13" s="2947"/>
      <c r="P13" s="3550"/>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710">
        <f t="shared" si="5"/>
        <v>1</v>
      </c>
    </row>
    <row r="14" spans="1:29" ht="142.5">
      <c r="A14" s="399" t="s">
        <v>2139</v>
      </c>
      <c r="B14" s="65"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43" t="s">
        <v>2140</v>
      </c>
      <c r="Q14" s="1484" t="str">
        <f t="shared" si="6"/>
        <v>交通便捷度</v>
      </c>
      <c r="R14" s="711" t="s">
        <v>17</v>
      </c>
      <c r="S14" s="712">
        <f t="shared" si="0"/>
        <v>100</v>
      </c>
      <c r="T14" s="711" t="s">
        <v>17</v>
      </c>
      <c r="U14" s="712">
        <f t="shared" si="1"/>
        <v>100</v>
      </c>
      <c r="V14" s="711" t="s">
        <v>17</v>
      </c>
      <c r="W14" s="712">
        <f t="shared" si="2"/>
        <v>100</v>
      </c>
      <c r="X14" s="1487"/>
      <c r="Y14" s="3543"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544"/>
      <c r="Q15" s="1484"/>
      <c r="R15" s="711"/>
      <c r="S15" s="712"/>
      <c r="T15" s="711"/>
      <c r="U15" s="712"/>
      <c r="V15" s="711"/>
      <c r="W15" s="712"/>
      <c r="X15" s="1487"/>
      <c r="Y15" s="3544"/>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44"/>
      <c r="Q16" s="1484" t="str">
        <f>B16</f>
        <v>公共配套设施</v>
      </c>
      <c r="R16" s="711" t="s">
        <v>17</v>
      </c>
      <c r="S16" s="712">
        <f>F16</f>
        <v>100</v>
      </c>
      <c r="T16" s="711" t="s">
        <v>17</v>
      </c>
      <c r="U16" s="712">
        <f>H16</f>
        <v>100</v>
      </c>
      <c r="V16" s="711" t="s">
        <v>17</v>
      </c>
      <c r="W16" s="712">
        <f>J16</f>
        <v>100</v>
      </c>
      <c r="X16" s="1487"/>
      <c r="Y16" s="3544"/>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5"/>
      <c r="M17" s="2889"/>
      <c r="N17" s="2889"/>
      <c r="O17" s="2947"/>
      <c r="P17" s="3544"/>
      <c r="Q17" s="1484"/>
      <c r="R17" s="711"/>
      <c r="S17" s="712"/>
      <c r="T17" s="711"/>
      <c r="U17" s="712"/>
      <c r="V17" s="711"/>
      <c r="W17" s="712"/>
      <c r="X17" s="1487"/>
      <c r="Y17" s="3544"/>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44"/>
      <c r="Q18" s="1484" t="str">
        <f>B18</f>
        <v>基础设施水平</v>
      </c>
      <c r="R18" s="711" t="s">
        <v>17</v>
      </c>
      <c r="S18" s="712">
        <f>F18</f>
        <v>100</v>
      </c>
      <c r="T18" s="711" t="s">
        <v>17</v>
      </c>
      <c r="U18" s="712">
        <f>H18</f>
        <v>100</v>
      </c>
      <c r="V18" s="711" t="s">
        <v>17</v>
      </c>
      <c r="W18" s="712">
        <f>J18</f>
        <v>100</v>
      </c>
      <c r="X18" s="1487"/>
      <c r="Y18" s="3544"/>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5"/>
      <c r="M19" s="2889"/>
      <c r="N19" s="2889"/>
      <c r="O19" s="2947"/>
      <c r="P19" s="3544"/>
      <c r="Q19" s="1484"/>
      <c r="R19" s="711"/>
      <c r="S19" s="712"/>
      <c r="T19" s="711"/>
      <c r="U19" s="712"/>
      <c r="V19" s="711"/>
      <c r="W19" s="712"/>
      <c r="X19" s="1487"/>
      <c r="Y19" s="3544"/>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44"/>
      <c r="Q20" s="1484" t="str">
        <f>B20</f>
        <v>自然及人文环境</v>
      </c>
      <c r="R20" s="711" t="s">
        <v>17</v>
      </c>
      <c r="S20" s="712">
        <f>F20</f>
        <v>100</v>
      </c>
      <c r="T20" s="711" t="s">
        <v>17</v>
      </c>
      <c r="U20" s="712">
        <f>H20</f>
        <v>100</v>
      </c>
      <c r="V20" s="711" t="s">
        <v>17</v>
      </c>
      <c r="W20" s="712">
        <f>J20</f>
        <v>100</v>
      </c>
      <c r="X20" s="1487"/>
      <c r="Y20" s="3544"/>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544"/>
      <c r="Q21" s="1484"/>
      <c r="R21" s="711"/>
      <c r="S21" s="712"/>
      <c r="T21" s="711"/>
      <c r="U21" s="712"/>
      <c r="V21" s="711"/>
      <c r="W21" s="712"/>
      <c r="X21" s="1487"/>
      <c r="Y21" s="3544"/>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44"/>
      <c r="Q22" s="1484" t="str">
        <f>B22</f>
        <v>楼层</v>
      </c>
      <c r="R22" s="711" t="s">
        <v>17</v>
      </c>
      <c r="S22" s="712">
        <f>F22</f>
        <v>100</v>
      </c>
      <c r="T22" s="711" t="s">
        <v>17</v>
      </c>
      <c r="U22" s="712">
        <f>H22</f>
        <v>100</v>
      </c>
      <c r="V22" s="711" t="s">
        <v>17</v>
      </c>
      <c r="W22" s="712">
        <f>J22</f>
        <v>100</v>
      </c>
      <c r="X22" s="1487"/>
      <c r="Y22" s="3544"/>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44"/>
      <c r="Q23" s="1484">
        <f>B23</f>
        <v>111</v>
      </c>
      <c r="R23" s="711" t="s">
        <v>17</v>
      </c>
      <c r="S23" s="712">
        <f>F23</f>
        <v>100</v>
      </c>
      <c r="T23" s="711" t="s">
        <v>17</v>
      </c>
      <c r="U23" s="712">
        <f>H23</f>
        <v>100</v>
      </c>
      <c r="V23" s="711" t="s">
        <v>17</v>
      </c>
      <c r="W23" s="712">
        <f>J23</f>
        <v>100</v>
      </c>
      <c r="X23" s="1487"/>
      <c r="Y23" s="3544"/>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44"/>
      <c r="Q24" s="1484">
        <f t="shared" ref="Q24:Q34" si="11">B24</f>
        <v>111</v>
      </c>
      <c r="R24" s="711" t="s">
        <v>17</v>
      </c>
      <c r="S24" s="712">
        <f>F24</f>
        <v>100</v>
      </c>
      <c r="T24" s="711" t="s">
        <v>17</v>
      </c>
      <c r="U24" s="712">
        <f>H24</f>
        <v>100</v>
      </c>
      <c r="V24" s="711" t="s">
        <v>17</v>
      </c>
      <c r="W24" s="712">
        <f>J24</f>
        <v>100</v>
      </c>
      <c r="X24" s="1487"/>
      <c r="Y24" s="3544"/>
      <c r="Z24" s="1488">
        <f>Q24</f>
        <v>111</v>
      </c>
      <c r="AA24" s="1485">
        <f t="shared" si="3"/>
        <v>1</v>
      </c>
      <c r="AB24" s="1485">
        <f t="shared" si="4"/>
        <v>1</v>
      </c>
      <c r="AC24" s="1485">
        <f t="shared" si="5"/>
        <v>1</v>
      </c>
    </row>
    <row r="25" spans="1:29" s="113" customFormat="1" ht="15.75" thickBot="1">
      <c r="A25" s="390"/>
      <c r="B25" s="2027">
        <v>111</v>
      </c>
      <c r="C25" s="2109"/>
      <c r="D25" s="620">
        <v>100</v>
      </c>
      <c r="E25" s="2109"/>
      <c r="F25" s="621">
        <f>SUMIF(75:75,E25,76:76)-SUMIF(75:75,C25,76:76)+100</f>
        <v>100</v>
      </c>
      <c r="G25" s="2109"/>
      <c r="H25" s="620">
        <f>SUMIF(75:75,G25,76:76)-SUMIF(75:75,C25,76:76)+100</f>
        <v>100</v>
      </c>
      <c r="I25" s="2109"/>
      <c r="J25" s="620">
        <f>SUMIF(75:75,I25,76:76)-SUMIF(75:75,C25,76:76)+100</f>
        <v>100</v>
      </c>
      <c r="K25" s="570"/>
      <c r="L25" s="2890"/>
      <c r="M25" s="2891"/>
      <c r="N25" s="2891"/>
      <c r="O25" s="2945"/>
      <c r="P25" s="3544"/>
      <c r="Q25" s="1475">
        <f t="shared" si="11"/>
        <v>111</v>
      </c>
      <c r="R25" s="707" t="s">
        <v>17</v>
      </c>
      <c r="S25" s="708">
        <f>F25</f>
        <v>100</v>
      </c>
      <c r="T25" s="707" t="s">
        <v>17</v>
      </c>
      <c r="U25" s="708">
        <f>H25</f>
        <v>100</v>
      </c>
      <c r="V25" s="707" t="s">
        <v>17</v>
      </c>
      <c r="W25" s="708">
        <f>J25</f>
        <v>100</v>
      </c>
      <c r="X25" s="709"/>
      <c r="Y25" s="3544"/>
      <c r="Z25" s="55">
        <f>Q25</f>
        <v>111</v>
      </c>
      <c r="AA25" s="1485">
        <f>D25/F25</f>
        <v>1</v>
      </c>
      <c r="AB25" s="1485">
        <f>D25/H25</f>
        <v>1</v>
      </c>
      <c r="AC25" s="1485">
        <f>D25/J25</f>
        <v>1</v>
      </c>
    </row>
    <row r="26" spans="1:29" ht="28.5">
      <c r="A26" s="425" t="s">
        <v>2143</v>
      </c>
      <c r="B26" s="67" t="s">
        <v>2294</v>
      </c>
      <c r="C26" s="2100"/>
      <c r="D26" s="426">
        <v>100</v>
      </c>
      <c r="E26" s="2100"/>
      <c r="F26" s="622">
        <f>SUMIF(77:77,E26,78:78)-SUMIF(77:77,C26,78:78)+100</f>
        <v>100</v>
      </c>
      <c r="G26" s="2100"/>
      <c r="H26" s="426">
        <f>SUMIF(77:77,G26,78:78)-SUMIF(77:77,C26,78:78)+100</f>
        <v>100</v>
      </c>
      <c r="I26" s="2100"/>
      <c r="J26" s="426">
        <f>SUMIF(77:77,I26,78:78)-SUMIF(77:77,C26,78:78)+100</f>
        <v>100</v>
      </c>
      <c r="K26" s="569"/>
      <c r="L26" s="2895"/>
      <c r="M26" s="2889"/>
      <c r="N26" s="2889"/>
      <c r="O26" s="2947"/>
      <c r="P26" s="3592"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48"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48"/>
      <c r="Q27" s="713" t="str">
        <f t="shared" si="11"/>
        <v>成新率</v>
      </c>
      <c r="R27" s="714" t="s">
        <v>17</v>
      </c>
      <c r="S27" s="715" t="e">
        <f t="shared" si="12"/>
        <v>#N/A</v>
      </c>
      <c r="T27" s="714" t="s">
        <v>17</v>
      </c>
      <c r="U27" s="715" t="e">
        <f t="shared" si="13"/>
        <v>#N/A</v>
      </c>
      <c r="V27" s="714" t="s">
        <v>17</v>
      </c>
      <c r="W27" s="715" t="e">
        <f t="shared" si="14"/>
        <v>#N/A</v>
      </c>
      <c r="X27" s="716"/>
      <c r="Y27" s="3548"/>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48"/>
      <c r="Q28" s="1484" t="str">
        <f t="shared" si="11"/>
        <v>物业等级</v>
      </c>
      <c r="R28" s="711" t="s">
        <v>17</v>
      </c>
      <c r="S28" s="712">
        <f t="shared" si="12"/>
        <v>100</v>
      </c>
      <c r="T28" s="711" t="s">
        <v>17</v>
      </c>
      <c r="U28" s="712">
        <f t="shared" si="13"/>
        <v>100</v>
      </c>
      <c r="V28" s="711" t="s">
        <v>17</v>
      </c>
      <c r="W28" s="712">
        <f t="shared" si="14"/>
        <v>100</v>
      </c>
      <c r="X28" s="1487"/>
      <c r="Y28" s="3548"/>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5"/>
      <c r="M29" s="2889"/>
      <c r="N29" s="2889"/>
      <c r="O29" s="2947"/>
      <c r="P29" s="3548"/>
      <c r="Q29" s="1484" t="str">
        <f t="shared" si="11"/>
        <v>有无电梯</v>
      </c>
      <c r="R29" s="711" t="s">
        <v>17</v>
      </c>
      <c r="S29" s="712">
        <f t="shared" si="12"/>
        <v>100</v>
      </c>
      <c r="T29" s="711" t="s">
        <v>17</v>
      </c>
      <c r="U29" s="712">
        <f t="shared" si="13"/>
        <v>100</v>
      </c>
      <c r="V29" s="711" t="s">
        <v>17</v>
      </c>
      <c r="W29" s="712">
        <f t="shared" si="14"/>
        <v>100</v>
      </c>
      <c r="X29" s="1487"/>
      <c r="Y29" s="3548"/>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48"/>
      <c r="Q30" s="1484" t="str">
        <f t="shared" si="11"/>
        <v>建筑面积</v>
      </c>
      <c r="R30" s="711" t="s">
        <v>17</v>
      </c>
      <c r="S30" s="712" t="e">
        <f t="shared" si="12"/>
        <v>#N/A</v>
      </c>
      <c r="T30" s="711" t="s">
        <v>17</v>
      </c>
      <c r="U30" s="712" t="e">
        <f t="shared" si="13"/>
        <v>#N/A</v>
      </c>
      <c r="V30" s="711" t="s">
        <v>17</v>
      </c>
      <c r="W30" s="712" t="e">
        <f t="shared" si="14"/>
        <v>#N/A</v>
      </c>
      <c r="X30" s="1487"/>
      <c r="Y30" s="3548"/>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0"/>
      <c r="M31" s="2891"/>
      <c r="N31" s="2891"/>
      <c r="O31" s="2945"/>
      <c r="P31" s="3548"/>
      <c r="Q31" s="1475" t="str">
        <f t="shared" si="11"/>
        <v>是否封闭</v>
      </c>
      <c r="R31" s="707" t="s">
        <v>17</v>
      </c>
      <c r="S31" s="708">
        <f t="shared" si="12"/>
        <v>100</v>
      </c>
      <c r="T31" s="707" t="s">
        <v>17</v>
      </c>
      <c r="U31" s="708">
        <f t="shared" si="13"/>
        <v>100</v>
      </c>
      <c r="V31" s="707" t="s">
        <v>17</v>
      </c>
      <c r="W31" s="708">
        <f t="shared" si="14"/>
        <v>100</v>
      </c>
      <c r="X31" s="709"/>
      <c r="Y31" s="3548"/>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48" t="s">
        <v>2145</v>
      </c>
      <c r="Q32" s="1484">
        <f t="shared" si="11"/>
        <v>111</v>
      </c>
      <c r="R32" s="711" t="s">
        <v>17</v>
      </c>
      <c r="S32" s="712">
        <f t="shared" si="12"/>
        <v>100</v>
      </c>
      <c r="T32" s="711" t="s">
        <v>17</v>
      </c>
      <c r="U32" s="712">
        <f t="shared" si="13"/>
        <v>100</v>
      </c>
      <c r="V32" s="711" t="s">
        <v>17</v>
      </c>
      <c r="W32" s="712">
        <f t="shared" si="14"/>
        <v>100</v>
      </c>
      <c r="X32" s="1487"/>
      <c r="Y32" s="3548"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48"/>
      <c r="Q33" s="1484">
        <f t="shared" si="11"/>
        <v>111</v>
      </c>
      <c r="R33" s="711" t="s">
        <v>17</v>
      </c>
      <c r="S33" s="712">
        <f t="shared" si="12"/>
        <v>100</v>
      </c>
      <c r="T33" s="711" t="s">
        <v>17</v>
      </c>
      <c r="U33" s="712">
        <f t="shared" si="13"/>
        <v>100</v>
      </c>
      <c r="V33" s="711" t="s">
        <v>17</v>
      </c>
      <c r="W33" s="712">
        <f t="shared" si="14"/>
        <v>100</v>
      </c>
      <c r="X33" s="1487"/>
      <c r="Y33" s="3548"/>
      <c r="Z33" s="1488">
        <f t="shared" si="15"/>
        <v>111</v>
      </c>
      <c r="AA33" s="1485">
        <f t="shared" si="3"/>
        <v>1</v>
      </c>
      <c r="AB33" s="1485">
        <f t="shared" si="4"/>
        <v>1</v>
      </c>
      <c r="AC33" s="1485">
        <f t="shared" si="5"/>
        <v>1</v>
      </c>
    </row>
    <row r="34" spans="1:30" ht="15.75" thickBot="1">
      <c r="A34" s="437"/>
      <c r="B34" s="2029">
        <v>111</v>
      </c>
      <c r="C34" s="396"/>
      <c r="D34" s="397">
        <v>100</v>
      </c>
      <c r="E34" s="2108"/>
      <c r="F34" s="398">
        <f>SUMIF(95:95,E34,96:96)-SUMIF(95:95,C34,96:96)+100</f>
        <v>100</v>
      </c>
      <c r="G34" s="2108"/>
      <c r="H34" s="397">
        <f>SUMIF(95:95,G34,96:96)-SUMIF(95:95,C34,96:96)+100</f>
        <v>100</v>
      </c>
      <c r="I34" s="2108"/>
      <c r="J34" s="397">
        <f>SUMIF(95:95,I34,96:96)-SUMIF(95:95,C34,96:96)+100</f>
        <v>100</v>
      </c>
      <c r="K34" s="570"/>
      <c r="L34" s="2895"/>
      <c r="M34" s="2889"/>
      <c r="N34" s="2889"/>
      <c r="O34" s="2947"/>
      <c r="P34" s="3548"/>
      <c r="Q34" s="1484">
        <f t="shared" si="11"/>
        <v>111</v>
      </c>
      <c r="R34" s="711" t="s">
        <v>17</v>
      </c>
      <c r="S34" s="712">
        <f t="shared" si="12"/>
        <v>100</v>
      </c>
      <c r="T34" s="711" t="s">
        <v>17</v>
      </c>
      <c r="U34" s="712">
        <f t="shared" si="13"/>
        <v>100</v>
      </c>
      <c r="V34" s="711" t="s">
        <v>17</v>
      </c>
      <c r="W34" s="712">
        <f t="shared" si="14"/>
        <v>100</v>
      </c>
      <c r="X34" s="1487"/>
      <c r="Y34" s="3548"/>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7"/>
      <c r="M35" s="2898"/>
      <c r="N35" s="2889"/>
      <c r="O35" s="2898"/>
      <c r="P35" s="3550" t="str">
        <f>A35</f>
        <v>成交单价（元/平方米）</v>
      </c>
      <c r="Q35" s="3550"/>
      <c r="R35" s="3551">
        <f>E35</f>
        <v>0</v>
      </c>
      <c r="S35" s="3551"/>
      <c r="T35" s="3551">
        <f>G35</f>
        <v>0</v>
      </c>
      <c r="U35" s="3551"/>
      <c r="V35" s="3551">
        <f>I35</f>
        <v>0</v>
      </c>
      <c r="W35" s="3551"/>
      <c r="X35" s="696"/>
      <c r="Y35" s="718"/>
      <c r="Z35" s="696"/>
      <c r="AA35" s="696"/>
      <c r="AB35" s="696"/>
      <c r="AC35" s="696"/>
    </row>
    <row r="36" spans="1:30" ht="15.75" thickBot="1">
      <c r="A36" s="445" t="s">
        <v>2249</v>
      </c>
      <c r="B36" s="446"/>
      <c r="C36" s="1272" t="e">
        <f>R37</f>
        <v>#DIV/0!</v>
      </c>
      <c r="D36" s="2485" t="s">
        <v>2636</v>
      </c>
      <c r="E36" s="1273" t="e">
        <f>R36</f>
        <v>#DIV/0!</v>
      </c>
      <c r="F36" s="2486"/>
      <c r="G36" s="1272" t="e">
        <f>T36</f>
        <v>#DIV/0!</v>
      </c>
      <c r="H36" s="2486"/>
      <c r="I36" s="1273" t="e">
        <f>V36</f>
        <v>#DIV/0!</v>
      </c>
      <c r="J36" s="2486"/>
      <c r="K36" s="2488">
        <f>F36+H36+J36</f>
        <v>0</v>
      </c>
      <c r="L36" s="2897"/>
      <c r="M36" s="2898"/>
      <c r="N36" s="2889"/>
      <c r="O36" s="2898"/>
      <c r="P36" s="3550" t="str">
        <f>A36</f>
        <v>比较价值（元/平方米）</v>
      </c>
      <c r="Q36" s="355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7"/>
      <c r="M37" s="2898"/>
      <c r="N37" s="2898"/>
      <c r="O37" s="2898"/>
      <c r="P37" s="3589" t="str">
        <f>A37</f>
        <v>估价对象XX用房的比较价值（楼面单价，元/平方米）</v>
      </c>
      <c r="Q37" s="3590"/>
      <c r="R37" s="3593" t="e">
        <f>IF(F1="售价",ROUND(IF(D36="简单平均",AVERAGE(R36:W36),R36*F36+T36*H36+V36*J36),0),ROUND(IF(D36="简单平均",AVERAGE(R36:V36),R36*F36+T36*H36+V36*J36),1))</f>
        <v>#DIV/0!</v>
      </c>
      <c r="S37" s="3593"/>
      <c r="T37" s="3593"/>
      <c r="U37" s="3593"/>
      <c r="V37" s="3593"/>
      <c r="W37" s="3593"/>
      <c r="X37" s="696"/>
      <c r="Y37" s="696"/>
      <c r="Z37" s="696"/>
      <c r="AA37" s="696"/>
      <c r="AB37" s="696"/>
      <c r="AC37" s="696"/>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0" t="s">
        <v>2254</v>
      </c>
      <c r="B45" s="696"/>
      <c r="C45" s="701"/>
      <c r="D45" s="701"/>
      <c r="E45" s="701"/>
      <c r="F45" s="702"/>
      <c r="G45" s="702"/>
      <c r="H45" s="701"/>
      <c r="I45" s="701"/>
      <c r="J45" s="701"/>
      <c r="K45" s="703"/>
      <c r="L45" s="704"/>
      <c r="M45" s="701"/>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2165</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2130</v>
      </c>
      <c r="B49" s="467"/>
      <c r="C49" s="479" t="s">
        <v>2232</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4">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2168</v>
      </c>
      <c r="B51" s="485" t="s">
        <v>2134</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5">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2320</v>
      </c>
      <c r="C63" s="535" t="s">
        <v>2177</v>
      </c>
      <c r="D63" s="535" t="s">
        <v>2178</v>
      </c>
      <c r="E63" s="535" t="s">
        <v>2179</v>
      </c>
      <c r="F63" s="535" t="s">
        <v>2180</v>
      </c>
      <c r="G63" s="535" t="s">
        <v>2181</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2269</v>
      </c>
      <c r="C65" s="615" t="s">
        <v>2255</v>
      </c>
      <c r="D65" s="615" t="s">
        <v>2256</v>
      </c>
      <c r="E65" s="615" t="s">
        <v>2257</v>
      </c>
      <c r="F65" s="615" t="s">
        <v>2258</v>
      </c>
      <c r="G65" s="615" t="s">
        <v>2259</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2189</v>
      </c>
      <c r="C67" s="535" t="s">
        <v>2177</v>
      </c>
      <c r="D67" s="535" t="s">
        <v>2178</v>
      </c>
      <c r="E67" s="535" t="s">
        <v>2179</v>
      </c>
      <c r="F67" s="535" t="s">
        <v>2180</v>
      </c>
      <c r="G67" s="535" t="s">
        <v>2181</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2309</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2143</v>
      </c>
      <c r="B77" s="485" t="s">
        <v>2196</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2313</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2321</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2323</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1">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30" ht="15">
      <c r="A4" s="361" t="s">
        <v>2225</v>
      </c>
      <c r="B4" s="362"/>
      <c r="C4" s="3525" t="s">
        <v>2226</v>
      </c>
      <c r="D4" s="3526"/>
      <c r="E4" s="3527" t="s">
        <v>2227</v>
      </c>
      <c r="F4" s="3528"/>
      <c r="G4" s="3525" t="s">
        <v>2228</v>
      </c>
      <c r="H4" s="3526"/>
      <c r="I4" s="3525" t="s">
        <v>2229</v>
      </c>
      <c r="J4" s="3526"/>
      <c r="K4" s="567" t="s">
        <v>2230</v>
      </c>
      <c r="L4" s="2888"/>
      <c r="M4" s="2889"/>
      <c r="N4" s="2889"/>
      <c r="O4" s="2889"/>
      <c r="P4" s="3585" t="s">
        <v>2231</v>
      </c>
      <c r="Q4" s="3586"/>
      <c r="R4" s="3582" t="s">
        <v>2227</v>
      </c>
      <c r="S4" s="3583"/>
      <c r="T4" s="3582" t="s">
        <v>2228</v>
      </c>
      <c r="U4" s="3583"/>
      <c r="V4" s="3538" t="s">
        <v>2229</v>
      </c>
      <c r="W4" s="3538"/>
      <c r="X4" s="1487"/>
      <c r="Y4" s="3582" t="s">
        <v>2231</v>
      </c>
      <c r="Z4" s="3583"/>
      <c r="AA4" s="3581" t="s">
        <v>2227</v>
      </c>
      <c r="AB4" s="3504" t="s">
        <v>2228</v>
      </c>
      <c r="AC4" s="3581" t="s">
        <v>2229</v>
      </c>
    </row>
    <row r="5" spans="1:30" ht="15">
      <c r="A5" s="364"/>
      <c r="B5" s="365"/>
      <c r="C5" s="3514" t="s">
        <v>2122</v>
      </c>
      <c r="D5" s="3515"/>
      <c r="E5" s="3584" t="s">
        <v>2123</v>
      </c>
      <c r="F5" s="3513"/>
      <c r="G5" s="3514" t="s">
        <v>2124</v>
      </c>
      <c r="H5" s="3515"/>
      <c r="I5" s="3514" t="s">
        <v>2125</v>
      </c>
      <c r="J5" s="3515"/>
      <c r="K5" s="567"/>
      <c r="L5" s="2888"/>
      <c r="M5" s="2889"/>
      <c r="N5" s="2889"/>
      <c r="O5" s="2889"/>
      <c r="P5" s="3587"/>
      <c r="Q5" s="3532"/>
      <c r="R5" s="3510"/>
      <c r="S5" s="3511"/>
      <c r="T5" s="3510"/>
      <c r="U5" s="3511"/>
      <c r="V5" s="3538"/>
      <c r="W5" s="3538"/>
      <c r="X5" s="1487"/>
      <c r="Y5" s="3510"/>
      <c r="Z5" s="3511"/>
      <c r="AA5" s="3504"/>
      <c r="AB5" s="3504"/>
      <c r="AC5" s="3504"/>
    </row>
    <row r="6" spans="1:30" ht="15.75" thickBot="1">
      <c r="A6" s="366"/>
      <c r="B6" s="367"/>
      <c r="C6" s="3516" t="s">
        <v>2126</v>
      </c>
      <c r="D6" s="3517"/>
      <c r="E6" s="3519" t="s">
        <v>2126</v>
      </c>
      <c r="F6" s="3520"/>
      <c r="G6" s="3516" t="s">
        <v>2126</v>
      </c>
      <c r="H6" s="3517"/>
      <c r="I6" s="3516" t="s">
        <v>2126</v>
      </c>
      <c r="J6" s="3517"/>
      <c r="K6" s="567" t="s">
        <v>2127</v>
      </c>
      <c r="L6" s="2888"/>
      <c r="M6" s="2889"/>
      <c r="N6" s="2889"/>
      <c r="O6" s="2889"/>
      <c r="P6" s="3588"/>
      <c r="Q6" s="3534"/>
      <c r="R6" s="3510"/>
      <c r="S6" s="3511"/>
      <c r="T6" s="3535"/>
      <c r="U6" s="3536"/>
      <c r="V6" s="3538"/>
      <c r="W6" s="3538"/>
      <c r="X6" s="1487"/>
      <c r="Y6" s="3535"/>
      <c r="Z6" s="3536"/>
      <c r="AA6" s="3505"/>
      <c r="AB6" s="3505"/>
      <c r="AC6" s="3505"/>
    </row>
    <row r="7" spans="1:30" s="113" customFormat="1" ht="15.75" thickBot="1">
      <c r="A7" s="368" t="s">
        <v>2128</v>
      </c>
      <c r="B7" s="369"/>
      <c r="C7" s="370">
        <f>'数据-取费表'!B2</f>
        <v>44798</v>
      </c>
      <c r="D7" s="371">
        <v>100</v>
      </c>
      <c r="E7" s="372"/>
      <c r="F7" s="373">
        <f>SUMIF(69:69,YEAR(E7)&amp;"-"&amp;INT((MONTH(E7)+2)/3),70:70)</f>
        <v>0</v>
      </c>
      <c r="G7" s="2107"/>
      <c r="H7" s="371">
        <f>SUMIF(69:69,YEAR(G7)&amp;"-"&amp;INT((MONTH(G7)+2)/3),70:70)</f>
        <v>0</v>
      </c>
      <c r="I7" s="2107"/>
      <c r="J7" s="371">
        <f>SUMIF(69:69,YEAR(I7)&amp;"-"&amp;INT((MONTH(I7)+2)/3),70:70)</f>
        <v>0</v>
      </c>
      <c r="K7" s="568"/>
      <c r="L7" s="2890"/>
      <c r="M7" s="2891"/>
      <c r="N7" s="2891"/>
      <c r="O7" s="2891"/>
      <c r="P7" s="3506" t="s">
        <v>2129</v>
      </c>
      <c r="Q7" s="3540"/>
      <c r="R7" s="707" t="s">
        <v>17</v>
      </c>
      <c r="S7" s="708">
        <f t="shared" ref="S7:S15" si="0">F7</f>
        <v>0</v>
      </c>
      <c r="T7" s="707" t="s">
        <v>17</v>
      </c>
      <c r="U7" s="708">
        <f t="shared" ref="U7:U15" si="1">H7</f>
        <v>0</v>
      </c>
      <c r="V7" s="707" t="s">
        <v>17</v>
      </c>
      <c r="W7" s="708">
        <f t="shared" ref="W7:W15" si="2">J7</f>
        <v>0</v>
      </c>
      <c r="X7" s="709"/>
      <c r="Y7" s="3506" t="s">
        <v>2129</v>
      </c>
      <c r="Z7" s="3507"/>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06" t="s">
        <v>2132</v>
      </c>
      <c r="Q8" s="3507"/>
      <c r="R8" s="707" t="s">
        <v>17</v>
      </c>
      <c r="S8" s="708">
        <f t="shared" si="0"/>
        <v>0</v>
      </c>
      <c r="T8" s="707" t="s">
        <v>17</v>
      </c>
      <c r="U8" s="708">
        <f t="shared" si="1"/>
        <v>0</v>
      </c>
      <c r="V8" s="707" t="s">
        <v>17</v>
      </c>
      <c r="W8" s="708">
        <f t="shared" si="2"/>
        <v>0</v>
      </c>
      <c r="X8" s="709"/>
      <c r="Y8" s="3506" t="s">
        <v>2132</v>
      </c>
      <c r="Z8" s="3507"/>
      <c r="AA8" s="710" t="e">
        <f t="shared" ref="AA8:AA45" si="3">D8/F8</f>
        <v>#DIV/0!</v>
      </c>
      <c r="AB8" s="710" t="e">
        <f t="shared" ref="AB8:AB45" si="4">D8/H8</f>
        <v>#DIV/0!</v>
      </c>
      <c r="AC8" s="710"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0"/>
      <c r="M9" s="2891"/>
      <c r="N9" s="2891"/>
      <c r="O9" s="2945"/>
      <c r="P9" s="3550"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2"/>
      <c r="M10" s="2893"/>
      <c r="N10" s="2893"/>
      <c r="O10" s="2946"/>
      <c r="P10" s="3550"/>
      <c r="Q10" s="1475" t="str">
        <f t="shared" si="6"/>
        <v>土地使用年限（年）</v>
      </c>
      <c r="R10" s="707" t="s">
        <v>17</v>
      </c>
      <c r="S10" s="708">
        <f t="shared" si="0"/>
        <v>125</v>
      </c>
      <c r="T10" s="707" t="s">
        <v>17</v>
      </c>
      <c r="U10" s="708">
        <f t="shared" si="1"/>
        <v>125</v>
      </c>
      <c r="V10" s="707" t="s">
        <v>17</v>
      </c>
      <c r="W10" s="708">
        <f t="shared" si="2"/>
        <v>125</v>
      </c>
      <c r="X10" s="709"/>
      <c r="Y10" s="3476"/>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4"/>
      <c r="M11" s="2889"/>
      <c r="N11" s="2889"/>
      <c r="O11" s="2947"/>
      <c r="P11" s="3550"/>
      <c r="Q11" s="1475" t="str">
        <f t="shared" si="6"/>
        <v>容积率</v>
      </c>
      <c r="R11" s="707" t="s">
        <v>17</v>
      </c>
      <c r="S11" s="708" t="e">
        <f t="shared" si="0"/>
        <v>#N/A</v>
      </c>
      <c r="T11" s="707" t="s">
        <v>17</v>
      </c>
      <c r="U11" s="708" t="e">
        <f t="shared" si="1"/>
        <v>#N/A</v>
      </c>
      <c r="V11" s="707" t="s">
        <v>17</v>
      </c>
      <c r="W11" s="708" t="e">
        <f t="shared" si="2"/>
        <v>#N/A</v>
      </c>
      <c r="X11" s="709"/>
      <c r="Y11" s="3476"/>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0"/>
      <c r="M12" s="2891"/>
      <c r="N12" s="2891"/>
      <c r="O12" s="2945"/>
      <c r="P12" s="3550"/>
      <c r="Q12" s="1475" t="str">
        <f t="shared" si="6"/>
        <v>配建</v>
      </c>
      <c r="R12" s="707" t="s">
        <v>17</v>
      </c>
      <c r="S12" s="708">
        <f t="shared" si="0"/>
        <v>100</v>
      </c>
      <c r="T12" s="707" t="s">
        <v>17</v>
      </c>
      <c r="U12" s="708">
        <f t="shared" si="1"/>
        <v>100</v>
      </c>
      <c r="V12" s="707" t="s">
        <v>17</v>
      </c>
      <c r="W12" s="708">
        <f t="shared" si="2"/>
        <v>100</v>
      </c>
      <c r="X12" s="709"/>
      <c r="Y12" s="3476"/>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5"/>
      <c r="M13" s="2889"/>
      <c r="N13" s="2889"/>
      <c r="O13" s="2947"/>
      <c r="P13" s="3550"/>
      <c r="Q13" s="1475">
        <f t="shared" si="6"/>
        <v>111</v>
      </c>
      <c r="R13" s="707" t="s">
        <v>17</v>
      </c>
      <c r="S13" s="708">
        <f t="shared" si="0"/>
        <v>100</v>
      </c>
      <c r="T13" s="707" t="s">
        <v>17</v>
      </c>
      <c r="U13" s="708">
        <f t="shared" si="1"/>
        <v>100</v>
      </c>
      <c r="V13" s="707" t="s">
        <v>17</v>
      </c>
      <c r="W13" s="708">
        <f t="shared" si="2"/>
        <v>100</v>
      </c>
      <c r="X13" s="709"/>
      <c r="Y13" s="3476"/>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5"/>
      <c r="M14" s="2889"/>
      <c r="N14" s="2889"/>
      <c r="O14" s="2947"/>
      <c r="P14" s="3550"/>
      <c r="Q14" s="1475">
        <f t="shared" si="6"/>
        <v>111</v>
      </c>
      <c r="R14" s="707" t="s">
        <v>17</v>
      </c>
      <c r="S14" s="708">
        <f t="shared" si="0"/>
        <v>100</v>
      </c>
      <c r="T14" s="707" t="s">
        <v>17</v>
      </c>
      <c r="U14" s="708">
        <f t="shared" si="1"/>
        <v>100</v>
      </c>
      <c r="V14" s="707" t="s">
        <v>17</v>
      </c>
      <c r="W14" s="708">
        <f t="shared" si="2"/>
        <v>100</v>
      </c>
      <c r="X14" s="709"/>
      <c r="Y14" s="3476"/>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5"/>
      <c r="M15" s="2889"/>
      <c r="N15" s="2889"/>
      <c r="O15" s="2947"/>
      <c r="P15" s="3543" t="s">
        <v>2140</v>
      </c>
      <c r="Q15" s="1484" t="str">
        <f t="shared" si="6"/>
        <v>居住社区成熟度</v>
      </c>
      <c r="R15" s="711" t="s">
        <v>17</v>
      </c>
      <c r="S15" s="712">
        <f t="shared" si="0"/>
        <v>100</v>
      </c>
      <c r="T15" s="711" t="s">
        <v>17</v>
      </c>
      <c r="U15" s="712">
        <f t="shared" si="1"/>
        <v>100</v>
      </c>
      <c r="V15" s="711" t="s">
        <v>17</v>
      </c>
      <c r="W15" s="712">
        <f t="shared" si="2"/>
        <v>100</v>
      </c>
      <c r="X15" s="1487"/>
      <c r="Y15" s="3543"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5"/>
      <c r="M16" s="2889"/>
      <c r="N16" s="2889"/>
      <c r="O16" s="2947"/>
      <c r="P16" s="3544"/>
      <c r="Q16" s="1484"/>
      <c r="R16" s="711"/>
      <c r="S16" s="712"/>
      <c r="T16" s="711"/>
      <c r="U16" s="712"/>
      <c r="V16" s="711"/>
      <c r="W16" s="712"/>
      <c r="X16" s="1487"/>
      <c r="Y16" s="3544"/>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5"/>
      <c r="M17" s="2889"/>
      <c r="N17" s="2889"/>
      <c r="O17" s="2947"/>
      <c r="P17" s="3544"/>
      <c r="Q17" s="1484" t="str">
        <f>B17</f>
        <v>商业繁华度</v>
      </c>
      <c r="R17" s="711" t="s">
        <v>17</v>
      </c>
      <c r="S17" s="712">
        <f>F17</f>
        <v>100</v>
      </c>
      <c r="T17" s="711" t="s">
        <v>17</v>
      </c>
      <c r="U17" s="712">
        <f>H17</f>
        <v>100</v>
      </c>
      <c r="V17" s="711" t="s">
        <v>17</v>
      </c>
      <c r="W17" s="712">
        <f>J17</f>
        <v>100</v>
      </c>
      <c r="X17" s="1487"/>
      <c r="Y17" s="3544"/>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5"/>
      <c r="M18" s="2889"/>
      <c r="N18" s="2889"/>
      <c r="O18" s="2947"/>
      <c r="P18" s="3544"/>
      <c r="Q18" s="1484"/>
      <c r="R18" s="711"/>
      <c r="S18" s="712"/>
      <c r="T18" s="711"/>
      <c r="U18" s="712"/>
      <c r="V18" s="711"/>
      <c r="W18" s="712"/>
      <c r="X18" s="1487"/>
      <c r="Y18" s="3544"/>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5"/>
      <c r="M19" s="2889"/>
      <c r="N19" s="2889"/>
      <c r="O19" s="2947"/>
      <c r="P19" s="3544"/>
      <c r="Q19" s="1484" t="str">
        <f>B19</f>
        <v>办公集聚程度</v>
      </c>
      <c r="R19" s="711" t="s">
        <v>17</v>
      </c>
      <c r="S19" s="712">
        <f>F19</f>
        <v>100</v>
      </c>
      <c r="T19" s="711" t="s">
        <v>17</v>
      </c>
      <c r="U19" s="712">
        <f>H19</f>
        <v>100</v>
      </c>
      <c r="V19" s="711" t="s">
        <v>17</v>
      </c>
      <c r="W19" s="712">
        <f>J19</f>
        <v>100</v>
      </c>
      <c r="X19" s="1487"/>
      <c r="Y19" s="3544"/>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5"/>
      <c r="M20" s="2889"/>
      <c r="N20" s="2889"/>
      <c r="O20" s="2947"/>
      <c r="P20" s="3544"/>
      <c r="Q20" s="1484"/>
      <c r="R20" s="711"/>
      <c r="S20" s="712"/>
      <c r="T20" s="711"/>
      <c r="U20" s="712"/>
      <c r="V20" s="711"/>
      <c r="W20" s="712"/>
      <c r="X20" s="1487"/>
      <c r="Y20" s="3544"/>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5"/>
      <c r="M21" s="2889"/>
      <c r="N21" s="2889"/>
      <c r="O21" s="2947"/>
      <c r="P21" s="3544"/>
      <c r="Q21" s="1484" t="str">
        <f>B21</f>
        <v>交通便捷度</v>
      </c>
      <c r="R21" s="711" t="s">
        <v>17</v>
      </c>
      <c r="S21" s="712">
        <f>F21</f>
        <v>100</v>
      </c>
      <c r="T21" s="711" t="s">
        <v>17</v>
      </c>
      <c r="U21" s="712">
        <f>H21</f>
        <v>100</v>
      </c>
      <c r="V21" s="711" t="s">
        <v>17</v>
      </c>
      <c r="W21" s="712">
        <f>J21</f>
        <v>100</v>
      </c>
      <c r="X21" s="1487"/>
      <c r="Y21" s="3544"/>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5"/>
      <c r="M22" s="2889"/>
      <c r="N22" s="2889"/>
      <c r="O22" s="2947"/>
      <c r="P22" s="3544"/>
      <c r="Q22" s="1484"/>
      <c r="R22" s="711"/>
      <c r="S22" s="712"/>
      <c r="T22" s="711"/>
      <c r="U22" s="712"/>
      <c r="V22" s="711"/>
      <c r="W22" s="712"/>
      <c r="X22" s="1487"/>
      <c r="Y22" s="3544"/>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5"/>
      <c r="M23" s="2889"/>
      <c r="N23" s="2889"/>
      <c r="O23" s="2947"/>
      <c r="P23" s="3544"/>
      <c r="Q23" s="1484" t="str">
        <f t="shared" ref="Q23:Q37" si="8">B23</f>
        <v>区域土地利用方向</v>
      </c>
      <c r="R23" s="711" t="s">
        <v>17</v>
      </c>
      <c r="S23" s="712">
        <f>F23</f>
        <v>100</v>
      </c>
      <c r="T23" s="711" t="s">
        <v>17</v>
      </c>
      <c r="U23" s="712">
        <f>H23</f>
        <v>100</v>
      </c>
      <c r="V23" s="711" t="s">
        <v>17</v>
      </c>
      <c r="W23" s="712">
        <f>J23</f>
        <v>100</v>
      </c>
      <c r="X23" s="1487"/>
      <c r="Y23" s="3544"/>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5"/>
      <c r="M24" s="2889"/>
      <c r="N24" s="2889"/>
      <c r="O24" s="2947"/>
      <c r="P24" s="3544"/>
      <c r="Q24" s="1484"/>
      <c r="R24" s="711"/>
      <c r="S24" s="712"/>
      <c r="T24" s="711"/>
      <c r="U24" s="712"/>
      <c r="V24" s="711"/>
      <c r="W24" s="712"/>
      <c r="X24" s="1487"/>
      <c r="Y24" s="3544"/>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5"/>
      <c r="M25" s="2889"/>
      <c r="N25" s="2889"/>
      <c r="O25" s="2947"/>
      <c r="P25" s="3544"/>
      <c r="Q25" s="1484" t="str">
        <f t="shared" si="8"/>
        <v>自然及人文环境状况</v>
      </c>
      <c r="R25" s="711" t="s">
        <v>17</v>
      </c>
      <c r="S25" s="712">
        <f>F25</f>
        <v>100</v>
      </c>
      <c r="T25" s="711" t="s">
        <v>17</v>
      </c>
      <c r="U25" s="712">
        <f>H25</f>
        <v>100</v>
      </c>
      <c r="V25" s="711" t="s">
        <v>17</v>
      </c>
      <c r="W25" s="712">
        <f>J25</f>
        <v>100</v>
      </c>
      <c r="X25" s="1487"/>
      <c r="Y25" s="3544"/>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5"/>
      <c r="M26" s="2889"/>
      <c r="N26" s="2889"/>
      <c r="O26" s="2947"/>
      <c r="P26" s="3544"/>
      <c r="Q26" s="1484"/>
      <c r="R26" s="711"/>
      <c r="S26" s="712"/>
      <c r="T26" s="711"/>
      <c r="U26" s="712"/>
      <c r="V26" s="711"/>
      <c r="W26" s="712"/>
      <c r="X26" s="1487"/>
      <c r="Y26" s="3544"/>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0"/>
      <c r="M27" s="2891"/>
      <c r="N27" s="2891"/>
      <c r="O27" s="2945"/>
      <c r="P27" s="3544"/>
      <c r="Q27" s="1475" t="str">
        <f t="shared" si="8"/>
        <v>公共配套设施</v>
      </c>
      <c r="R27" s="707" t="s">
        <v>17</v>
      </c>
      <c r="S27" s="708">
        <f>F27</f>
        <v>100</v>
      </c>
      <c r="T27" s="707" t="s">
        <v>17</v>
      </c>
      <c r="U27" s="708">
        <f>H27</f>
        <v>100</v>
      </c>
      <c r="V27" s="707" t="s">
        <v>17</v>
      </c>
      <c r="W27" s="708">
        <f>J27</f>
        <v>100</v>
      </c>
      <c r="X27" s="709"/>
      <c r="Y27" s="3544"/>
      <c r="Z27" s="55" t="str">
        <f>Q27</f>
        <v>公共配套设施</v>
      </c>
      <c r="AA27" s="1485">
        <f>D27/F27</f>
        <v>1</v>
      </c>
      <c r="AB27" s="1485">
        <f>D27/H27</f>
        <v>1</v>
      </c>
      <c r="AC27" s="1485">
        <f>D27/J27</f>
        <v>1</v>
      </c>
    </row>
    <row r="28" spans="1:29" s="113" customFormat="1" ht="15">
      <c r="A28" s="604"/>
      <c r="B28" s="415"/>
      <c r="C28" s="2111"/>
      <c r="D28" s="407"/>
      <c r="E28" s="2038"/>
      <c r="F28" s="407"/>
      <c r="G28" s="2038"/>
      <c r="H28" s="407"/>
      <c r="I28" s="406"/>
      <c r="J28" s="407"/>
      <c r="K28" s="627"/>
      <c r="L28" s="2890"/>
      <c r="M28" s="2891"/>
      <c r="N28" s="2891"/>
      <c r="O28" s="2945"/>
      <c r="P28" s="3544"/>
      <c r="Q28" s="1475"/>
      <c r="R28" s="707"/>
      <c r="S28" s="708"/>
      <c r="T28" s="707"/>
      <c r="U28" s="708"/>
      <c r="V28" s="707"/>
      <c r="W28" s="708"/>
      <c r="X28" s="709"/>
      <c r="Y28" s="3544"/>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0"/>
      <c r="M29" s="2891"/>
      <c r="N29" s="2891"/>
      <c r="O29" s="2945"/>
      <c r="P29" s="3544"/>
      <c r="Q29" s="1475" t="str">
        <f t="shared" ref="Q29" si="9">B29</f>
        <v>基础设施水平</v>
      </c>
      <c r="R29" s="707" t="s">
        <v>17</v>
      </c>
      <c r="S29" s="708">
        <f>F29</f>
        <v>100</v>
      </c>
      <c r="T29" s="707" t="s">
        <v>17</v>
      </c>
      <c r="U29" s="708">
        <f>H29</f>
        <v>100</v>
      </c>
      <c r="V29" s="707" t="s">
        <v>17</v>
      </c>
      <c r="W29" s="708">
        <f>J29</f>
        <v>100</v>
      </c>
      <c r="X29" s="709"/>
      <c r="Y29" s="3544"/>
      <c r="Z29" s="55" t="str">
        <f>Q29</f>
        <v>基础设施水平</v>
      </c>
      <c r="AA29" s="1485">
        <f>D29/F29</f>
        <v>1</v>
      </c>
      <c r="AB29" s="1485">
        <f>D29/H29</f>
        <v>1</v>
      </c>
      <c r="AC29" s="1485">
        <f>D29/J29</f>
        <v>1</v>
      </c>
    </row>
    <row r="30" spans="1:29" s="113" customFormat="1" ht="15">
      <c r="A30" s="604"/>
      <c r="B30" s="415"/>
      <c r="C30" s="2111"/>
      <c r="D30" s="407"/>
      <c r="E30" s="2112"/>
      <c r="F30" s="407"/>
      <c r="G30" s="2112"/>
      <c r="H30" s="407"/>
      <c r="I30" s="2112"/>
      <c r="J30" s="407"/>
      <c r="K30" s="627"/>
      <c r="L30" s="2890"/>
      <c r="M30" s="2891"/>
      <c r="N30" s="2891"/>
      <c r="O30" s="2945"/>
      <c r="P30" s="3544"/>
      <c r="Q30" s="1475"/>
      <c r="R30" s="707"/>
      <c r="S30" s="708"/>
      <c r="T30" s="707"/>
      <c r="U30" s="708"/>
      <c r="V30" s="707"/>
      <c r="W30" s="708"/>
      <c r="X30" s="709"/>
      <c r="Y30" s="3544"/>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5"/>
      <c r="M31" s="2889"/>
      <c r="N31" s="2889"/>
      <c r="O31" s="2947"/>
      <c r="P31" s="3544"/>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44"/>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5"/>
      <c r="M32" s="2889"/>
      <c r="N32" s="2889"/>
      <c r="O32" s="2947"/>
      <c r="P32" s="3544"/>
      <c r="Q32" s="1484" t="str">
        <f t="shared" si="8"/>
        <v>毗邻道路的类型与等级</v>
      </c>
      <c r="R32" s="711" t="s">
        <v>17</v>
      </c>
      <c r="S32" s="712">
        <f t="shared" si="10"/>
        <v>100</v>
      </c>
      <c r="T32" s="711" t="s">
        <v>17</v>
      </c>
      <c r="U32" s="712">
        <f t="shared" si="11"/>
        <v>100</v>
      </c>
      <c r="V32" s="711" t="s">
        <v>17</v>
      </c>
      <c r="W32" s="712">
        <f t="shared" si="12"/>
        <v>100</v>
      </c>
      <c r="X32" s="1487"/>
      <c r="Y32" s="3544"/>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5"/>
      <c r="M33" s="2889"/>
      <c r="N33" s="2889"/>
      <c r="O33" s="2947"/>
      <c r="P33" s="3544"/>
      <c r="Q33" s="1484"/>
      <c r="R33" s="711"/>
      <c r="S33" s="712"/>
      <c r="T33" s="711"/>
      <c r="U33" s="712"/>
      <c r="V33" s="711"/>
      <c r="W33" s="712"/>
      <c r="X33" s="1487"/>
      <c r="Y33" s="3544"/>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5"/>
      <c r="M34" s="2889"/>
      <c r="N34" s="2889"/>
      <c r="O34" s="2947"/>
      <c r="P34" s="3544"/>
      <c r="Q34" s="1484" t="str">
        <f t="shared" si="8"/>
        <v>土地级别</v>
      </c>
      <c r="R34" s="711" t="s">
        <v>17</v>
      </c>
      <c r="S34" s="712">
        <f t="shared" si="10"/>
        <v>100</v>
      </c>
      <c r="T34" s="711" t="s">
        <v>17</v>
      </c>
      <c r="U34" s="712">
        <f t="shared" si="11"/>
        <v>100</v>
      </c>
      <c r="V34" s="711" t="s">
        <v>17</v>
      </c>
      <c r="W34" s="712">
        <f t="shared" si="12"/>
        <v>100</v>
      </c>
      <c r="X34" s="1487"/>
      <c r="Y34" s="3544"/>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5"/>
      <c r="M35" s="2889"/>
      <c r="N35" s="2889"/>
      <c r="O35" s="2947"/>
      <c r="P35" s="3544"/>
      <c r="Q35" s="1484">
        <f t="shared" si="8"/>
        <v>111</v>
      </c>
      <c r="R35" s="711" t="s">
        <v>17</v>
      </c>
      <c r="S35" s="712">
        <f t="shared" si="10"/>
        <v>100</v>
      </c>
      <c r="T35" s="711" t="s">
        <v>17</v>
      </c>
      <c r="U35" s="712">
        <f t="shared" si="11"/>
        <v>100</v>
      </c>
      <c r="V35" s="711" t="s">
        <v>17</v>
      </c>
      <c r="W35" s="712">
        <f t="shared" si="12"/>
        <v>100</v>
      </c>
      <c r="X35" s="1487"/>
      <c r="Y35" s="3544"/>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5"/>
      <c r="M36" s="2889"/>
      <c r="N36" s="2889"/>
      <c r="O36" s="2947"/>
      <c r="P36" s="3592" t="s">
        <v>2145</v>
      </c>
      <c r="Q36" s="1484">
        <f t="shared" si="8"/>
        <v>111</v>
      </c>
      <c r="R36" s="711" t="s">
        <v>17</v>
      </c>
      <c r="S36" s="712">
        <f t="shared" si="10"/>
        <v>100</v>
      </c>
      <c r="T36" s="711" t="s">
        <v>17</v>
      </c>
      <c r="U36" s="712">
        <f t="shared" si="11"/>
        <v>100</v>
      </c>
      <c r="V36" s="711" t="s">
        <v>17</v>
      </c>
      <c r="W36" s="712">
        <f t="shared" si="12"/>
        <v>100</v>
      </c>
      <c r="X36" s="1487"/>
      <c r="Y36" s="3548"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4"/>
      <c r="M37" s="2896"/>
      <c r="N37" s="2896"/>
      <c r="O37" s="2948"/>
      <c r="P37" s="3548"/>
      <c r="Q37" s="1484">
        <f t="shared" si="8"/>
        <v>111</v>
      </c>
      <c r="R37" s="714" t="s">
        <v>17</v>
      </c>
      <c r="S37" s="715">
        <f t="shared" si="10"/>
        <v>100</v>
      </c>
      <c r="T37" s="714" t="s">
        <v>17</v>
      </c>
      <c r="U37" s="715">
        <f t="shared" si="11"/>
        <v>100</v>
      </c>
      <c r="V37" s="714" t="s">
        <v>17</v>
      </c>
      <c r="W37" s="715">
        <f t="shared" si="12"/>
        <v>100</v>
      </c>
      <c r="X37" s="716"/>
      <c r="Y37" s="3548"/>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5"/>
      <c r="M38" s="2889"/>
      <c r="N38" s="2889"/>
      <c r="O38" s="2947"/>
      <c r="P38" s="3548"/>
      <c r="Q38" s="1484" t="str">
        <f>B38</f>
        <v>宗地面积</v>
      </c>
      <c r="R38" s="711" t="s">
        <v>17</v>
      </c>
      <c r="S38" s="712" t="e">
        <f t="shared" si="10"/>
        <v>#N/A</v>
      </c>
      <c r="T38" s="711" t="s">
        <v>17</v>
      </c>
      <c r="U38" s="712" t="e">
        <f t="shared" si="11"/>
        <v>#N/A</v>
      </c>
      <c r="V38" s="711" t="s">
        <v>17</v>
      </c>
      <c r="W38" s="712" t="e">
        <f t="shared" si="12"/>
        <v>#N/A</v>
      </c>
      <c r="X38" s="1487"/>
      <c r="Y38" s="3548"/>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5"/>
      <c r="M39" s="2889"/>
      <c r="N39" s="2889"/>
      <c r="O39" s="2947"/>
      <c r="P39" s="3548"/>
      <c r="Q39" s="1484" t="str">
        <f t="shared" ref="Q39:Q45" si="14">B39</f>
        <v>宗地形状</v>
      </c>
      <c r="R39" s="711" t="s">
        <v>17</v>
      </c>
      <c r="S39" s="712">
        <f t="shared" si="10"/>
        <v>100</v>
      </c>
      <c r="T39" s="711" t="s">
        <v>17</v>
      </c>
      <c r="U39" s="712">
        <f t="shared" si="11"/>
        <v>100</v>
      </c>
      <c r="V39" s="711" t="s">
        <v>17</v>
      </c>
      <c r="W39" s="712">
        <f t="shared" si="12"/>
        <v>100</v>
      </c>
      <c r="X39" s="1487"/>
      <c r="Y39" s="3548"/>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5"/>
      <c r="M40" s="2889"/>
      <c r="N40" s="2889"/>
      <c r="O40" s="2947"/>
      <c r="P40" s="3548"/>
      <c r="Q40" s="1484" t="str">
        <f t="shared" si="14"/>
        <v>临街宽度及深度</v>
      </c>
      <c r="R40" s="711" t="s">
        <v>17</v>
      </c>
      <c r="S40" s="712">
        <f t="shared" si="10"/>
        <v>100</v>
      </c>
      <c r="T40" s="711" t="s">
        <v>17</v>
      </c>
      <c r="U40" s="712">
        <f t="shared" si="11"/>
        <v>100</v>
      </c>
      <c r="V40" s="711" t="s">
        <v>17</v>
      </c>
      <c r="W40" s="712">
        <f t="shared" si="12"/>
        <v>100</v>
      </c>
      <c r="X40" s="1487"/>
      <c r="Y40" s="3548"/>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0"/>
      <c r="M41" s="2891"/>
      <c r="N41" s="2891"/>
      <c r="O41" s="2945"/>
      <c r="P41" s="3548"/>
      <c r="Q41" s="1484" t="str">
        <f t="shared" si="14"/>
        <v>宗地开发程度</v>
      </c>
      <c r="R41" s="707" t="s">
        <v>17</v>
      </c>
      <c r="S41" s="708">
        <f t="shared" si="10"/>
        <v>100</v>
      </c>
      <c r="T41" s="707" t="s">
        <v>17</v>
      </c>
      <c r="U41" s="708">
        <f t="shared" si="11"/>
        <v>100</v>
      </c>
      <c r="V41" s="707" t="s">
        <v>17</v>
      </c>
      <c r="W41" s="708">
        <f t="shared" si="12"/>
        <v>100</v>
      </c>
      <c r="X41" s="709"/>
      <c r="Y41" s="3548"/>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5"/>
      <c r="M42" s="2889"/>
      <c r="N42" s="2889"/>
      <c r="O42" s="2947"/>
      <c r="P42" s="3548" t="s">
        <v>2145</v>
      </c>
      <c r="Q42" s="1484" t="str">
        <f t="shared" si="14"/>
        <v>工程地质条件</v>
      </c>
      <c r="R42" s="711" t="s">
        <v>17</v>
      </c>
      <c r="S42" s="712">
        <f t="shared" si="10"/>
        <v>100</v>
      </c>
      <c r="T42" s="711" t="s">
        <v>17</v>
      </c>
      <c r="U42" s="712">
        <f t="shared" si="11"/>
        <v>100</v>
      </c>
      <c r="V42" s="711" t="s">
        <v>17</v>
      </c>
      <c r="W42" s="712">
        <f t="shared" si="12"/>
        <v>100</v>
      </c>
      <c r="X42" s="1487"/>
      <c r="Y42" s="3548"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5"/>
      <c r="M43" s="2889"/>
      <c r="N43" s="2889"/>
      <c r="O43" s="2947"/>
      <c r="P43" s="3548"/>
      <c r="Q43" s="1484">
        <f t="shared" si="14"/>
        <v>111</v>
      </c>
      <c r="R43" s="711" t="s">
        <v>17</v>
      </c>
      <c r="S43" s="712">
        <f t="shared" si="10"/>
        <v>100</v>
      </c>
      <c r="T43" s="711" t="s">
        <v>17</v>
      </c>
      <c r="U43" s="712">
        <f t="shared" si="11"/>
        <v>100</v>
      </c>
      <c r="V43" s="711" t="s">
        <v>17</v>
      </c>
      <c r="W43" s="712">
        <f t="shared" si="12"/>
        <v>100</v>
      </c>
      <c r="X43" s="1487"/>
      <c r="Y43" s="3548"/>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5"/>
      <c r="M44" s="2889"/>
      <c r="N44" s="2889"/>
      <c r="O44" s="2947"/>
      <c r="P44" s="3548"/>
      <c r="Q44" s="1484">
        <f t="shared" si="14"/>
        <v>111</v>
      </c>
      <c r="R44" s="711" t="s">
        <v>17</v>
      </c>
      <c r="S44" s="712">
        <f t="shared" si="10"/>
        <v>100</v>
      </c>
      <c r="T44" s="711" t="s">
        <v>17</v>
      </c>
      <c r="U44" s="712">
        <f t="shared" si="11"/>
        <v>100</v>
      </c>
      <c r="V44" s="711" t="s">
        <v>17</v>
      </c>
      <c r="W44" s="712">
        <f t="shared" si="12"/>
        <v>100</v>
      </c>
      <c r="X44" s="1487"/>
      <c r="Y44" s="3548"/>
      <c r="Z44" s="1488">
        <f t="shared" si="13"/>
        <v>111</v>
      </c>
      <c r="AA44" s="1485">
        <f t="shared" si="3"/>
        <v>1</v>
      </c>
      <c r="AB44" s="1485">
        <f t="shared" si="4"/>
        <v>1</v>
      </c>
      <c r="AC44" s="1485">
        <f t="shared" si="5"/>
        <v>1</v>
      </c>
    </row>
    <row r="45" spans="1:29" s="430" customFormat="1" ht="15.75" thickBot="1">
      <c r="A45" s="427"/>
      <c r="B45" s="1246">
        <v>111</v>
      </c>
      <c r="C45" s="2114"/>
      <c r="D45" s="635">
        <v>100</v>
      </c>
      <c r="E45" s="629"/>
      <c r="F45" s="397">
        <f>SUMIF(130:130,E45,131:131)-SUMIF(130:130,C45,131:131)+100</f>
        <v>100</v>
      </c>
      <c r="G45" s="629"/>
      <c r="H45" s="397">
        <f>SUMIF(130:130,G45,131:131)-SUMIF(130:130,C45,131:131)+100</f>
        <v>100</v>
      </c>
      <c r="I45" s="629"/>
      <c r="J45" s="397">
        <f>SUMIF(130:130,I45,131:131)-SUMIF(130:130,C45,131:131)+100</f>
        <v>100</v>
      </c>
      <c r="K45" s="636"/>
      <c r="L45" s="2894"/>
      <c r="M45" s="2896"/>
      <c r="N45" s="2896"/>
      <c r="O45" s="2948"/>
      <c r="P45" s="3548"/>
      <c r="Q45" s="1484">
        <f t="shared" si="14"/>
        <v>111</v>
      </c>
      <c r="R45" s="714" t="s">
        <v>17</v>
      </c>
      <c r="S45" s="715">
        <f t="shared" si="10"/>
        <v>100</v>
      </c>
      <c r="T45" s="714" t="s">
        <v>17</v>
      </c>
      <c r="U45" s="715">
        <f t="shared" si="11"/>
        <v>100</v>
      </c>
      <c r="V45" s="714" t="s">
        <v>17</v>
      </c>
      <c r="W45" s="715">
        <f t="shared" si="12"/>
        <v>100</v>
      </c>
      <c r="X45" s="716"/>
      <c r="Y45" s="3548"/>
      <c r="Z45" s="717">
        <f t="shared" si="13"/>
        <v>111</v>
      </c>
      <c r="AA45" s="1485">
        <f t="shared" si="3"/>
        <v>1</v>
      </c>
      <c r="AB45" s="1485">
        <f t="shared" si="4"/>
        <v>1</v>
      </c>
      <c r="AC45" s="1485">
        <f t="shared" si="5"/>
        <v>1</v>
      </c>
    </row>
    <row r="46" spans="1:29" ht="15">
      <c r="A46" s="438" t="s">
        <v>2300</v>
      </c>
      <c r="B46" s="2115" t="s">
        <v>2336</v>
      </c>
      <c r="C46" s="637" t="s">
        <v>1</v>
      </c>
      <c r="D46" s="440"/>
      <c r="E46" s="441"/>
      <c r="F46" s="442"/>
      <c r="G46" s="443"/>
      <c r="H46" s="444"/>
      <c r="I46" s="441"/>
      <c r="J46" s="444"/>
      <c r="K46" s="720"/>
      <c r="L46" s="2897"/>
      <c r="M46" s="2898"/>
      <c r="N46" s="2889"/>
      <c r="O46" s="2898"/>
      <c r="P46" s="3550" t="str">
        <f>A46</f>
        <v>成交单价</v>
      </c>
      <c r="Q46" s="3550"/>
      <c r="R46" s="3538">
        <f>E46</f>
        <v>0</v>
      </c>
      <c r="S46" s="3538"/>
      <c r="T46" s="3538">
        <f>G46</f>
        <v>0</v>
      </c>
      <c r="U46" s="3538"/>
      <c r="V46" s="3538">
        <f>I46</f>
        <v>0</v>
      </c>
      <c r="W46" s="3538"/>
      <c r="X46" s="696"/>
      <c r="Y46" s="718"/>
      <c r="Z46" s="696"/>
      <c r="AA46" s="696"/>
      <c r="AB46" s="696"/>
      <c r="AC46" s="696"/>
    </row>
    <row r="47" spans="1:29" ht="15.75" thickBot="1">
      <c r="A47" s="445" t="s">
        <v>2249</v>
      </c>
      <c r="B47" s="638"/>
      <c r="C47" s="448" t="e">
        <f>R48</f>
        <v>#DIV/0!</v>
      </c>
      <c r="D47" s="2485" t="s">
        <v>2636</v>
      </c>
      <c r="E47" s="448" t="e">
        <f>R47</f>
        <v>#DIV/0!</v>
      </c>
      <c r="F47" s="2486"/>
      <c r="G47" s="447" t="e">
        <f>T47</f>
        <v>#DIV/0!</v>
      </c>
      <c r="H47" s="2486"/>
      <c r="I47" s="448" t="e">
        <f>V47</f>
        <v>#DIV/0!</v>
      </c>
      <c r="J47" s="2486"/>
      <c r="K47" s="2488">
        <f>F47+H47+J47</f>
        <v>0</v>
      </c>
      <c r="L47" s="2897"/>
      <c r="M47" s="2898"/>
      <c r="N47" s="2898"/>
      <c r="O47" s="2898"/>
      <c r="P47" s="3550" t="str">
        <f>A47</f>
        <v>比较价值（元/平方米）</v>
      </c>
      <c r="Q47" s="3550"/>
      <c r="R47" s="3594" t="e">
        <f>ROUND(PRODUCT(R46,AA7:AA45),0)</f>
        <v>#DIV/0!</v>
      </c>
      <c r="S47" s="3594"/>
      <c r="T47" s="3594" t="e">
        <f>ROUND(PRODUCT(T46,AB7:AB45),0)</f>
        <v>#DIV/0!</v>
      </c>
      <c r="U47" s="3594"/>
      <c r="V47" s="3594" t="e">
        <f>ROUND(PRODUCT(V46,AC7:AC45),0)</f>
        <v>#DIV/0!</v>
      </c>
      <c r="W47" s="3594"/>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7"/>
      <c r="M48" s="2898"/>
      <c r="N48" s="2898"/>
      <c r="O48" s="2898"/>
      <c r="P48" s="3589" t="str">
        <f>A48</f>
        <v>估价对象XX用房的比较价值（楼面单价，元/平方米）</v>
      </c>
      <c r="Q48" s="3590"/>
      <c r="R48" s="3595" t="e">
        <f>ROUND(IF(D47="简单平均",AVERAGE(R47:W47),R47*F47+T47*H47+V47*J47),0)</f>
        <v>#DIV/0!</v>
      </c>
      <c r="S48" s="3595"/>
      <c r="T48" s="3595"/>
      <c r="U48" s="3595"/>
      <c r="V48" s="3595"/>
      <c r="W48" s="3595"/>
      <c r="X48" s="696"/>
      <c r="Y48" s="696"/>
      <c r="Z48" s="696"/>
      <c r="AA48" s="696"/>
      <c r="AB48" s="696"/>
      <c r="AC48" s="696"/>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699"/>
      <c r="D54" s="697"/>
      <c r="E54" s="697"/>
      <c r="F54" s="697"/>
      <c r="G54" s="697"/>
      <c r="H54" s="697"/>
      <c r="I54" s="697"/>
      <c r="J54" s="697"/>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2338</v>
      </c>
      <c r="B55" s="640" t="s">
        <v>2339</v>
      </c>
      <c r="C55" s="2116" t="s">
        <v>2340</v>
      </c>
      <c r="D55" s="2117" t="s">
        <v>2341</v>
      </c>
      <c r="E55" s="641" t="s">
        <v>2342</v>
      </c>
      <c r="F55" s="999" t="s">
        <v>2343</v>
      </c>
      <c r="G55" s="3525" t="s">
        <v>2344</v>
      </c>
      <c r="H55" s="3596"/>
      <c r="I55" s="140" t="s">
        <v>2345</v>
      </c>
      <c r="J55" s="2118">
        <f>项目基本情况!F35</f>
        <v>0</v>
      </c>
      <c r="K55" s="2119" t="s">
        <v>2346</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2347</v>
      </c>
      <c r="B56" s="644" t="e">
        <f>C48</f>
        <v>#DIV/0!</v>
      </c>
      <c r="C56" s="645">
        <v>1</v>
      </c>
      <c r="D56" s="1053">
        <v>1</v>
      </c>
      <c r="E56" s="645">
        <f>'数据-汇总表'!E8+'数据-汇总表'!E9</f>
        <v>199.12</v>
      </c>
      <c r="F56" s="995" t="e">
        <f t="shared" ref="F56:F64" si="15">ROUND(B56*E56/10000,0)</f>
        <v>#DIV/0!</v>
      </c>
      <c r="G56" s="3521"/>
      <c r="H56" s="3550"/>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2348</v>
      </c>
      <c r="B57" s="224" t="e">
        <f>ROUND($C$48*C57*D57,0)</f>
        <v>#DIV/0!</v>
      </c>
      <c r="C57" s="176">
        <f t="shared" ref="C57:C64" si="16">IF($C$55="北京市系数",I57,J57)</f>
        <v>0</v>
      </c>
      <c r="D57" s="1054">
        <v>0.25</v>
      </c>
      <c r="E57" s="649"/>
      <c r="F57" s="995" t="e">
        <f t="shared" si="15"/>
        <v>#DIV/0!</v>
      </c>
      <c r="G57" s="3222" t="s">
        <v>2349</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2350</v>
      </c>
      <c r="B58" s="224" t="e">
        <f t="shared" ref="B58:B64" si="17">ROUND($C$48*C58*D58,0)</f>
        <v>#DIV/0!</v>
      </c>
      <c r="C58" s="176">
        <f t="shared" si="16"/>
        <v>0</v>
      </c>
      <c r="D58" s="1054">
        <v>0.25</v>
      </c>
      <c r="E58" s="649"/>
      <c r="F58" s="995" t="e">
        <f t="shared" si="15"/>
        <v>#DIV/0!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2351</v>
      </c>
      <c r="B59" s="224" t="e">
        <f t="shared" si="17"/>
        <v>#DIV/0!</v>
      </c>
      <c r="C59" s="176">
        <f t="shared" si="16"/>
        <v>0</v>
      </c>
      <c r="D59" s="1054">
        <v>0.25</v>
      </c>
      <c r="E59" s="649"/>
      <c r="F59" s="995" t="e">
        <f t="shared" si="15"/>
        <v>#DIV/0!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6"/>
      <c r="B66" s="698"/>
      <c r="C66" s="699"/>
      <c r="D66" s="696"/>
      <c r="E66" s="696"/>
      <c r="F66" s="696"/>
      <c r="G66" s="696"/>
      <c r="H66" s="696"/>
      <c r="I66" s="696"/>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8"/>
      <c r="Q67" s="2898"/>
      <c r="R67" s="2898"/>
      <c r="S67" s="2898"/>
      <c r="T67" s="2898"/>
      <c r="U67" s="2898"/>
      <c r="V67" s="2898"/>
      <c r="W67" s="2898"/>
      <c r="X67" s="2898"/>
      <c r="Y67" s="2898"/>
      <c r="Z67" s="2898"/>
      <c r="AA67" s="2898"/>
      <c r="AB67" s="2898"/>
      <c r="AC67" s="2898"/>
    </row>
    <row r="68" spans="1:29" ht="21.75" thickBot="1">
      <c r="A68" s="700" t="s">
        <v>2254</v>
      </c>
      <c r="B68" s="696"/>
      <c r="C68" s="701"/>
      <c r="D68" s="701"/>
      <c r="E68" s="701"/>
      <c r="F68" s="702"/>
      <c r="G68" s="702"/>
      <c r="H68" s="701"/>
      <c r="I68" s="701"/>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2"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2"/>
      <c r="Q70" s="2832"/>
      <c r="R70" s="2832"/>
      <c r="S70" s="2832"/>
      <c r="T70" s="2832"/>
      <c r="U70" s="2832"/>
      <c r="V70" s="2832"/>
      <c r="W70" s="2832"/>
      <c r="X70" s="2832"/>
      <c r="Y70" s="2832"/>
      <c r="Z70" s="2832"/>
      <c r="AA70" s="2832"/>
      <c r="AB70" s="2832"/>
      <c r="AC70" s="2832"/>
    </row>
    <row r="71" spans="1:29" s="113" customFormat="1" ht="15.75" thickBot="1">
      <c r="A71" s="472" t="s">
        <v>2165</v>
      </c>
      <c r="B71" s="473"/>
      <c r="C71" s="474"/>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2130</v>
      </c>
      <c r="B72" s="467"/>
      <c r="C72" s="479" t="s">
        <v>2232</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4">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2168</v>
      </c>
      <c r="B74" s="485" t="s">
        <v>2134</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2137</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2139</v>
      </c>
      <c r="B87" s="485" t="s">
        <v>2176</v>
      </c>
      <c r="C87" s="530" t="s">
        <v>2177</v>
      </c>
      <c r="D87" s="530" t="s">
        <v>2178</v>
      </c>
      <c r="E87" s="530" t="s">
        <v>2179</v>
      </c>
      <c r="F87" s="530" t="s">
        <v>2180</v>
      </c>
      <c r="G87" s="530" t="s">
        <v>2181</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2363</v>
      </c>
      <c r="C89" s="535" t="s">
        <v>2177</v>
      </c>
      <c r="D89" s="535" t="s">
        <v>2178</v>
      </c>
      <c r="E89" s="535" t="s">
        <v>2179</v>
      </c>
      <c r="F89" s="535" t="s">
        <v>2180</v>
      </c>
      <c r="G89" s="535" t="s">
        <v>2181</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2277</v>
      </c>
      <c r="C91" s="535" t="s">
        <v>2177</v>
      </c>
      <c r="D91" s="535" t="s">
        <v>2178</v>
      </c>
      <c r="E91" s="535" t="s">
        <v>2179</v>
      </c>
      <c r="F91" s="535" t="s">
        <v>2180</v>
      </c>
      <c r="G91" s="535" t="s">
        <v>2181</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2182</v>
      </c>
      <c r="C93" s="535" t="s">
        <v>2177</v>
      </c>
      <c r="D93" s="535" t="s">
        <v>2178</v>
      </c>
      <c r="E93" s="535" t="s">
        <v>2179</v>
      </c>
      <c r="F93" s="535" t="s">
        <v>2180</v>
      </c>
      <c r="G93" s="535" t="s">
        <v>2181</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2271</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2330</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2371</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2372</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2373</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2374</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5"/>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25" t="s">
        <v>2226</v>
      </c>
      <c r="D4" s="3526"/>
      <c r="E4" s="3527" t="s">
        <v>2227</v>
      </c>
      <c r="F4" s="3528"/>
      <c r="G4" s="3525" t="s">
        <v>2228</v>
      </c>
      <c r="H4" s="3526"/>
      <c r="I4" s="3525" t="s">
        <v>2229</v>
      </c>
      <c r="J4" s="3526"/>
      <c r="K4" s="567" t="s">
        <v>2230</v>
      </c>
      <c r="L4" s="2888"/>
      <c r="M4" s="2889"/>
      <c r="N4" s="2889"/>
      <c r="O4" s="2889"/>
      <c r="P4" s="3585" t="s">
        <v>2231</v>
      </c>
      <c r="Q4" s="3586"/>
      <c r="R4" s="3582" t="s">
        <v>2227</v>
      </c>
      <c r="S4" s="3583"/>
      <c r="T4" s="3582" t="s">
        <v>2228</v>
      </c>
      <c r="U4" s="3583"/>
      <c r="V4" s="3538" t="s">
        <v>2229</v>
      </c>
      <c r="W4" s="3538"/>
      <c r="X4" s="1487"/>
      <c r="Y4" s="3582" t="s">
        <v>2231</v>
      </c>
      <c r="Z4" s="3583"/>
      <c r="AA4" s="3581" t="s">
        <v>2227</v>
      </c>
      <c r="AB4" s="3504" t="s">
        <v>2228</v>
      </c>
      <c r="AC4" s="3581" t="s">
        <v>2229</v>
      </c>
    </row>
    <row r="5" spans="1:29" ht="15">
      <c r="A5" s="364"/>
      <c r="B5" s="365"/>
      <c r="C5" s="3514" t="s">
        <v>2122</v>
      </c>
      <c r="D5" s="3515"/>
      <c r="E5" s="3584" t="s">
        <v>2123</v>
      </c>
      <c r="F5" s="3513"/>
      <c r="G5" s="3514" t="s">
        <v>2124</v>
      </c>
      <c r="H5" s="3515"/>
      <c r="I5" s="3514" t="s">
        <v>2125</v>
      </c>
      <c r="J5" s="3515"/>
      <c r="K5" s="567"/>
      <c r="L5" s="2888"/>
      <c r="M5" s="2889"/>
      <c r="N5" s="2889"/>
      <c r="O5" s="2889"/>
      <c r="P5" s="3587"/>
      <c r="Q5" s="3532"/>
      <c r="R5" s="3510"/>
      <c r="S5" s="3511"/>
      <c r="T5" s="3510"/>
      <c r="U5" s="3511"/>
      <c r="V5" s="3538"/>
      <c r="W5" s="3538"/>
      <c r="X5" s="1487"/>
      <c r="Y5" s="3510"/>
      <c r="Z5" s="3511"/>
      <c r="AA5" s="3504"/>
      <c r="AB5" s="3504"/>
      <c r="AC5" s="3504"/>
    </row>
    <row r="6" spans="1:29" ht="15.75" thickBot="1">
      <c r="A6" s="366"/>
      <c r="B6" s="367"/>
      <c r="C6" s="3597" t="s">
        <v>2376</v>
      </c>
      <c r="D6" s="3598"/>
      <c r="E6" s="3599" t="s">
        <v>2376</v>
      </c>
      <c r="F6" s="3600"/>
      <c r="G6" s="3597" t="s">
        <v>2376</v>
      </c>
      <c r="H6" s="3598"/>
      <c r="I6" s="3597" t="s">
        <v>2376</v>
      </c>
      <c r="J6" s="3598"/>
      <c r="K6" s="567" t="s">
        <v>2127</v>
      </c>
      <c r="L6" s="2888"/>
      <c r="M6" s="2889"/>
      <c r="N6" s="2889"/>
      <c r="O6" s="2889"/>
      <c r="P6" s="3588"/>
      <c r="Q6" s="3534"/>
      <c r="R6" s="3510"/>
      <c r="S6" s="3511"/>
      <c r="T6" s="3535"/>
      <c r="U6" s="3536"/>
      <c r="V6" s="3538"/>
      <c r="W6" s="3538"/>
      <c r="X6" s="1487"/>
      <c r="Y6" s="3535"/>
      <c r="Z6" s="3536"/>
      <c r="AA6" s="3505"/>
      <c r="AB6" s="3505"/>
      <c r="AC6" s="3505"/>
    </row>
    <row r="7" spans="1:29" s="113" customFormat="1" ht="15.75" thickBot="1">
      <c r="A7" s="368" t="s">
        <v>2128</v>
      </c>
      <c r="B7" s="369"/>
      <c r="C7" s="370">
        <f>'数据-取费表'!B2</f>
        <v>44798</v>
      </c>
      <c r="D7" s="371">
        <v>100</v>
      </c>
      <c r="E7" s="372"/>
      <c r="F7" s="373">
        <f>SUMIF(65:65,YEAR(E7)&amp;"-"&amp;INT((MONTH(E7)+2)/3),66:66)</f>
        <v>0</v>
      </c>
      <c r="G7" s="2107"/>
      <c r="H7" s="371">
        <f>SUMIF(65:65,YEAR(G7)&amp;"-"&amp;INT((MONTH(G7)+2)/3),66:66)</f>
        <v>0</v>
      </c>
      <c r="I7" s="2107"/>
      <c r="J7" s="371">
        <f>SUMIF(65:65,YEAR(I7)&amp;"-"&amp;INT((MONTH(I7)+2)/3),66:66)</f>
        <v>0</v>
      </c>
      <c r="K7" s="568"/>
      <c r="L7" s="2890"/>
      <c r="M7" s="2891"/>
      <c r="N7" s="2891"/>
      <c r="O7" s="2891"/>
      <c r="P7" s="3506" t="s">
        <v>2129</v>
      </c>
      <c r="Q7" s="3540"/>
      <c r="R7" s="707" t="s">
        <v>17</v>
      </c>
      <c r="S7" s="708">
        <f t="shared" ref="S7:S15" si="0">F7</f>
        <v>0</v>
      </c>
      <c r="T7" s="707" t="s">
        <v>17</v>
      </c>
      <c r="U7" s="708">
        <f t="shared" ref="U7:U15" si="1">H7</f>
        <v>0</v>
      </c>
      <c r="V7" s="707" t="s">
        <v>17</v>
      </c>
      <c r="W7" s="708">
        <f t="shared" ref="W7:W15" si="2">J7</f>
        <v>0</v>
      </c>
      <c r="X7" s="709"/>
      <c r="Y7" s="3506" t="s">
        <v>2129</v>
      </c>
      <c r="Z7" s="3507"/>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06" t="s">
        <v>2132</v>
      </c>
      <c r="Q8" s="3507"/>
      <c r="R8" s="707" t="s">
        <v>17</v>
      </c>
      <c r="S8" s="708">
        <f t="shared" si="0"/>
        <v>0</v>
      </c>
      <c r="T8" s="707" t="s">
        <v>17</v>
      </c>
      <c r="U8" s="708">
        <f t="shared" si="1"/>
        <v>0</v>
      </c>
      <c r="V8" s="707" t="s">
        <v>17</v>
      </c>
      <c r="W8" s="708">
        <f t="shared" si="2"/>
        <v>0</v>
      </c>
      <c r="X8" s="709"/>
      <c r="Y8" s="3506" t="s">
        <v>2132</v>
      </c>
      <c r="Z8" s="3507"/>
      <c r="AA8" s="710" t="e">
        <f t="shared" ref="AA8:AA40" si="3">D8/F8</f>
        <v>#DIV/0!</v>
      </c>
      <c r="AB8" s="710" t="e">
        <f t="shared" ref="AB8:AB40" si="4">D8/H8</f>
        <v>#DIV/0!</v>
      </c>
      <c r="AC8" s="710" t="e">
        <f t="shared" ref="AC8:AC40" si="5">D8/J8</f>
        <v>#DIV/0!</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0"/>
      <c r="M9" s="2891"/>
      <c r="N9" s="2891"/>
      <c r="O9" s="2945"/>
      <c r="P9" s="3550"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2"/>
      <c r="M10" s="2893"/>
      <c r="N10" s="2893"/>
      <c r="O10" s="2946"/>
      <c r="P10" s="3550"/>
      <c r="Q10" s="1475" t="str">
        <f t="shared" si="6"/>
        <v>土地使用年限（年）</v>
      </c>
      <c r="R10" s="707" t="s">
        <v>17</v>
      </c>
      <c r="S10" s="708">
        <f t="shared" si="0"/>
        <v>125</v>
      </c>
      <c r="T10" s="707" t="s">
        <v>17</v>
      </c>
      <c r="U10" s="708">
        <f t="shared" si="1"/>
        <v>125</v>
      </c>
      <c r="V10" s="707" t="s">
        <v>17</v>
      </c>
      <c r="W10" s="708">
        <f t="shared" si="2"/>
        <v>125</v>
      </c>
      <c r="X10" s="709"/>
      <c r="Y10" s="3476"/>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4"/>
      <c r="M11" s="2889"/>
      <c r="N11" s="2889"/>
      <c r="O11" s="2947"/>
      <c r="P11" s="3550"/>
      <c r="Q11" s="1475" t="str">
        <f t="shared" si="6"/>
        <v>容积率</v>
      </c>
      <c r="R11" s="707" t="s">
        <v>17</v>
      </c>
      <c r="S11" s="708" t="e">
        <f t="shared" si="0"/>
        <v>#N/A</v>
      </c>
      <c r="T11" s="707" t="s">
        <v>17</v>
      </c>
      <c r="U11" s="708" t="e">
        <f t="shared" si="1"/>
        <v>#N/A</v>
      </c>
      <c r="V11" s="707" t="s">
        <v>17</v>
      </c>
      <c r="W11" s="708" t="e">
        <f t="shared" si="2"/>
        <v>#N/A</v>
      </c>
      <c r="X11" s="709"/>
      <c r="Y11" s="3476"/>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0"/>
      <c r="M12" s="2891"/>
      <c r="N12" s="2891"/>
      <c r="O12" s="2945"/>
      <c r="P12" s="3550"/>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5"/>
      <c r="M13" s="2889"/>
      <c r="N13" s="2889"/>
      <c r="O13" s="2947"/>
      <c r="P13" s="3550"/>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5"/>
      <c r="M14" s="2889"/>
      <c r="N14" s="2889"/>
      <c r="O14" s="2947"/>
      <c r="P14" s="3550"/>
      <c r="Q14" s="1475">
        <f t="shared" si="6"/>
        <v>111</v>
      </c>
      <c r="R14" s="707" t="s">
        <v>17</v>
      </c>
      <c r="S14" s="708">
        <f t="shared" si="0"/>
        <v>100</v>
      </c>
      <c r="T14" s="707" t="s">
        <v>17</v>
      </c>
      <c r="U14" s="708">
        <f t="shared" si="1"/>
        <v>100</v>
      </c>
      <c r="V14" s="707" t="s">
        <v>17</v>
      </c>
      <c r="W14" s="708">
        <f t="shared" si="2"/>
        <v>100</v>
      </c>
      <c r="X14" s="709"/>
      <c r="Y14" s="3476"/>
      <c r="Z14" s="55">
        <f t="shared" si="7"/>
        <v>111</v>
      </c>
      <c r="AA14" s="710">
        <f t="shared" si="3"/>
        <v>1</v>
      </c>
      <c r="AB14" s="710">
        <f t="shared" si="4"/>
        <v>1</v>
      </c>
      <c r="AC14" s="710">
        <f t="shared" si="5"/>
        <v>1</v>
      </c>
    </row>
    <row r="15" spans="1:29" ht="57">
      <c r="A15" s="399" t="s">
        <v>2139</v>
      </c>
      <c r="B15" s="584"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5"/>
      <c r="M15" s="2889"/>
      <c r="N15" s="2889"/>
      <c r="O15" s="2947"/>
      <c r="P15" s="3543" t="s">
        <v>2140</v>
      </c>
      <c r="Q15" s="1484" t="str">
        <f t="shared" si="6"/>
        <v>产业集聚程度</v>
      </c>
      <c r="R15" s="711" t="s">
        <v>17</v>
      </c>
      <c r="S15" s="712">
        <f t="shared" si="0"/>
        <v>100</v>
      </c>
      <c r="T15" s="711" t="s">
        <v>17</v>
      </c>
      <c r="U15" s="712">
        <f t="shared" si="1"/>
        <v>100</v>
      </c>
      <c r="V15" s="711" t="s">
        <v>17</v>
      </c>
      <c r="W15" s="712">
        <f t="shared" si="2"/>
        <v>100</v>
      </c>
      <c r="X15" s="1487"/>
      <c r="Y15" s="3543"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5"/>
      <c r="M16" s="2889"/>
      <c r="N16" s="2889"/>
      <c r="O16" s="2947"/>
      <c r="P16" s="3544"/>
      <c r="Q16" s="1484"/>
      <c r="R16" s="711"/>
      <c r="S16" s="712"/>
      <c r="T16" s="711"/>
      <c r="U16" s="712"/>
      <c r="V16" s="711"/>
      <c r="W16" s="712"/>
      <c r="X16" s="1487"/>
      <c r="Y16" s="3544"/>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5"/>
      <c r="M17" s="2889"/>
      <c r="N17" s="2889"/>
      <c r="O17" s="2947"/>
      <c r="P17" s="3544"/>
      <c r="Q17" s="1484" t="str">
        <f>B17</f>
        <v>交通便捷度</v>
      </c>
      <c r="R17" s="711" t="s">
        <v>17</v>
      </c>
      <c r="S17" s="712">
        <f>F17</f>
        <v>100</v>
      </c>
      <c r="T17" s="711" t="s">
        <v>17</v>
      </c>
      <c r="U17" s="712">
        <f>H17</f>
        <v>100</v>
      </c>
      <c r="V17" s="711" t="s">
        <v>17</v>
      </c>
      <c r="W17" s="712">
        <f>J17</f>
        <v>100</v>
      </c>
      <c r="X17" s="1487"/>
      <c r="Y17" s="3544"/>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5"/>
      <c r="M18" s="2889"/>
      <c r="N18" s="2889"/>
      <c r="O18" s="2947"/>
      <c r="P18" s="3544"/>
      <c r="Q18" s="1484"/>
      <c r="R18" s="711"/>
      <c r="S18" s="712"/>
      <c r="T18" s="711"/>
      <c r="U18" s="712"/>
      <c r="V18" s="711"/>
      <c r="W18" s="712"/>
      <c r="X18" s="1487"/>
      <c r="Y18" s="3544"/>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5"/>
      <c r="M19" s="2889"/>
      <c r="N19" s="2889"/>
      <c r="O19" s="2947"/>
      <c r="P19" s="3544"/>
      <c r="Q19" s="1484" t="str">
        <f t="shared" ref="Q19:Q33" si="8">B19</f>
        <v>区域土地利用方向</v>
      </c>
      <c r="R19" s="711" t="s">
        <v>17</v>
      </c>
      <c r="S19" s="712">
        <f>F19</f>
        <v>100</v>
      </c>
      <c r="T19" s="711" t="s">
        <v>17</v>
      </c>
      <c r="U19" s="712">
        <f>H19</f>
        <v>100</v>
      </c>
      <c r="V19" s="711" t="s">
        <v>17</v>
      </c>
      <c r="W19" s="712">
        <f>J19</f>
        <v>100</v>
      </c>
      <c r="X19" s="1487"/>
      <c r="Y19" s="3544"/>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5"/>
      <c r="M20" s="2889"/>
      <c r="N20" s="2889"/>
      <c r="O20" s="2947"/>
      <c r="P20" s="3544"/>
      <c r="Q20" s="1484"/>
      <c r="R20" s="711"/>
      <c r="S20" s="712"/>
      <c r="T20" s="711"/>
      <c r="U20" s="712"/>
      <c r="V20" s="711"/>
      <c r="W20" s="712"/>
      <c r="X20" s="1487"/>
      <c r="Y20" s="3544"/>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5"/>
      <c r="M21" s="2889"/>
      <c r="N21" s="2889"/>
      <c r="O21" s="2947"/>
      <c r="P21" s="3544"/>
      <c r="Q21" s="1484" t="str">
        <f t="shared" si="8"/>
        <v>环境状况</v>
      </c>
      <c r="R21" s="711" t="s">
        <v>17</v>
      </c>
      <c r="S21" s="712">
        <f>F21</f>
        <v>100</v>
      </c>
      <c r="T21" s="711" t="s">
        <v>17</v>
      </c>
      <c r="U21" s="712">
        <f>H21</f>
        <v>100</v>
      </c>
      <c r="V21" s="711" t="s">
        <v>17</v>
      </c>
      <c r="W21" s="712">
        <f>J21</f>
        <v>100</v>
      </c>
      <c r="X21" s="1487"/>
      <c r="Y21" s="3544"/>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5"/>
      <c r="M22" s="2889"/>
      <c r="N22" s="2889"/>
      <c r="O22" s="2947"/>
      <c r="P22" s="3544"/>
      <c r="Q22" s="1484"/>
      <c r="R22" s="711"/>
      <c r="S22" s="712"/>
      <c r="T22" s="711"/>
      <c r="U22" s="712"/>
      <c r="V22" s="711"/>
      <c r="W22" s="712"/>
      <c r="X22" s="1487"/>
      <c r="Y22" s="3544"/>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0"/>
      <c r="M23" s="2891"/>
      <c r="N23" s="2891"/>
      <c r="O23" s="2945"/>
      <c r="P23" s="3544"/>
      <c r="Q23" s="1475" t="str">
        <f t="shared" si="8"/>
        <v>公共配套设施</v>
      </c>
      <c r="R23" s="707" t="s">
        <v>17</v>
      </c>
      <c r="S23" s="708">
        <f>F23</f>
        <v>100</v>
      </c>
      <c r="T23" s="707" t="s">
        <v>17</v>
      </c>
      <c r="U23" s="708">
        <f>H23</f>
        <v>100</v>
      </c>
      <c r="V23" s="707" t="s">
        <v>17</v>
      </c>
      <c r="W23" s="708">
        <f>J23</f>
        <v>100</v>
      </c>
      <c r="X23" s="709"/>
      <c r="Y23" s="3544"/>
      <c r="Z23" s="55" t="str">
        <f>Q23</f>
        <v>公共配套设施</v>
      </c>
      <c r="AA23" s="1485">
        <f>D23/F23</f>
        <v>1</v>
      </c>
      <c r="AB23" s="1485">
        <f>D23/H23</f>
        <v>1</v>
      </c>
      <c r="AC23" s="1485">
        <f>D23/J23</f>
        <v>1</v>
      </c>
    </row>
    <row r="24" spans="1:29" s="113" customFormat="1" ht="15">
      <c r="A24" s="604"/>
      <c r="B24" s="587"/>
      <c r="C24" s="2111"/>
      <c r="D24" s="407"/>
      <c r="E24" s="2038"/>
      <c r="F24" s="407"/>
      <c r="G24" s="2038"/>
      <c r="H24" s="407"/>
      <c r="I24" s="406"/>
      <c r="J24" s="407"/>
      <c r="K24" s="627"/>
      <c r="L24" s="2890"/>
      <c r="M24" s="2891"/>
      <c r="N24" s="2891"/>
      <c r="O24" s="2945"/>
      <c r="P24" s="3544"/>
      <c r="Q24" s="1475"/>
      <c r="R24" s="707"/>
      <c r="S24" s="708"/>
      <c r="T24" s="707"/>
      <c r="U24" s="708"/>
      <c r="V24" s="707"/>
      <c r="W24" s="708"/>
      <c r="X24" s="709"/>
      <c r="Y24" s="3544"/>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0"/>
      <c r="M25" s="2891"/>
      <c r="N25" s="2891"/>
      <c r="O25" s="2945"/>
      <c r="P25" s="3544"/>
      <c r="Q25" s="1475" t="str">
        <f t="shared" ref="Q25" si="9">B25</f>
        <v>基础设施水平</v>
      </c>
      <c r="R25" s="707" t="s">
        <v>17</v>
      </c>
      <c r="S25" s="708">
        <f>F25</f>
        <v>100</v>
      </c>
      <c r="T25" s="707" t="s">
        <v>17</v>
      </c>
      <c r="U25" s="708">
        <f>H25</f>
        <v>100</v>
      </c>
      <c r="V25" s="707" t="s">
        <v>17</v>
      </c>
      <c r="W25" s="708">
        <f>J25</f>
        <v>100</v>
      </c>
      <c r="X25" s="709"/>
      <c r="Y25" s="3544"/>
      <c r="Z25" s="55" t="str">
        <f>Q25</f>
        <v>基础设施水平</v>
      </c>
      <c r="AA25" s="1485">
        <f>D25/F25</f>
        <v>1</v>
      </c>
      <c r="AB25" s="1485">
        <f>D25/H25</f>
        <v>1</v>
      </c>
      <c r="AC25" s="1485">
        <f>D25/J25</f>
        <v>1</v>
      </c>
    </row>
    <row r="26" spans="1:29" s="113" customFormat="1" ht="15">
      <c r="A26" s="604"/>
      <c r="B26" s="587"/>
      <c r="C26" s="2111"/>
      <c r="D26" s="407"/>
      <c r="E26" s="2112"/>
      <c r="F26" s="407"/>
      <c r="G26" s="2112"/>
      <c r="H26" s="407"/>
      <c r="I26" s="2112"/>
      <c r="J26" s="407"/>
      <c r="K26" s="627"/>
      <c r="L26" s="2890"/>
      <c r="M26" s="2891"/>
      <c r="N26" s="2891"/>
      <c r="O26" s="2945"/>
      <c r="P26" s="3544"/>
      <c r="Q26" s="1475"/>
      <c r="R26" s="707"/>
      <c r="S26" s="708"/>
      <c r="T26" s="707"/>
      <c r="U26" s="708"/>
      <c r="V26" s="707"/>
      <c r="W26" s="708"/>
      <c r="X26" s="709"/>
      <c r="Y26" s="3544"/>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5"/>
      <c r="M27" s="2889"/>
      <c r="N27" s="2889"/>
      <c r="O27" s="2947"/>
      <c r="P27" s="3544"/>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44"/>
      <c r="Z27" s="1488" t="str">
        <f t="shared" ref="Z27:Z40" si="13">Q27</f>
        <v>临街状况</v>
      </c>
      <c r="AA27" s="1485">
        <f t="shared" si="3"/>
        <v>1</v>
      </c>
      <c r="AB27" s="1485">
        <f t="shared" si="4"/>
        <v>1</v>
      </c>
      <c r="AC27" s="1485">
        <f t="shared" si="5"/>
        <v>1</v>
      </c>
    </row>
    <row r="28" spans="1:29" ht="27">
      <c r="A28" s="387"/>
      <c r="B28" s="588"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5"/>
      <c r="M28" s="2889"/>
      <c r="N28" s="2889"/>
      <c r="O28" s="2947"/>
      <c r="P28" s="3544"/>
      <c r="Q28" s="1484" t="str">
        <f t="shared" si="8"/>
        <v>毗邻道路的类型与等级</v>
      </c>
      <c r="R28" s="711" t="s">
        <v>17</v>
      </c>
      <c r="S28" s="712">
        <f t="shared" si="10"/>
        <v>100</v>
      </c>
      <c r="T28" s="711" t="s">
        <v>17</v>
      </c>
      <c r="U28" s="712">
        <f t="shared" si="11"/>
        <v>100</v>
      </c>
      <c r="V28" s="711" t="s">
        <v>17</v>
      </c>
      <c r="W28" s="712">
        <f t="shared" si="12"/>
        <v>100</v>
      </c>
      <c r="X28" s="1487"/>
      <c r="Y28" s="3544"/>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5"/>
      <c r="M29" s="2889"/>
      <c r="N29" s="2889"/>
      <c r="O29" s="2947"/>
      <c r="P29" s="3544"/>
      <c r="Q29" s="1484"/>
      <c r="R29" s="711"/>
      <c r="S29" s="712"/>
      <c r="T29" s="711"/>
      <c r="U29" s="712"/>
      <c r="V29" s="711"/>
      <c r="W29" s="712"/>
      <c r="X29" s="1487"/>
      <c r="Y29" s="3544"/>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5"/>
      <c r="M30" s="2889"/>
      <c r="N30" s="2889"/>
      <c r="O30" s="2947"/>
      <c r="P30" s="3544"/>
      <c r="Q30" s="1484" t="str">
        <f t="shared" si="8"/>
        <v>土地级别</v>
      </c>
      <c r="R30" s="711" t="s">
        <v>17</v>
      </c>
      <c r="S30" s="712">
        <f t="shared" si="10"/>
        <v>100</v>
      </c>
      <c r="T30" s="711" t="s">
        <v>17</v>
      </c>
      <c r="U30" s="712">
        <f t="shared" si="11"/>
        <v>100</v>
      </c>
      <c r="V30" s="711" t="s">
        <v>17</v>
      </c>
      <c r="W30" s="712">
        <f t="shared" si="12"/>
        <v>100</v>
      </c>
      <c r="X30" s="1487"/>
      <c r="Y30" s="3544"/>
      <c r="Z30" s="1488" t="str">
        <f t="shared" si="13"/>
        <v>土地级别</v>
      </c>
      <c r="AA30" s="1485">
        <f t="shared" si="3"/>
        <v>1</v>
      </c>
      <c r="AB30" s="1485">
        <f t="shared" si="4"/>
        <v>1</v>
      </c>
      <c r="AC30" s="1485">
        <f t="shared" si="5"/>
        <v>1</v>
      </c>
    </row>
    <row r="31" spans="1:29" ht="15">
      <c r="A31" s="364"/>
      <c r="B31" s="2099">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44"/>
      <c r="Q31" s="1484">
        <f t="shared" si="8"/>
        <v>111</v>
      </c>
      <c r="R31" s="711" t="s">
        <v>17</v>
      </c>
      <c r="S31" s="712">
        <f t="shared" si="10"/>
        <v>100</v>
      </c>
      <c r="T31" s="711" t="s">
        <v>17</v>
      </c>
      <c r="U31" s="712">
        <f t="shared" si="11"/>
        <v>100</v>
      </c>
      <c r="V31" s="711" t="s">
        <v>17</v>
      </c>
      <c r="W31" s="712">
        <f t="shared" si="12"/>
        <v>100</v>
      </c>
      <c r="X31" s="1487"/>
      <c r="Y31" s="3544"/>
      <c r="Z31" s="1488">
        <f t="shared" si="13"/>
        <v>111</v>
      </c>
      <c r="AA31" s="1485">
        <f t="shared" si="3"/>
        <v>1</v>
      </c>
      <c r="AB31" s="1485">
        <f t="shared" si="4"/>
        <v>1</v>
      </c>
      <c r="AC31" s="1485">
        <f t="shared" si="5"/>
        <v>1</v>
      </c>
    </row>
    <row r="32" spans="1:29" ht="15">
      <c r="A32" s="630"/>
      <c r="B32" s="2125">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5"/>
      <c r="M32" s="2889"/>
      <c r="N32" s="2889"/>
      <c r="O32" s="2947"/>
      <c r="P32" s="3592" t="s">
        <v>2145</v>
      </c>
      <c r="Q32" s="1484">
        <f t="shared" si="8"/>
        <v>111</v>
      </c>
      <c r="R32" s="711" t="s">
        <v>17</v>
      </c>
      <c r="S32" s="712">
        <f t="shared" si="10"/>
        <v>100</v>
      </c>
      <c r="T32" s="711" t="s">
        <v>17</v>
      </c>
      <c r="U32" s="712">
        <f t="shared" si="11"/>
        <v>100</v>
      </c>
      <c r="V32" s="711" t="s">
        <v>17</v>
      </c>
      <c r="W32" s="712">
        <f t="shared" si="12"/>
        <v>100</v>
      </c>
      <c r="X32" s="1487"/>
      <c r="Y32" s="3548" t="s">
        <v>2145</v>
      </c>
      <c r="Z32" s="1488">
        <f t="shared" si="13"/>
        <v>111</v>
      </c>
      <c r="AA32" s="1485">
        <f t="shared" si="3"/>
        <v>1</v>
      </c>
      <c r="AB32" s="1485">
        <f t="shared" si="4"/>
        <v>1</v>
      </c>
      <c r="AC32" s="1485">
        <f t="shared" si="5"/>
        <v>1</v>
      </c>
    </row>
    <row r="33" spans="1:31" s="430" customFormat="1" ht="15.75" thickBot="1">
      <c r="A33" s="631"/>
      <c r="B33" s="2126">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4"/>
      <c r="M33" s="2896"/>
      <c r="N33" s="2896"/>
      <c r="O33" s="2948"/>
      <c r="P33" s="3548"/>
      <c r="Q33" s="1484">
        <f t="shared" si="8"/>
        <v>111</v>
      </c>
      <c r="R33" s="714" t="s">
        <v>17</v>
      </c>
      <c r="S33" s="715">
        <f t="shared" si="10"/>
        <v>100</v>
      </c>
      <c r="T33" s="714" t="s">
        <v>17</v>
      </c>
      <c r="U33" s="715">
        <f t="shared" si="11"/>
        <v>100</v>
      </c>
      <c r="V33" s="714" t="s">
        <v>17</v>
      </c>
      <c r="W33" s="715">
        <f t="shared" si="12"/>
        <v>100</v>
      </c>
      <c r="X33" s="716"/>
      <c r="Y33" s="3548"/>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5"/>
      <c r="M34" s="2889"/>
      <c r="N34" s="2889"/>
      <c r="O34" s="2947"/>
      <c r="P34" s="3548"/>
      <c r="Q34" s="1484" t="str">
        <f>B34</f>
        <v>宗地面积</v>
      </c>
      <c r="R34" s="711" t="s">
        <v>17</v>
      </c>
      <c r="S34" s="712" t="e">
        <f t="shared" si="10"/>
        <v>#N/A</v>
      </c>
      <c r="T34" s="711" t="s">
        <v>17</v>
      </c>
      <c r="U34" s="712" t="e">
        <f t="shared" si="11"/>
        <v>#N/A</v>
      </c>
      <c r="V34" s="711" t="s">
        <v>17</v>
      </c>
      <c r="W34" s="712" t="e">
        <f t="shared" si="12"/>
        <v>#N/A</v>
      </c>
      <c r="X34" s="1487"/>
      <c r="Y34" s="3548"/>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5"/>
      <c r="M35" s="2889"/>
      <c r="N35" s="2889"/>
      <c r="O35" s="2947"/>
      <c r="P35" s="3548"/>
      <c r="Q35" s="1484" t="str">
        <f t="shared" ref="Q35:Q40" si="14">B35</f>
        <v>宗地形状</v>
      </c>
      <c r="R35" s="711" t="s">
        <v>17</v>
      </c>
      <c r="S35" s="712">
        <f t="shared" si="10"/>
        <v>100</v>
      </c>
      <c r="T35" s="711" t="s">
        <v>17</v>
      </c>
      <c r="U35" s="712">
        <f t="shared" si="11"/>
        <v>100</v>
      </c>
      <c r="V35" s="711" t="s">
        <v>17</v>
      </c>
      <c r="W35" s="712">
        <f t="shared" si="12"/>
        <v>100</v>
      </c>
      <c r="X35" s="1487"/>
      <c r="Y35" s="3548"/>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0"/>
      <c r="M36" s="2891"/>
      <c r="N36" s="2891"/>
      <c r="O36" s="2945"/>
      <c r="P36" s="3548"/>
      <c r="Q36" s="1484" t="str">
        <f t="shared" si="14"/>
        <v>宗地开发程度</v>
      </c>
      <c r="R36" s="707" t="s">
        <v>17</v>
      </c>
      <c r="S36" s="708">
        <f t="shared" si="10"/>
        <v>100</v>
      </c>
      <c r="T36" s="707" t="s">
        <v>17</v>
      </c>
      <c r="U36" s="708">
        <f t="shared" si="11"/>
        <v>100</v>
      </c>
      <c r="V36" s="707" t="s">
        <v>17</v>
      </c>
      <c r="W36" s="708">
        <f t="shared" si="12"/>
        <v>100</v>
      </c>
      <c r="X36" s="709"/>
      <c r="Y36" s="3548"/>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5"/>
      <c r="M37" s="2889"/>
      <c r="N37" s="2889"/>
      <c r="O37" s="2947"/>
      <c r="P37" s="3548" t="s">
        <v>2145</v>
      </c>
      <c r="Q37" s="1484" t="str">
        <f t="shared" si="14"/>
        <v>工程地质条件</v>
      </c>
      <c r="R37" s="711" t="s">
        <v>17</v>
      </c>
      <c r="S37" s="712">
        <f t="shared" si="10"/>
        <v>100</v>
      </c>
      <c r="T37" s="711" t="s">
        <v>17</v>
      </c>
      <c r="U37" s="712">
        <f t="shared" si="11"/>
        <v>100</v>
      </c>
      <c r="V37" s="711" t="s">
        <v>17</v>
      </c>
      <c r="W37" s="712">
        <f t="shared" si="12"/>
        <v>100</v>
      </c>
      <c r="X37" s="1487"/>
      <c r="Y37" s="3548"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5"/>
      <c r="M38" s="2889"/>
      <c r="N38" s="2889"/>
      <c r="O38" s="2947"/>
      <c r="P38" s="3548"/>
      <c r="Q38" s="1484">
        <f t="shared" si="14"/>
        <v>111</v>
      </c>
      <c r="R38" s="711" t="s">
        <v>17</v>
      </c>
      <c r="S38" s="712">
        <f t="shared" si="10"/>
        <v>100</v>
      </c>
      <c r="T38" s="711" t="s">
        <v>17</v>
      </c>
      <c r="U38" s="712">
        <f t="shared" si="11"/>
        <v>100</v>
      </c>
      <c r="V38" s="711" t="s">
        <v>17</v>
      </c>
      <c r="W38" s="712">
        <f t="shared" si="12"/>
        <v>100</v>
      </c>
      <c r="X38" s="1487"/>
      <c r="Y38" s="3548"/>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5"/>
      <c r="M39" s="2889"/>
      <c r="N39" s="2889"/>
      <c r="O39" s="2947"/>
      <c r="P39" s="3548"/>
      <c r="Q39" s="1484">
        <f t="shared" si="14"/>
        <v>111</v>
      </c>
      <c r="R39" s="711" t="s">
        <v>17</v>
      </c>
      <c r="S39" s="712">
        <f t="shared" si="10"/>
        <v>100</v>
      </c>
      <c r="T39" s="711" t="s">
        <v>17</v>
      </c>
      <c r="U39" s="712">
        <f t="shared" si="11"/>
        <v>100</v>
      </c>
      <c r="V39" s="711" t="s">
        <v>17</v>
      </c>
      <c r="W39" s="712">
        <f t="shared" si="12"/>
        <v>100</v>
      </c>
      <c r="X39" s="1487"/>
      <c r="Y39" s="3548"/>
      <c r="Z39" s="1488">
        <f t="shared" si="13"/>
        <v>111</v>
      </c>
      <c r="AA39" s="1485">
        <f t="shared" si="3"/>
        <v>1</v>
      </c>
      <c r="AB39" s="1485">
        <f t="shared" si="4"/>
        <v>1</v>
      </c>
      <c r="AC39" s="1485">
        <f t="shared" si="5"/>
        <v>1</v>
      </c>
    </row>
    <row r="40" spans="1:31" s="430" customFormat="1" ht="15.75" thickBot="1">
      <c r="A40" s="427"/>
      <c r="B40" s="1246">
        <v>111</v>
      </c>
      <c r="C40" s="2114"/>
      <c r="D40" s="133">
        <v>100</v>
      </c>
      <c r="E40" s="629"/>
      <c r="F40" s="397">
        <f>SUMIF(120:120,E40,121:121)-SUMIF(120:120,C40,121:121)+100</f>
        <v>100</v>
      </c>
      <c r="G40" s="629"/>
      <c r="H40" s="397">
        <f>SUMIF(120:120,G40,121:121)-SUMIF(120:120,C40,121:121)+100</f>
        <v>100</v>
      </c>
      <c r="I40" s="506"/>
      <c r="J40" s="397">
        <f>SUMIF(120:120,I40,121:121)-SUMIF(120:120,C40,121:121)+100</f>
        <v>100</v>
      </c>
      <c r="K40" s="636"/>
      <c r="L40" s="2894"/>
      <c r="M40" s="2896"/>
      <c r="N40" s="2896"/>
      <c r="O40" s="2948"/>
      <c r="P40" s="3548"/>
      <c r="Q40" s="1484">
        <f t="shared" si="14"/>
        <v>111</v>
      </c>
      <c r="R40" s="714" t="s">
        <v>17</v>
      </c>
      <c r="S40" s="715">
        <f t="shared" si="10"/>
        <v>100</v>
      </c>
      <c r="T40" s="714" t="s">
        <v>17</v>
      </c>
      <c r="U40" s="715">
        <f t="shared" si="11"/>
        <v>100</v>
      </c>
      <c r="V40" s="714" t="s">
        <v>17</v>
      </c>
      <c r="W40" s="715">
        <f t="shared" si="12"/>
        <v>100</v>
      </c>
      <c r="X40" s="716"/>
      <c r="Y40" s="3548"/>
      <c r="Z40" s="717">
        <f t="shared" si="13"/>
        <v>111</v>
      </c>
      <c r="AA40" s="1485">
        <f t="shared" si="3"/>
        <v>1</v>
      </c>
      <c r="AB40" s="1485">
        <f t="shared" si="4"/>
        <v>1</v>
      </c>
      <c r="AC40" s="1485">
        <f t="shared" si="5"/>
        <v>1</v>
      </c>
    </row>
    <row r="41" spans="1:31" ht="15">
      <c r="A41" s="438" t="s">
        <v>2300</v>
      </c>
      <c r="B41" s="2115" t="s">
        <v>2379</v>
      </c>
      <c r="C41" s="637" t="s">
        <v>1</v>
      </c>
      <c r="D41" s="440"/>
      <c r="E41" s="441"/>
      <c r="F41" s="442"/>
      <c r="G41" s="443"/>
      <c r="H41" s="444"/>
      <c r="I41" s="441"/>
      <c r="J41" s="444"/>
      <c r="K41" s="720"/>
      <c r="L41" s="2897"/>
      <c r="M41" s="2889"/>
      <c r="N41" s="2889"/>
      <c r="O41" s="2898"/>
      <c r="P41" s="3550" t="str">
        <f>A41</f>
        <v>成交单价</v>
      </c>
      <c r="Q41" s="3550"/>
      <c r="R41" s="3538">
        <f>E41</f>
        <v>0</v>
      </c>
      <c r="S41" s="3538"/>
      <c r="T41" s="3538">
        <f>G41</f>
        <v>0</v>
      </c>
      <c r="U41" s="3538"/>
      <c r="V41" s="3538">
        <f>I41</f>
        <v>0</v>
      </c>
      <c r="W41" s="3538"/>
      <c r="X41" s="696"/>
      <c r="Y41" s="718"/>
      <c r="Z41" s="696"/>
      <c r="AA41" s="696"/>
      <c r="AB41" s="696"/>
      <c r="AC41" s="696"/>
    </row>
    <row r="42" spans="1:31" ht="15.75" thickBot="1">
      <c r="A42" s="445" t="s">
        <v>2249</v>
      </c>
      <c r="B42" s="638"/>
      <c r="C42" s="448" t="e">
        <f>R43</f>
        <v>#DIV/0!</v>
      </c>
      <c r="D42" s="2485" t="s">
        <v>2636</v>
      </c>
      <c r="E42" s="448" t="e">
        <f>R42</f>
        <v>#DIV/0!</v>
      </c>
      <c r="F42" s="2486"/>
      <c r="G42" s="447" t="e">
        <f>T42</f>
        <v>#DIV/0!</v>
      </c>
      <c r="H42" s="2486"/>
      <c r="I42" s="448" t="e">
        <f>V42</f>
        <v>#DIV/0!</v>
      </c>
      <c r="J42" s="2486"/>
      <c r="K42" s="2488">
        <f>F42+H42+J42</f>
        <v>0</v>
      </c>
      <c r="L42" s="2897"/>
      <c r="M42" s="2889"/>
      <c r="N42" s="2889"/>
      <c r="O42" s="2898"/>
      <c r="P42" s="3550" t="str">
        <f>A42</f>
        <v>比较价值（元/平方米）</v>
      </c>
      <c r="Q42" s="3550"/>
      <c r="R42" s="3594" t="e">
        <f>ROUND(PRODUCT(R41,AA7:AA40),0)</f>
        <v>#DIV/0!</v>
      </c>
      <c r="S42" s="3594"/>
      <c r="T42" s="3594" t="e">
        <f>ROUND(PRODUCT(T41,AB7:AB40),0)</f>
        <v>#DIV/0!</v>
      </c>
      <c r="U42" s="3594"/>
      <c r="V42" s="3594" t="e">
        <f>ROUND(PRODUCT(V41,AC7:AC40),0)</f>
        <v>#DIV/0!</v>
      </c>
      <c r="W42" s="3594"/>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7"/>
      <c r="M43" s="2889"/>
      <c r="N43" s="2889"/>
      <c r="O43" s="2898"/>
      <c r="P43" s="3589" t="str">
        <f>A43</f>
        <v>估价对象XX用房的比较价值（楼面单价，元/平方米）</v>
      </c>
      <c r="Q43" s="3590"/>
      <c r="R43" s="3595" t="e">
        <f>ROUND(IF(D42="简单平均",AVERAGE(R42:W42),R42*F42+T42*H42+V42*J42),0)</f>
        <v>#DIV/0!</v>
      </c>
      <c r="S43" s="3595"/>
      <c r="T43" s="3595"/>
      <c r="U43" s="3595"/>
      <c r="V43" s="3595"/>
      <c r="W43" s="3595"/>
      <c r="X43" s="696"/>
      <c r="Y43" s="696"/>
      <c r="Z43" s="696"/>
      <c r="AA43" s="696"/>
      <c r="AB43" s="696"/>
      <c r="AC43" s="696"/>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699"/>
      <c r="D49" s="697"/>
      <c r="E49" s="697"/>
      <c r="F49" s="697"/>
      <c r="G49" s="697"/>
      <c r="H49" s="697"/>
      <c r="I49" s="697"/>
      <c r="J49" s="697"/>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2338</v>
      </c>
      <c r="B50" s="640" t="s">
        <v>2339</v>
      </c>
      <c r="C50" s="2116" t="s">
        <v>2340</v>
      </c>
      <c r="D50" s="2117" t="s">
        <v>2341</v>
      </c>
      <c r="E50" s="641" t="s">
        <v>2342</v>
      </c>
      <c r="F50" s="642" t="s">
        <v>2343</v>
      </c>
      <c r="G50" s="3525" t="s">
        <v>2344</v>
      </c>
      <c r="H50" s="3596"/>
      <c r="I50" s="1488" t="s">
        <v>2380</v>
      </c>
      <c r="J50" s="1488">
        <f>项目基本情况!F35</f>
        <v>0</v>
      </c>
      <c r="K50" s="2119" t="s">
        <v>2346</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2347</v>
      </c>
      <c r="B51" s="644" t="e">
        <f>C43</f>
        <v>#DIV/0!</v>
      </c>
      <c r="C51" s="645">
        <v>1</v>
      </c>
      <c r="D51" s="1053">
        <v>1</v>
      </c>
      <c r="E51" s="645">
        <f>'数据-汇总表'!E8+'数据-汇总表'!E9</f>
        <v>199.12</v>
      </c>
      <c r="F51" s="646" t="e">
        <f t="shared" ref="F51:F60" si="15">ROUND(B51*E51/10000,0)</f>
        <v>#DIV/0!</v>
      </c>
      <c r="G51" s="3521"/>
      <c r="H51" s="3550"/>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2348</v>
      </c>
      <c r="B52" s="224" t="e">
        <f>ROUND($C$43*C52*D52,0)</f>
        <v>#DIV/0!</v>
      </c>
      <c r="C52" s="176">
        <f t="shared" ref="C52:C60" si="16">IF($C$50="北京市系数",I52,J52)</f>
        <v>0</v>
      </c>
      <c r="D52" s="1054">
        <v>0.25</v>
      </c>
      <c r="E52" s="649"/>
      <c r="F52" s="646" t="e">
        <f t="shared" si="15"/>
        <v>#DIV/0!</v>
      </c>
      <c r="G52" s="3222" t="s">
        <v>2349</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2350</v>
      </c>
      <c r="B53" s="224" t="e">
        <f t="shared" ref="B53:B60" si="17">ROUND($C$43*C53*D53,0)</f>
        <v>#DIV/0!</v>
      </c>
      <c r="C53" s="176">
        <f t="shared" si="16"/>
        <v>0</v>
      </c>
      <c r="D53" s="1054">
        <v>0.25</v>
      </c>
      <c r="E53" s="649"/>
      <c r="F53" s="646"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2351</v>
      </c>
      <c r="B54" s="224" t="e">
        <f t="shared" si="17"/>
        <v>#DIV/0!</v>
      </c>
      <c r="C54" s="176">
        <f t="shared" si="16"/>
        <v>0</v>
      </c>
      <c r="D54" s="1054">
        <v>0.25</v>
      </c>
      <c r="E54" s="649"/>
      <c r="F54" s="646"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4"/>
      <c r="C55" s="176"/>
      <c r="D55" s="1054"/>
      <c r="E55" s="649"/>
      <c r="F55" s="646"/>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2352</v>
      </c>
      <c r="B56" s="224" t="e">
        <f t="shared" si="17"/>
        <v>#DIV/0!</v>
      </c>
      <c r="C56" s="176">
        <f t="shared" si="16"/>
        <v>0</v>
      </c>
      <c r="D56" s="1054">
        <v>0.25</v>
      </c>
      <c r="E56" s="223">
        <f>'数据-汇总表'!E11</f>
        <v>0</v>
      </c>
      <c r="F56" s="646" t="e">
        <f t="shared" si="15"/>
        <v>#DIV/0!</v>
      </c>
      <c r="G56" s="2120" t="s">
        <v>2353</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2358</v>
      </c>
      <c r="B59" s="224" t="e">
        <f t="shared" si="17"/>
        <v>#DIV/0!</v>
      </c>
      <c r="C59" s="176">
        <f t="shared" si="16"/>
        <v>0</v>
      </c>
      <c r="D59" s="1054">
        <v>0.25</v>
      </c>
      <c r="E59" s="223">
        <f>'数据-汇总表'!E14</f>
        <v>0</v>
      </c>
      <c r="F59" s="646" t="e">
        <f t="shared" si="15"/>
        <v>#DIV/0!</v>
      </c>
      <c r="G59" s="2120" t="s">
        <v>2349</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2359</v>
      </c>
      <c r="B60" s="224" t="e">
        <f t="shared" si="17"/>
        <v>#DIV/0!</v>
      </c>
      <c r="C60" s="176">
        <f t="shared" si="16"/>
        <v>0</v>
      </c>
      <c r="D60" s="1054">
        <v>0.25</v>
      </c>
      <c r="E60" s="223">
        <f>'数据-汇总表'!E15</f>
        <v>0</v>
      </c>
      <c r="F60" s="646" t="e">
        <f t="shared" si="15"/>
        <v>#DIV/0!</v>
      </c>
      <c r="G60" s="2121" t="s">
        <v>2353</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0" t="s">
        <v>2254</v>
      </c>
      <c r="B64" s="696"/>
      <c r="C64" s="701"/>
      <c r="D64" s="701"/>
      <c r="E64" s="701"/>
      <c r="F64" s="702"/>
      <c r="G64" s="702"/>
      <c r="H64" s="701"/>
      <c r="I64" s="701"/>
      <c r="J64" s="701"/>
      <c r="K64" s="703"/>
      <c r="L64" s="704"/>
      <c r="M64" s="701"/>
      <c r="N64" s="701"/>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2"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7"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2165</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2130</v>
      </c>
      <c r="B68" s="467"/>
      <c r="C68" s="479" t="s">
        <v>2232</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4">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2168</v>
      </c>
      <c r="B70" s="485" t="s">
        <v>2134</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2137</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2139</v>
      </c>
      <c r="B83" s="485" t="s">
        <v>2285</v>
      </c>
      <c r="C83" s="530" t="s">
        <v>2177</v>
      </c>
      <c r="D83" s="530" t="s">
        <v>2178</v>
      </c>
      <c r="E83" s="530" t="s">
        <v>2179</v>
      </c>
      <c r="F83" s="530" t="s">
        <v>2180</v>
      </c>
      <c r="G83" s="530" t="s">
        <v>2181</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2182</v>
      </c>
      <c r="C85" s="535" t="s">
        <v>2177</v>
      </c>
      <c r="D85" s="535" t="s">
        <v>2178</v>
      </c>
      <c r="E85" s="535" t="s">
        <v>2179</v>
      </c>
      <c r="F85" s="535" t="s">
        <v>2180</v>
      </c>
      <c r="G85" s="535" t="s">
        <v>2181</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2271</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2330</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2371</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2373</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2374</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5"/>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2383</v>
      </c>
      <c r="B1" s="203"/>
      <c r="C1" s="207" t="s">
        <v>2384</v>
      </c>
      <c r="D1" s="348">
        <f>SUM(D29:D30,D33:D39)</f>
        <v>0</v>
      </c>
      <c r="E1" s="2128"/>
      <c r="F1" s="2128"/>
      <c r="G1" s="2128"/>
      <c r="H1" s="2128"/>
      <c r="I1" s="2128"/>
      <c r="J1" s="2128"/>
      <c r="K1" s="1230"/>
      <c r="L1" s="2129" t="s">
        <v>2385</v>
      </c>
      <c r="M1" s="972">
        <f>SUMPRODUCT((区片价!B5:B9=I2)*(区片价!C3:F3=E2)*(区片价!C5:F9))</f>
        <v>0</v>
      </c>
      <c r="N1" s="975">
        <f>SUMPRODUCT((因素修正幅度!B5:B9=I2)*(因素修正幅度!C3:F3=E2)*(因素修正幅度!C5:F9))</f>
        <v>0</v>
      </c>
      <c r="O1" s="2130"/>
      <c r="P1" s="2130"/>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2" t="s">
        <v>2392</v>
      </c>
      <c r="D2" s="2133" t="s">
        <v>2393</v>
      </c>
      <c r="E2" s="2134"/>
      <c r="F2" s="2133" t="s">
        <v>2394</v>
      </c>
      <c r="G2" s="2135">
        <f>IF(E2="商业",项目基本情况!B37,IF(E2="办公",项目基本情况!C37,IF(E2="住宅",项目基本情况!D37,项目基本情况!E37)))</f>
        <v>0</v>
      </c>
      <c r="H2" s="2133" t="s">
        <v>2395</v>
      </c>
      <c r="I2" s="2135">
        <f>IF(E2="商业",项目基本情况!B38,IF(E2="办公",项目基本情况!C38,IF(E2="住宅",项目基本情况!D38,项目基本情况!E38)))</f>
        <v>0</v>
      </c>
      <c r="J2" s="2136"/>
      <c r="K2" s="1230"/>
      <c r="L2" s="2137"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2" t="s">
        <v>2398</v>
      </c>
      <c r="D3" s="2133" t="s">
        <v>2399</v>
      </c>
      <c r="E3" s="2138"/>
      <c r="F3" s="2139" t="s">
        <v>2400</v>
      </c>
      <c r="G3" s="834">
        <f>IF(F3="宗地容积率",'数据-汇总表'!I4,IF(F3="估价对象容积率",'数据-汇总表'!I6,'数据-汇总表'!I7))</f>
        <v>8.8699999999999992</v>
      </c>
      <c r="H3" s="175" t="s">
        <v>2401</v>
      </c>
      <c r="I3" s="859"/>
      <c r="J3" s="2136" t="s">
        <v>2402</v>
      </c>
      <c r="K3" s="1230"/>
      <c r="L3" s="2137"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20"/>
      <c r="B4" s="3621"/>
      <c r="C4" s="3621"/>
      <c r="D4" s="3622"/>
      <c r="E4" s="3622"/>
      <c r="F4" s="3622"/>
      <c r="G4" s="3622"/>
      <c r="H4" s="3622"/>
      <c r="I4" s="3622"/>
      <c r="J4" s="3623"/>
      <c r="K4" s="1230"/>
      <c r="L4" s="2137"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2405</v>
      </c>
      <c r="C5" s="835" t="e">
        <f>ROUND(IF(E2="商业",C6*C7+C16,(IF(E2="住宅",C6*C12+C16,C6+C16))),0)</f>
        <v>#DIV/0!</v>
      </c>
      <c r="D5" s="1471" t="e">
        <f>ROUND(C6+C16,0)</f>
        <v>#DIV/0!</v>
      </c>
      <c r="E5" s="1471"/>
      <c r="F5" s="2142"/>
      <c r="G5" s="2143"/>
      <c r="H5" s="2143"/>
      <c r="I5" s="2143"/>
      <c r="J5" s="2144"/>
      <c r="K5" s="2145"/>
      <c r="L5" s="2137"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2407</v>
      </c>
      <c r="B6" s="2151" t="s">
        <v>2408</v>
      </c>
      <c r="C6" s="836">
        <f>SUMIF(L1:L12,G2,M1:M12)</f>
        <v>0</v>
      </c>
      <c r="D6" s="2152" t="s">
        <v>2409</v>
      </c>
      <c r="E6" s="2153"/>
      <c r="F6" s="2153"/>
      <c r="G6" s="2154"/>
      <c r="H6" s="2154"/>
      <c r="I6" s="2154"/>
      <c r="J6" s="2155"/>
      <c r="K6" s="1516"/>
      <c r="L6" s="2137"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601" t="str">
        <f>IF(E2="商业",IF(C8="不临58条商业街","",2),"")</f>
        <v/>
      </c>
      <c r="B7" s="2156" t="s">
        <v>2411</v>
      </c>
      <c r="C7" s="837" t="e">
        <f>IF(C8="不临58条商业街",1,ROUND(1+(1.6*E8+1.2*E9+0.8*E10+0.4*E11)*C9,4))</f>
        <v>#DIV/0!</v>
      </c>
      <c r="D7" s="2157" t="s">
        <v>2412</v>
      </c>
      <c r="E7" s="860"/>
      <c r="F7" s="2158"/>
      <c r="G7" s="2159"/>
      <c r="H7" s="2159"/>
      <c r="I7" s="2159"/>
      <c r="J7" s="2160"/>
      <c r="K7" s="1516"/>
      <c r="L7" s="2137"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24"/>
      <c r="B8" s="175" t="s">
        <v>2416</v>
      </c>
      <c r="C8" s="2161"/>
      <c r="D8" s="838" t="s">
        <v>139</v>
      </c>
      <c r="E8" s="839" t="e">
        <f>ROUND(C11/E7,4)</f>
        <v>#DIV/0!</v>
      </c>
      <c r="F8" s="2162" t="s">
        <v>2417</v>
      </c>
      <c r="G8" s="2163"/>
      <c r="H8" s="2163"/>
      <c r="I8" s="2163"/>
      <c r="J8" s="2164"/>
      <c r="K8" s="1230"/>
      <c r="L8" s="2137"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17" t="s">
        <v>2419</v>
      </c>
      <c r="X8" s="3618"/>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24"/>
      <c r="B9" s="175" t="s">
        <v>2432</v>
      </c>
      <c r="C9" s="840">
        <f>SUMIF(修正!C71:C138,C8,修正!E71:E138)</f>
        <v>0</v>
      </c>
      <c r="D9" s="176" t="s">
        <v>140</v>
      </c>
      <c r="E9" s="176" t="e">
        <f>ROUND(C11/E7,4)</f>
        <v>#DIV/0!</v>
      </c>
      <c r="F9" s="2162" t="s">
        <v>2433</v>
      </c>
      <c r="G9" s="2163"/>
      <c r="H9" s="2163"/>
      <c r="I9" s="2163"/>
      <c r="J9" s="2164"/>
      <c r="K9" s="1230"/>
      <c r="L9" s="2137"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19"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24"/>
      <c r="B10" s="175" t="s">
        <v>2437</v>
      </c>
      <c r="C10" s="176">
        <f>SUMIF(修正!C71:C138,C8,修正!F71:F138)</f>
        <v>0</v>
      </c>
      <c r="D10" s="176" t="s">
        <v>141</v>
      </c>
      <c r="E10" s="176" t="e">
        <f>ROUND(C11/E7,4)</f>
        <v>#DIV/0!</v>
      </c>
      <c r="F10" s="2162" t="s">
        <v>2438</v>
      </c>
      <c r="G10" s="2163"/>
      <c r="H10" s="2163"/>
      <c r="I10" s="2163"/>
      <c r="J10" s="2164"/>
      <c r="K10" s="1230"/>
      <c r="L10" s="2137"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19"/>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24"/>
      <c r="B11" s="2165" t="s">
        <v>2440</v>
      </c>
      <c r="C11" s="841">
        <f>C10/4</f>
        <v>0</v>
      </c>
      <c r="D11" s="841" t="s">
        <v>142</v>
      </c>
      <c r="E11" s="841" t="e">
        <f>ROUND(C11/E7,4)</f>
        <v>#DIV/0!</v>
      </c>
      <c r="F11" s="2166" t="s">
        <v>2441</v>
      </c>
      <c r="G11" s="2167"/>
      <c r="H11" s="2167"/>
      <c r="I11" s="2167"/>
      <c r="J11" s="2168"/>
      <c r="K11" s="1230"/>
      <c r="L11" s="2137"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19"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01" t="s">
        <v>2445</v>
      </c>
      <c r="B12" s="2169" t="s">
        <v>2446</v>
      </c>
      <c r="C12" s="837">
        <f>ROUND(C15*D15*E15*F15*G15*H15*I15*J15,4)</f>
        <v>1</v>
      </c>
      <c r="D12" s="2170" t="s">
        <v>2447</v>
      </c>
      <c r="E12" s="2171"/>
      <c r="F12" s="2171"/>
      <c r="G12" s="2172"/>
      <c r="H12" s="2172"/>
      <c r="I12" s="2172"/>
      <c r="J12" s="2173"/>
      <c r="K12" s="1230"/>
      <c r="L12" s="2174"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19"/>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25"/>
      <c r="B13" s="2175" t="s">
        <v>2450</v>
      </c>
      <c r="C13" s="2176" t="s">
        <v>2451</v>
      </c>
      <c r="D13" s="1482" t="s">
        <v>2452</v>
      </c>
      <c r="E13" s="1482" t="s">
        <v>2453</v>
      </c>
      <c r="F13" s="30" t="s">
        <v>2454</v>
      </c>
      <c r="G13" s="2177" t="s">
        <v>2455</v>
      </c>
      <c r="H13" s="2177" t="s">
        <v>2455</v>
      </c>
      <c r="I13" s="2177" t="s">
        <v>2455</v>
      </c>
      <c r="J13" s="2178" t="s">
        <v>2455</v>
      </c>
      <c r="K13" s="1230"/>
      <c r="L13" s="1230"/>
      <c r="M13" s="1230"/>
      <c r="N13" s="1230"/>
      <c r="O13" s="1230"/>
      <c r="P13" s="1230"/>
      <c r="Q13" s="1230"/>
      <c r="R13" s="1324">
        <v>12</v>
      </c>
      <c r="S13" s="1325"/>
      <c r="T13" s="1324" t="e">
        <f t="shared" si="0"/>
        <v>#DIV/0!</v>
      </c>
      <c r="U13" s="1325"/>
      <c r="V13" s="1324" t="e">
        <f t="shared" si="1"/>
        <v>#DIV/0!</v>
      </c>
      <c r="W13" s="3619"/>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25"/>
      <c r="B14" s="2179"/>
      <c r="C14" s="2180"/>
      <c r="D14" s="2181"/>
      <c r="E14" s="2181"/>
      <c r="F14" s="2182"/>
      <c r="G14" s="2183" t="s">
        <v>2456</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626"/>
      <c r="B15" s="2187" t="s">
        <v>2457</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601" t="s">
        <v>2462</v>
      </c>
      <c r="B16" s="2156" t="s">
        <v>2463</v>
      </c>
      <c r="C16" s="2318" t="e">
        <f>ROUND(IF(F17="与级别开发程度一致",0,(G17-E17)/C17),0)</f>
        <v>#DIV/0!</v>
      </c>
      <c r="D16" s="3614" t="s">
        <v>2467</v>
      </c>
      <c r="E16" s="3615"/>
      <c r="F16" s="3614" t="s">
        <v>2464</v>
      </c>
      <c r="G16" s="3615"/>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602"/>
      <c r="B17" s="2329" t="s">
        <v>2466</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2469</v>
      </c>
      <c r="C18" s="2325">
        <f>SUMIF(修正!C20:C51,E3,修正!E20:E51)</f>
        <v>0</v>
      </c>
      <c r="D18" s="2326"/>
      <c r="E18" s="2327"/>
      <c r="F18" s="2327"/>
      <c r="G18" s="2327"/>
      <c r="H18" s="2327"/>
      <c r="I18" s="2327"/>
      <c r="J18" s="2328"/>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3"/>
    </row>
    <row r="19" spans="1:37" s="2149" customFormat="1" ht="27.75" thickBot="1">
      <c r="A19" s="2193" t="s">
        <v>628</v>
      </c>
      <c r="B19" s="2194" t="s">
        <v>2470</v>
      </c>
      <c r="C19" s="842" t="e">
        <f>ROUND(IF(H19="按公示增长率计算",SUMPRODUCT((地价!A3:A37=YEAR(G19)&amp;"-"&amp;ROUNDUP(MONTH(G19)/3,0))*(地价!X2:AB2=E2)*(地价!X3:AB37)),IF(H19="地价指数",M20/M19,(1+I19)^O19)),4)</f>
        <v>#VALUE!</v>
      </c>
      <c r="D19" s="2198" t="s">
        <v>2471</v>
      </c>
      <c r="E19" s="843">
        <v>41640</v>
      </c>
      <c r="F19" s="2198" t="s">
        <v>2472</v>
      </c>
      <c r="G19" s="844">
        <f>'数据-取费表'!B2</f>
        <v>44798</v>
      </c>
      <c r="H19" s="2199"/>
      <c r="I19" s="845" t="str">
        <f>IF(H19="季度增幅（自定义）",SUMIF(N21:N24,E2,O21:O24),"")</f>
        <v/>
      </c>
      <c r="J19" s="2196"/>
      <c r="K19" s="1237"/>
      <c r="L19" s="2200" t="s">
        <v>2473</v>
      </c>
      <c r="M19" s="1446">
        <f>ROUND(SUMIF(地价!B2:F2,E2,地价!B37:F37),0)</f>
        <v>0</v>
      </c>
      <c r="N19" s="2201"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6"/>
      <c r="AH19" s="2287"/>
      <c r="AI19" s="2967"/>
      <c r="AJ19" s="2967"/>
      <c r="AK19" s="2202"/>
    </row>
    <row r="20" spans="1:37" s="2149" customFormat="1" ht="27.75" thickBot="1">
      <c r="A20" s="2203" t="s">
        <v>629</v>
      </c>
      <c r="B20" s="2204" t="s">
        <v>2475</v>
      </c>
      <c r="C20" s="847" t="e">
        <f>ROUND(POWER(1+G20,J20-I20)*(POWER(1+G20,I20)-1)/(POWER(1+G20,J20)-1),4)</f>
        <v>#DIV/0!</v>
      </c>
      <c r="D20" s="2205" t="s">
        <v>2476</v>
      </c>
      <c r="E20" s="1453">
        <f>存贷款利率!E21/100</f>
        <v>4.3499999999999997E-2</v>
      </c>
      <c r="F20" s="2205" t="s">
        <v>2468</v>
      </c>
      <c r="G20" s="851">
        <f>SUMIF(M26:P26,E2,M28:P28)</f>
        <v>0</v>
      </c>
      <c r="H20" s="2205" t="s">
        <v>2477</v>
      </c>
      <c r="I20" s="852" t="e">
        <f>SUMIF('数据-取费表'!C6:C15,E2,'数据-取费表'!F6:F15)/COUNTIF('数据-取费表'!C6:C15,E2)</f>
        <v>#DIV/0!</v>
      </c>
      <c r="J20" s="853">
        <f>IF(E2="住宅",70,IF(E2="商业",40,50))</f>
        <v>50</v>
      </c>
      <c r="K20" s="1237"/>
      <c r="L20" s="2206" t="s">
        <v>2478</v>
      </c>
      <c r="M20" s="1447">
        <f>ROUND(SUMPRODUCT((地价!A4:A37=YEAR(G19)&amp;"-"&amp;ROUNDUP(MONTH(G19)/3,0))*(地价!B2:F2=E2)*(地价!B4:F37)),0)</f>
        <v>0</v>
      </c>
      <c r="N20" s="2207" t="s">
        <v>2479</v>
      </c>
      <c r="O20" s="2208" t="s">
        <v>2480</v>
      </c>
      <c r="P20" s="2209" t="s">
        <v>2481</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9" customFormat="1" ht="15">
      <c r="A21" s="2210" t="s">
        <v>630</v>
      </c>
      <c r="B21" s="2211" t="s">
        <v>2482</v>
      </c>
      <c r="C21" s="854">
        <f>IF(B21="容积率修正",IF(G3&lt;=10,D22,J22),C23)</f>
        <v>0</v>
      </c>
      <c r="D21" s="2212"/>
      <c r="E21" s="2212"/>
      <c r="F21" s="2212"/>
      <c r="G21" s="2212"/>
      <c r="H21" s="2212"/>
      <c r="I21" s="2212"/>
      <c r="J21" s="2213"/>
      <c r="K21" s="1237"/>
      <c r="L21" s="2963"/>
      <c r="M21" s="2963"/>
      <c r="N21" s="2214" t="s">
        <v>2483</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9" customFormat="1" ht="14.25">
      <c r="A22" s="2089" t="s">
        <v>2484</v>
      </c>
      <c r="B22" s="2215"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3"/>
      <c r="M22" s="2963"/>
      <c r="N22" s="2214" t="s">
        <v>2487</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9" t="s">
        <v>2488</v>
      </c>
      <c r="B23" s="2216" t="s">
        <v>2489</v>
      </c>
      <c r="C23" s="928">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2490</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2491</v>
      </c>
      <c r="C24" s="842">
        <f>SUMIF(A45:A88,E2,B45:B88)</f>
        <v>0</v>
      </c>
      <c r="D24" s="2195"/>
      <c r="E24" s="2222"/>
      <c r="F24" s="2222"/>
      <c r="G24" s="2222"/>
      <c r="H24" s="2222"/>
      <c r="I24" s="2222"/>
      <c r="J24" s="2223"/>
      <c r="K24" s="1237"/>
      <c r="L24" s="2963"/>
      <c r="M24" s="2963"/>
      <c r="N24" s="2224" t="s">
        <v>2492</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3" t="s">
        <v>632</v>
      </c>
      <c r="B25" s="2225" t="s">
        <v>2493</v>
      </c>
      <c r="C25" s="848"/>
      <c r="D25" s="2159"/>
      <c r="E25" s="2159"/>
      <c r="F25" s="2226"/>
      <c r="G25" s="2159"/>
      <c r="H25" s="2159"/>
      <c r="I25" s="2159"/>
      <c r="J25" s="2160"/>
      <c r="K25" s="1230"/>
      <c r="L25" s="2130"/>
      <c r="M25" s="2130"/>
      <c r="N25" s="2958" t="s">
        <v>2494</v>
      </c>
      <c r="O25" s="2959"/>
      <c r="P25" s="2960">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2495</v>
      </c>
      <c r="C26" s="2489" t="e">
        <f>IF(B21="容积率修正",E29+SUM(E33:E39),SUM(V2:V16)+SUM(E33:E39))</f>
        <v>#DIV/0!</v>
      </c>
      <c r="D26" s="2228"/>
      <c r="E26" s="2184"/>
      <c r="F26" s="2229"/>
      <c r="G26" s="2184"/>
      <c r="H26" s="2184"/>
      <c r="I26" s="2184"/>
      <c r="J26" s="2230"/>
      <c r="K26" s="1230"/>
      <c r="L26" s="2961" t="s">
        <v>2393</v>
      </c>
      <c r="M26" s="2157" t="s">
        <v>2458</v>
      </c>
      <c r="N26" s="2157" t="s">
        <v>2459</v>
      </c>
      <c r="O26" s="2157" t="s">
        <v>2460</v>
      </c>
      <c r="P26" s="2962" t="s">
        <v>2461</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2496</v>
      </c>
      <c r="C27" s="849" t="e">
        <f>E30+SUM(I33:I39)</f>
        <v>#DIV/0!</v>
      </c>
      <c r="D27" s="2232"/>
      <c r="E27" s="2233"/>
      <c r="F27" s="2234"/>
      <c r="G27" s="2233"/>
      <c r="H27" s="2233"/>
      <c r="I27" s="2233"/>
      <c r="J27" s="2235"/>
      <c r="K27" s="1230"/>
      <c r="L27" s="2190"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2497</v>
      </c>
      <c r="C28" s="2238" t="s">
        <v>2498</v>
      </c>
      <c r="D28" s="2238" t="s">
        <v>2499</v>
      </c>
      <c r="E28" s="2239" t="s">
        <v>2500</v>
      </c>
      <c r="F28" s="2240"/>
      <c r="G28" s="2172"/>
      <c r="H28" s="2172"/>
      <c r="I28" s="2172"/>
      <c r="J28" s="2173"/>
      <c r="K28" s="1230"/>
      <c r="L28" s="2191"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2501</v>
      </c>
      <c r="C29" s="180" t="e">
        <f>ROUND(C5*C18*C19*C20*C21*C24,0)</f>
        <v>#DIV/0!</v>
      </c>
      <c r="D29" s="2243"/>
      <c r="E29" s="857" t="e">
        <f>ROUND(C29*D29/10000,0)</f>
        <v>#DIV/0!</v>
      </c>
      <c r="F29" s="2244" t="s">
        <v>2502</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2503</v>
      </c>
      <c r="C30" s="193" t="e">
        <f>ROUND(IF(E2="工业",C29*M39,C29*M38),0)</f>
        <v>#DIV/0!</v>
      </c>
      <c r="D30" s="2249"/>
      <c r="E30" s="857" t="e">
        <f>ROUND(C30*D30/10000,0)</f>
        <v>#DIV/0!</v>
      </c>
      <c r="F30" s="2250" t="s">
        <v>2504</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2505</v>
      </c>
      <c r="C31" s="2255" t="s">
        <v>2506</v>
      </c>
      <c r="D31" s="2172"/>
      <c r="E31" s="2255"/>
      <c r="F31" s="2255"/>
      <c r="G31" s="2170" t="s">
        <v>2507</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2498</v>
      </c>
      <c r="D32" s="455" t="s">
        <v>2499</v>
      </c>
      <c r="E32" s="455" t="s">
        <v>2500</v>
      </c>
      <c r="F32" s="348" t="s">
        <v>2508</v>
      </c>
      <c r="G32" s="2258" t="s">
        <v>2498</v>
      </c>
      <c r="H32" s="2258" t="s">
        <v>2499</v>
      </c>
      <c r="I32" s="2258"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611"/>
      <c r="B33" s="2259" t="s">
        <v>2509</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616"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612"/>
      <c r="B34" s="2176" t="s">
        <v>2510</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12"/>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612"/>
      <c r="B35" s="2176" t="s">
        <v>2511</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612"/>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613"/>
      <c r="B36" s="2176" t="s">
        <v>2512</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613"/>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2513</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2514</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2515</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2516</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2517</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2461</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2619</v>
      </c>
      <c r="C41" s="348" t="e">
        <f>ROUND(POWER(1+E41,H41-G41)*(POWER(1+E41,G41)-1)/(POWER(1+E41,H41)-1),4)</f>
        <v>#DIV/0!</v>
      </c>
      <c r="D41" s="176" t="s">
        <v>2468</v>
      </c>
      <c r="E41" s="2316">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2518</v>
      </c>
      <c r="B45" s="2271"/>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2" t="s">
        <v>2519</v>
      </c>
      <c r="B46" s="2273">
        <f>1+E48</f>
        <v>1</v>
      </c>
      <c r="C46" s="2274"/>
      <c r="D46" s="750"/>
      <c r="E46" s="751"/>
      <c r="F46" s="2275"/>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6" t="s">
        <v>2520</v>
      </c>
      <c r="B47" s="1483" t="s">
        <v>2521</v>
      </c>
      <c r="C47" s="1483" t="s">
        <v>2522</v>
      </c>
      <c r="D47" s="1483" t="s">
        <v>2523</v>
      </c>
      <c r="E47" s="755" t="s">
        <v>2524</v>
      </c>
      <c r="F47" s="2277" t="s">
        <v>2525</v>
      </c>
      <c r="G47" s="1483" t="s">
        <v>574</v>
      </c>
      <c r="H47" s="2278"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6" t="s">
        <v>2528</v>
      </c>
      <c r="B48" s="2279" t="str">
        <f>估价对象房地状况!C4</f>
        <v>估价对象位于西直门商圈，周边商业氛围成熟，有凯德MALL、华联购物中心等，人流量较大，商业繁华度较好</v>
      </c>
      <c r="C48" s="2181"/>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6" t="s">
        <v>2529</v>
      </c>
      <c r="B49" s="2280" t="str">
        <f>估价对象房地状况!C18</f>
        <v>估价对象周边道路状况较好、有7、16、105等公交线路及地铁2、4号线经过，公共交通通达情况较好、停车便捷程度一般，综合评价交通便捷度较好</v>
      </c>
      <c r="C49" s="2181"/>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2530</v>
      </c>
      <c r="B50" s="2280">
        <f>估价对象房地状况!C19</f>
        <v>0</v>
      </c>
      <c r="C50" s="2181"/>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2531</v>
      </c>
      <c r="B51" s="2281" t="s">
        <v>2532</v>
      </c>
      <c r="C51" s="2181"/>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2533</v>
      </c>
      <c r="B52" s="2280" t="str">
        <f>估价对象房地状况!C24</f>
        <v>主干道-西直门外大街</v>
      </c>
      <c r="C52" s="2181"/>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2534</v>
      </c>
      <c r="B53" s="2282" t="s">
        <v>2535</v>
      </c>
      <c r="C53" s="2181"/>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2536</v>
      </c>
      <c r="B54" s="1444" t="str">
        <f>估价对象房地状况!C21</f>
        <v>估价对象所在区域公共配套设施齐备情况较好</v>
      </c>
      <c r="C54" s="2181"/>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2537</v>
      </c>
      <c r="B55" s="2280" t="str">
        <f>估价对象房地状况!C22</f>
        <v>估价对象所在区域基础设施水平七通</v>
      </c>
      <c r="C55" s="2181"/>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4" t="s">
        <v>2538</v>
      </c>
      <c r="B56" s="2285" t="str">
        <f>估价对象房地状况!C20</f>
        <v>区域自然环境：北京动物园、官园公园；人文环境：北京天文馆、北京建筑大学；综合评价环境状况较好</v>
      </c>
      <c r="C56" s="2181"/>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2539</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2520</v>
      </c>
      <c r="B58" s="1483"/>
      <c r="C58" s="1483" t="s">
        <v>2522</v>
      </c>
      <c r="D58" s="1483" t="s">
        <v>2523</v>
      </c>
      <c r="E58" s="755" t="s">
        <v>2524</v>
      </c>
      <c r="F58" s="2277" t="s">
        <v>2540</v>
      </c>
      <c r="G58" s="1483" t="s">
        <v>574</v>
      </c>
      <c r="H58" s="2278"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6" t="s">
        <v>2541</v>
      </c>
      <c r="B59" s="2279" t="str">
        <f>估价对象房地状况!C17</f>
        <v>估价对象周边办公楼项目较多，有金泰鑫侨大厦、阳光大厦、德宝大厦，入驻率较高，办公集聚程度较好</v>
      </c>
      <c r="C59" s="2181"/>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6" t="s">
        <v>2529</v>
      </c>
      <c r="B60" s="2280" t="str">
        <f>估价对象房地状况!C18</f>
        <v>估价对象周边道路状况较好、有7、16、105等公交线路及地铁2、4号线经过，公共交通通达情况较好、停车便捷程度一般，综合评价交通便捷度较好</v>
      </c>
      <c r="C60" s="2181"/>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2530</v>
      </c>
      <c r="B61" s="2280">
        <f>估价对象房地状况!C19</f>
        <v>0</v>
      </c>
      <c r="C61" s="2181"/>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2531</v>
      </c>
      <c r="B62" s="2281" t="s">
        <v>2532</v>
      </c>
      <c r="C62" s="2181"/>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2533</v>
      </c>
      <c r="B63" s="2280" t="str">
        <f>估价对象房地状况!C24</f>
        <v>主干道-西直门外大街</v>
      </c>
      <c r="C63" s="2181"/>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2534</v>
      </c>
      <c r="B64" s="2282" t="s">
        <v>2535</v>
      </c>
      <c r="C64" s="2181"/>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2536</v>
      </c>
      <c r="B65" s="1444" t="str">
        <f>估价对象房地状况!C21</f>
        <v>估价对象所在区域公共配套设施齐备情况较好</v>
      </c>
      <c r="C65" s="2181"/>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2537</v>
      </c>
      <c r="B66" s="1444" t="str">
        <f>估价对象房地状况!C22</f>
        <v>估价对象所在区域基础设施水平七通</v>
      </c>
      <c r="C66" s="2181"/>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4" t="s">
        <v>2538</v>
      </c>
      <c r="B67" s="2286" t="str">
        <f>估价对象房地状况!C20</f>
        <v>区域自然环境：北京动物园、官园公园；人文环境：北京天文馆、北京建筑大学；综合评价环境状况较好</v>
      </c>
      <c r="C67" s="2181"/>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2542</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2520</v>
      </c>
      <c r="B69" s="1483"/>
      <c r="C69" s="1483" t="s">
        <v>2522</v>
      </c>
      <c r="D69" s="1483" t="s">
        <v>2523</v>
      </c>
      <c r="E69" s="755" t="s">
        <v>2524</v>
      </c>
      <c r="F69" s="2277" t="s">
        <v>2540</v>
      </c>
      <c r="G69" s="1483" t="s">
        <v>574</v>
      </c>
      <c r="H69" s="2278"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6" t="s">
        <v>2543</v>
      </c>
      <c r="B70" s="2279">
        <f>估价对象房地状况!C15</f>
        <v>0</v>
      </c>
      <c r="C70" s="2181"/>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6" t="s">
        <v>2529</v>
      </c>
      <c r="B71" s="2280" t="str">
        <f>估价对象房地状况!C18</f>
        <v>估价对象周边道路状况较好、有7、16、105等公交线路及地铁2、4号线经过，公共交通通达情况较好、停车便捷程度一般，综合评价交通便捷度较好</v>
      </c>
      <c r="C71" s="2181"/>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2530</v>
      </c>
      <c r="B72" s="2280">
        <f>估价对象房地状况!C19</f>
        <v>0</v>
      </c>
      <c r="C72" s="2181"/>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2544</v>
      </c>
      <c r="B73" s="2280" t="str">
        <f>估价对象房地状况!C24</f>
        <v>主干道-西直门外大街</v>
      </c>
      <c r="C73" s="2181"/>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2536</v>
      </c>
      <c r="B74" s="1444" t="str">
        <f>估价对象房地状况!C21</f>
        <v>估价对象所在区域公共配套设施齐备情况较好</v>
      </c>
      <c r="C74" s="2181"/>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2537</v>
      </c>
      <c r="B75" s="1444" t="str">
        <f>估价对象房地状况!C22</f>
        <v>估价对象所在区域基础设施水平七通</v>
      </c>
      <c r="C75" s="2181"/>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2534</v>
      </c>
      <c r="B76" s="2282" t="s">
        <v>2535</v>
      </c>
      <c r="C76" s="2181"/>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63.75">
      <c r="A77" s="2276" t="s">
        <v>2538</v>
      </c>
      <c r="B77" s="2279" t="str">
        <f>估价对象房地状况!C20</f>
        <v>区域自然环境：北京动物园、官园公园；人文环境：北京天文馆、北京建筑大学；综合评价环境状况较好</v>
      </c>
      <c r="C77" s="2181"/>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2545</v>
      </c>
      <c r="B78" s="2288"/>
      <c r="C78" s="2181"/>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2546</v>
      </c>
      <c r="B79" s="2273">
        <f>1+E81</f>
        <v>1</v>
      </c>
      <c r="C79" s="750"/>
      <c r="D79" s="750"/>
      <c r="E79" s="751"/>
      <c r="F79" s="2275"/>
      <c r="G79" s="6"/>
      <c r="H79" s="6"/>
      <c r="I79" s="6"/>
      <c r="J79" s="7"/>
      <c r="K79" s="7"/>
      <c r="L79" s="7"/>
      <c r="M79" s="7"/>
      <c r="N79" s="7"/>
      <c r="Z79" s="2131"/>
      <c r="AA79" s="2197"/>
      <c r="AG79" s="1232"/>
      <c r="AK79" s="2197"/>
    </row>
    <row r="80" spans="1:37" ht="24.75">
      <c r="A80" s="2276" t="s">
        <v>2520</v>
      </c>
      <c r="B80" s="1483"/>
      <c r="C80" s="1483" t="s">
        <v>2522</v>
      </c>
      <c r="D80" s="1483" t="s">
        <v>2523</v>
      </c>
      <c r="E80" s="755" t="s">
        <v>2524</v>
      </c>
      <c r="F80" s="2277" t="s">
        <v>2540</v>
      </c>
      <c r="G80" s="1483" t="s">
        <v>574</v>
      </c>
      <c r="H80" s="2278" t="s">
        <v>2526</v>
      </c>
      <c r="I80" s="1483" t="s">
        <v>2527</v>
      </c>
      <c r="J80" s="560" t="s">
        <v>2177</v>
      </c>
      <c r="K80" s="560" t="s">
        <v>2178</v>
      </c>
      <c r="L80" s="560" t="s">
        <v>2179</v>
      </c>
      <c r="M80" s="560" t="s">
        <v>2180</v>
      </c>
      <c r="N80" s="560" t="s">
        <v>2181</v>
      </c>
      <c r="Z80" s="2131"/>
      <c r="AA80" s="2197"/>
      <c r="AG80" s="1232"/>
      <c r="AK80" s="2197"/>
    </row>
    <row r="81" spans="1:37" ht="38.25">
      <c r="A81" s="2276" t="s">
        <v>2547</v>
      </c>
      <c r="B81" s="2280" t="str">
        <f>估价对象房地状况!G15</f>
        <v>估价对象位于XX开发区，园区建设成熟度XX，产业集聚程度XX</v>
      </c>
      <c r="C81" s="2181"/>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2529</v>
      </c>
      <c r="B82" s="2280" t="str">
        <f>估价对象房地状况!G16</f>
        <v>估价对象周边道路状况、公共交通通达情况、停车便捷程度，综合评价交通便捷度较好</v>
      </c>
      <c r="C82" s="2181"/>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2530</v>
      </c>
      <c r="B83" s="2280">
        <f>估价对象房地状况!G17</f>
        <v>0</v>
      </c>
      <c r="C83" s="2181"/>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2544</v>
      </c>
      <c r="B84" s="2280">
        <f>估价对象房地状况!G22</f>
        <v>0</v>
      </c>
      <c r="C84" s="2181"/>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2536</v>
      </c>
      <c r="B85" s="1444" t="str">
        <f>估价对象房地状况!G19</f>
        <v>估价对象所在区域公共配套设施齐备情况</v>
      </c>
      <c r="C85" s="2181"/>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2537</v>
      </c>
      <c r="B86" s="1444" t="str">
        <f>估价对象房地状况!G20</f>
        <v>估价对象所在区域基础设施水平</v>
      </c>
      <c r="C86" s="2181"/>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2534</v>
      </c>
      <c r="B87" s="2282" t="s">
        <v>2548</v>
      </c>
      <c r="C87" s="2181"/>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2549</v>
      </c>
      <c r="B88" s="2289" t="str">
        <f>估价对象房地状况!G18</f>
        <v>该园区内是否有污染型企业，绿化情况，卫生条件，整体环境状况判断</v>
      </c>
      <c r="C88" s="2181"/>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603" t="s">
        <v>2550</v>
      </c>
      <c r="B90" s="3603"/>
      <c r="C90" s="3603"/>
      <c r="D90" s="3603"/>
      <c r="E90" s="3603"/>
      <c r="F90" s="3603"/>
      <c r="G90" s="3603"/>
      <c r="H90" s="3603"/>
      <c r="I90" s="3603"/>
      <c r="J90" s="3603"/>
      <c r="K90" s="2290"/>
      <c r="L90" s="2290"/>
      <c r="M90" s="2290"/>
      <c r="N90" s="2290"/>
    </row>
    <row r="91" spans="1:37">
      <c r="A91" s="3605" t="s">
        <v>2551</v>
      </c>
      <c r="B91" s="3605" t="s">
        <v>2552</v>
      </c>
      <c r="C91" s="2244" t="s">
        <v>2553</v>
      </c>
      <c r="D91" s="2245"/>
      <c r="E91" s="2245"/>
      <c r="F91" s="2245"/>
      <c r="G91" s="2245"/>
      <c r="H91" s="2245"/>
      <c r="I91" s="2245"/>
      <c r="J91" s="2291"/>
      <c r="K91" s="2292"/>
      <c r="L91" s="2292"/>
      <c r="M91" s="2292"/>
      <c r="N91" s="2292"/>
    </row>
    <row r="92" spans="1:37">
      <c r="A92" s="3605"/>
      <c r="B92" s="3605"/>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06" t="s">
        <v>2554</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607"/>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607"/>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607"/>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607"/>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607"/>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607"/>
      <c r="B99" s="2293" t="s">
        <v>2436</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608"/>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606" t="s">
        <v>2555</v>
      </c>
      <c r="B101" s="2297" t="s">
        <v>2556</v>
      </c>
      <c r="C101" s="2298">
        <f>$G$3</f>
        <v>8.8699999999999992</v>
      </c>
      <c r="D101" s="2298">
        <f t="shared" ref="D101:N101" si="31">$G$3</f>
        <v>8.8699999999999992</v>
      </c>
      <c r="E101" s="2298">
        <f t="shared" si="31"/>
        <v>8.8699999999999992</v>
      </c>
      <c r="F101" s="2298">
        <f t="shared" si="31"/>
        <v>8.8699999999999992</v>
      </c>
      <c r="G101" s="2298">
        <f t="shared" si="31"/>
        <v>8.8699999999999992</v>
      </c>
      <c r="H101" s="2298">
        <f t="shared" si="31"/>
        <v>8.8699999999999992</v>
      </c>
      <c r="I101" s="2298">
        <f t="shared" si="31"/>
        <v>8.8699999999999992</v>
      </c>
      <c r="J101" s="2298">
        <f t="shared" si="31"/>
        <v>8.8699999999999992</v>
      </c>
      <c r="K101" s="2298">
        <f t="shared" si="31"/>
        <v>8.8699999999999992</v>
      </c>
      <c r="L101" s="2298">
        <f t="shared" si="31"/>
        <v>8.8699999999999992</v>
      </c>
      <c r="M101" s="2298">
        <f t="shared" si="31"/>
        <v>8.8699999999999992</v>
      </c>
      <c r="N101" s="2298">
        <f t="shared" si="31"/>
        <v>8.8699999999999992</v>
      </c>
    </row>
    <row r="102" spans="1:14">
      <c r="A102" s="3607"/>
      <c r="B102" s="2293">
        <v>1</v>
      </c>
      <c r="C102" s="2294">
        <f>1.9362/C101</f>
        <v>0.21828635851183767</v>
      </c>
      <c r="D102" s="2294">
        <f>1.9362/D101</f>
        <v>0.21828635851183767</v>
      </c>
      <c r="E102" s="2294">
        <f>1.8629/E101</f>
        <v>0.21002254791431793</v>
      </c>
      <c r="F102" s="2294">
        <f>1.8629/F101</f>
        <v>0.21002254791431793</v>
      </c>
      <c r="G102" s="2294">
        <f>1.8629/G101</f>
        <v>0.21002254791431793</v>
      </c>
      <c r="H102" s="2294">
        <f>1.8629/H101</f>
        <v>0.21002254791431793</v>
      </c>
      <c r="I102" s="2294">
        <f>1.8629/I101</f>
        <v>0.21002254791431793</v>
      </c>
      <c r="J102" s="2294">
        <f>1.942/J101</f>
        <v>0.2189402480270575</v>
      </c>
      <c r="K102" s="2294">
        <f>1.942/K101</f>
        <v>0.2189402480270575</v>
      </c>
      <c r="L102" s="2294">
        <f>1.942/L101</f>
        <v>0.2189402480270575</v>
      </c>
      <c r="M102" s="2294">
        <f>1.942/M101</f>
        <v>0.2189402480270575</v>
      </c>
      <c r="N102" s="2294">
        <f>1.942/N101</f>
        <v>0.2189402480270575</v>
      </c>
    </row>
    <row r="103" spans="1:14">
      <c r="A103" s="3607"/>
      <c r="B103" s="2293">
        <v>2</v>
      </c>
      <c r="C103" s="2294">
        <f>1.4198/C101</f>
        <v>0.16006764374295379</v>
      </c>
      <c r="D103" s="2294">
        <f>1.4198/D101</f>
        <v>0.16006764374295379</v>
      </c>
      <c r="E103" s="2294">
        <f>1.3372/E101</f>
        <v>0.15075535512965052</v>
      </c>
      <c r="F103" s="2294">
        <f>1.3372/F101</f>
        <v>0.15075535512965052</v>
      </c>
      <c r="G103" s="2294">
        <f>1.3372/G101</f>
        <v>0.15075535512965052</v>
      </c>
      <c r="H103" s="2294">
        <f>1.3372/H101</f>
        <v>0.15075535512965052</v>
      </c>
      <c r="I103" s="2294">
        <f>1.3372/I101</f>
        <v>0.15075535512965052</v>
      </c>
      <c r="J103" s="2294">
        <f>1.2799/J101</f>
        <v>0.14429537767756484</v>
      </c>
      <c r="K103" s="2294">
        <f>1.2799/K101</f>
        <v>0.14429537767756484</v>
      </c>
      <c r="L103" s="2294">
        <f>1.2799/L101</f>
        <v>0.14429537767756484</v>
      </c>
      <c r="M103" s="2294">
        <f>1.2799/M101</f>
        <v>0.14429537767756484</v>
      </c>
      <c r="N103" s="2294">
        <f>1.2799/N101</f>
        <v>0.14429537767756484</v>
      </c>
    </row>
    <row r="104" spans="1:14">
      <c r="A104" s="3607"/>
      <c r="B104" s="2293">
        <v>3</v>
      </c>
      <c r="C104" s="2294">
        <f>1.1594/C101</f>
        <v>0.13071025930101465</v>
      </c>
      <c r="D104" s="2294">
        <f>1.1594/D101</f>
        <v>0.13071025930101465</v>
      </c>
      <c r="E104" s="2294">
        <f>1.0788/E101</f>
        <v>0.12162344983089066</v>
      </c>
      <c r="F104" s="2294">
        <f>1.0788/F101</f>
        <v>0.12162344983089066</v>
      </c>
      <c r="G104" s="2294">
        <f>1.0788/G101</f>
        <v>0.12162344983089066</v>
      </c>
      <c r="H104" s="2294">
        <f>1.0788/H101</f>
        <v>0.12162344983089066</v>
      </c>
      <c r="I104" s="2294">
        <f>1.0788/I101</f>
        <v>0.12162344983089066</v>
      </c>
      <c r="J104" s="2294">
        <f>1.0072/J101</f>
        <v>0.1135512965050733</v>
      </c>
      <c r="K104" s="2294">
        <f>1.0072/K101</f>
        <v>0.1135512965050733</v>
      </c>
      <c r="L104" s="2294">
        <f>1.0072/L101</f>
        <v>0.1135512965050733</v>
      </c>
      <c r="M104" s="2294">
        <f>1.0072/M101</f>
        <v>0.1135512965050733</v>
      </c>
      <c r="N104" s="2294">
        <f>1.0072/N101</f>
        <v>0.1135512965050733</v>
      </c>
    </row>
    <row r="105" spans="1:14">
      <c r="A105" s="3607"/>
      <c r="B105" s="2293">
        <v>4</v>
      </c>
      <c r="C105" s="2294">
        <f>0.9622/C101</f>
        <v>0.10847801578354004</v>
      </c>
      <c r="D105" s="2294">
        <f>0.9622/D101</f>
        <v>0.10847801578354004</v>
      </c>
      <c r="E105" s="2294">
        <f>0.8656/E101</f>
        <v>9.7587373167981981E-2</v>
      </c>
      <c r="F105" s="2294">
        <f>0.8656/F101</f>
        <v>9.7587373167981981E-2</v>
      </c>
      <c r="G105" s="2294">
        <f>0.8656/G101</f>
        <v>9.7587373167981981E-2</v>
      </c>
      <c r="H105" s="2294">
        <f>0.8656/H101</f>
        <v>9.7587373167981981E-2</v>
      </c>
      <c r="I105" s="2294">
        <f>0.8656/I101</f>
        <v>9.7587373167981981E-2</v>
      </c>
      <c r="J105" s="2294">
        <f>0.7525/J101</f>
        <v>8.4836527621195035E-2</v>
      </c>
      <c r="K105" s="2294">
        <f>0.7525/K101</f>
        <v>8.4836527621195035E-2</v>
      </c>
      <c r="L105" s="2294">
        <f>0.7525/L101</f>
        <v>8.4836527621195035E-2</v>
      </c>
      <c r="M105" s="2294">
        <f>0.7525/M101</f>
        <v>8.4836527621195035E-2</v>
      </c>
      <c r="N105" s="2294">
        <f>0.7525/N101</f>
        <v>8.4836527621195035E-2</v>
      </c>
    </row>
    <row r="106" spans="1:14">
      <c r="A106" s="3607"/>
      <c r="B106" s="2293">
        <v>5</v>
      </c>
      <c r="C106" s="2294">
        <f>0.8417/C101</f>
        <v>9.4892897406989862E-2</v>
      </c>
      <c r="D106" s="2294">
        <f>0.8417/D101</f>
        <v>9.4892897406989862E-2</v>
      </c>
      <c r="E106" s="2294">
        <f>0.7371/E101</f>
        <v>8.3100338218714778E-2</v>
      </c>
      <c r="F106" s="2294">
        <f>0.7371/F101</f>
        <v>8.3100338218714778E-2</v>
      </c>
      <c r="G106" s="2294">
        <f>0.7371/G101</f>
        <v>8.3100338218714778E-2</v>
      </c>
      <c r="H106" s="2294">
        <f>0.7371/H101</f>
        <v>8.3100338218714778E-2</v>
      </c>
      <c r="I106" s="2294">
        <f>0.7371/I101</f>
        <v>8.3100338218714778E-2</v>
      </c>
      <c r="J106" s="2294">
        <f>0.5659/J101</f>
        <v>6.3799323562570467E-2</v>
      </c>
      <c r="K106" s="2294">
        <f>0.5659/K101</f>
        <v>6.3799323562570467E-2</v>
      </c>
      <c r="L106" s="2294">
        <f>0.5659/L101</f>
        <v>6.3799323562570467E-2</v>
      </c>
      <c r="M106" s="2294">
        <f>0.5659/M101</f>
        <v>6.3799323562570467E-2</v>
      </c>
      <c r="N106" s="2294">
        <f>0.5659/N101</f>
        <v>6.3799323562570467E-2</v>
      </c>
    </row>
    <row r="107" spans="1:14">
      <c r="A107" s="3607"/>
      <c r="B107" s="2293">
        <v>6</v>
      </c>
      <c r="C107" s="2294">
        <f>0.7608/C101</f>
        <v>8.5772266065388958E-2</v>
      </c>
      <c r="D107" s="2294">
        <f>0.7608/D101</f>
        <v>8.5772266065388958E-2</v>
      </c>
      <c r="E107" s="2294">
        <f>0.6482/E101</f>
        <v>7.3077790304396845E-2</v>
      </c>
      <c r="F107" s="2294">
        <f>0.6482/F101</f>
        <v>7.3077790304396845E-2</v>
      </c>
      <c r="G107" s="2294">
        <f>0.6482/G101</f>
        <v>7.3077790304396845E-2</v>
      </c>
      <c r="H107" s="2294">
        <f>0.6482/H101</f>
        <v>7.3077790304396845E-2</v>
      </c>
      <c r="I107" s="2294">
        <f>0.6482/I101</f>
        <v>7.3077790304396845E-2</v>
      </c>
      <c r="J107" s="2294">
        <f>0.4525/J101</f>
        <v>5.1014656144306655E-2</v>
      </c>
      <c r="K107" s="2294">
        <f>0.4525/K101</f>
        <v>5.1014656144306655E-2</v>
      </c>
      <c r="L107" s="2294">
        <f>0.4525/L101</f>
        <v>5.1014656144306655E-2</v>
      </c>
      <c r="M107" s="2294">
        <f>0.4525/M101</f>
        <v>5.1014656144306655E-2</v>
      </c>
      <c r="N107" s="2294">
        <f>0.4525/N101</f>
        <v>5.1014656144306655E-2</v>
      </c>
    </row>
    <row r="108" spans="1:14">
      <c r="A108" s="3607"/>
      <c r="B108" s="3609" t="s">
        <v>2557</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608"/>
      <c r="B109" s="3610"/>
      <c r="C109" s="2296">
        <f>(-0.163*(C108^2)-0.59*C108+7617)*(10^(-4))/C101</f>
        <v>8.5873731679819626E-2</v>
      </c>
      <c r="D109" s="2296">
        <f>(-0.163*(D108^2)-0.59*D108+7617)*(10^(-4))/D101</f>
        <v>8.5873731679819626E-2</v>
      </c>
      <c r="E109" s="2296">
        <f>(-0.161*(E108^2)-7.509*E108+6533)*(10^(-4))/E101</f>
        <v>7.3652762119503945E-2</v>
      </c>
      <c r="F109" s="2296">
        <f>(-0.161*(F108^2)-7.509*F108+6533)*(10^(-4))/F101</f>
        <v>7.3652762119503945E-2</v>
      </c>
      <c r="G109" s="2296">
        <f>(-0.161*(G108^2)-7.509*G108+6533)*(10^(-4))/G101</f>
        <v>7.3652762119503945E-2</v>
      </c>
      <c r="H109" s="2296">
        <f>(-0.161*(H108^2)-7.509*H108+6533)*(10^(-4))/H101</f>
        <v>7.3652762119503945E-2</v>
      </c>
      <c r="I109" s="2296">
        <f>(-0.161*(I108^2)-7.509*I108+6533)*(10^(-4))/I101</f>
        <v>7.3652762119503945E-2</v>
      </c>
      <c r="J109" s="2296">
        <f>(-0.214*(J108^2)-21.991*J108+4665)*(10^(-4))/J101</f>
        <v>5.2593010146561453E-2</v>
      </c>
      <c r="K109" s="2296">
        <f>(-0.214*(K108^2)-21.991*K108+4665)*(10^(-4))/K101</f>
        <v>5.2593010146561453E-2</v>
      </c>
      <c r="L109" s="2296">
        <f>(-0.214*(L108^2)-21.991*L108+4665)*(10^(-4))/L101</f>
        <v>5.2593010146561453E-2</v>
      </c>
      <c r="M109" s="2296">
        <f>(-0.214*(M108^2)-21.991*M108+4665)*(10^(-4))/M101</f>
        <v>5.2593010146561453E-2</v>
      </c>
      <c r="N109" s="2296">
        <f>(-0.214*(N108^2)-21.991*N108+4665)*(10^(-4))/N101</f>
        <v>5.2593010146561453E-2</v>
      </c>
    </row>
    <row r="110" spans="1:14">
      <c r="A110" s="3604" t="s">
        <v>2558</v>
      </c>
      <c r="B110" s="3604"/>
      <c r="C110" s="3604"/>
      <c r="D110" s="3604"/>
      <c r="E110" s="3604"/>
      <c r="F110" s="3604"/>
      <c r="G110" s="3604"/>
      <c r="H110" s="3604"/>
      <c r="I110" s="3604"/>
      <c r="J110" s="3604"/>
      <c r="K110" s="2299"/>
      <c r="L110" s="2299"/>
      <c r="M110" s="2299"/>
      <c r="N110" s="2299"/>
    </row>
    <row r="112" spans="1:14" ht="13.5" thickBot="1"/>
    <row r="113" spans="1:13" ht="25.5" thickBot="1">
      <c r="A113" s="821" t="s">
        <v>2559</v>
      </c>
      <c r="B113" s="1175">
        <f>G3</f>
        <v>8.8699999999999992</v>
      </c>
      <c r="C113" s="822" t="s">
        <v>2560</v>
      </c>
      <c r="D113" s="823">
        <f>SUMPRODUCT((A115:A118=F113)*(B114:M114=H113)*B115:M118)</f>
        <v>0</v>
      </c>
      <c r="E113" s="2135" t="s">
        <v>2393</v>
      </c>
      <c r="F113" s="2301">
        <f>E2</f>
        <v>0</v>
      </c>
      <c r="G113" s="2135" t="s">
        <v>2394</v>
      </c>
      <c r="H113" s="2301">
        <f>G2</f>
        <v>0</v>
      </c>
      <c r="I113" s="2135"/>
      <c r="J113" s="2302"/>
      <c r="K113" s="2302"/>
      <c r="L113" s="2302"/>
      <c r="M113" s="2302"/>
    </row>
    <row r="114" spans="1:13">
      <c r="A114" s="826"/>
      <c r="B114" s="2303" t="s">
        <v>2561</v>
      </c>
      <c r="C114" s="2303" t="s">
        <v>2562</v>
      </c>
      <c r="D114" s="2303" t="s">
        <v>2563</v>
      </c>
      <c r="E114" s="2304" t="s">
        <v>2564</v>
      </c>
      <c r="F114" s="2304" t="s">
        <v>2565</v>
      </c>
      <c r="G114" s="2304" t="s">
        <v>2566</v>
      </c>
      <c r="H114" s="2305" t="s">
        <v>2567</v>
      </c>
      <c r="I114" s="2305" t="s">
        <v>2568</v>
      </c>
      <c r="J114" s="2306" t="s">
        <v>2569</v>
      </c>
      <c r="K114" s="2306" t="s">
        <v>2570</v>
      </c>
      <c r="L114" s="2306" t="s">
        <v>2571</v>
      </c>
      <c r="M114" s="2307"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2938</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2939</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2940</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2941</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2942</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2943</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2944</v>
      </c>
      <c r="B19" s="3204" t="s">
        <v>2945</v>
      </c>
      <c r="C19" s="3205" t="s">
        <v>2946</v>
      </c>
      <c r="D19" s="3206"/>
      <c r="E19" s="3200" t="s">
        <v>2947</v>
      </c>
      <c r="F19" s="800"/>
      <c r="G19" s="800"/>
    </row>
    <row r="20" spans="1:13" s="805" customFormat="1" ht="19.5" customHeight="1">
      <c r="A20" s="3634" t="s">
        <v>2948</v>
      </c>
      <c r="B20" s="3627" t="s">
        <v>2949</v>
      </c>
      <c r="C20" s="3207" t="s">
        <v>2950</v>
      </c>
      <c r="D20" s="3208"/>
      <c r="E20" s="3209">
        <v>1</v>
      </c>
      <c r="F20" s="3210" t="s">
        <v>2951</v>
      </c>
      <c r="G20" s="804"/>
      <c r="H20" s="798"/>
      <c r="I20" s="798"/>
    </row>
    <row r="21" spans="1:13" s="805" customFormat="1" ht="19.5" customHeight="1">
      <c r="A21" s="3635"/>
      <c r="B21" s="3628"/>
      <c r="C21" s="802" t="s">
        <v>2952</v>
      </c>
      <c r="D21" s="803"/>
      <c r="E21" s="3211">
        <v>1</v>
      </c>
      <c r="F21" s="3210" t="s">
        <v>2953</v>
      </c>
      <c r="G21" s="804"/>
      <c r="H21" s="798"/>
      <c r="I21" s="798"/>
    </row>
    <row r="22" spans="1:13" s="805" customFormat="1" ht="19.5" customHeight="1">
      <c r="A22" s="3635"/>
      <c r="B22" s="3628"/>
      <c r="C22" s="802" t="s">
        <v>2954</v>
      </c>
      <c r="D22" s="803"/>
      <c r="E22" s="3211">
        <v>0.9</v>
      </c>
      <c r="F22" s="3210" t="s">
        <v>2955</v>
      </c>
      <c r="G22" s="804"/>
      <c r="H22" s="798"/>
      <c r="I22" s="798"/>
    </row>
    <row r="23" spans="1:13" s="805" customFormat="1" ht="19.5" customHeight="1">
      <c r="A23" s="3635"/>
      <c r="B23" s="3628"/>
      <c r="C23" s="802" t="s">
        <v>2956</v>
      </c>
      <c r="D23" s="803"/>
      <c r="E23" s="3211">
        <v>0.9</v>
      </c>
      <c r="F23" s="3210" t="s">
        <v>2957</v>
      </c>
      <c r="G23" s="804"/>
      <c r="H23" s="798"/>
      <c r="I23" s="798"/>
    </row>
    <row r="24" spans="1:13" s="805" customFormat="1" ht="19.5" customHeight="1">
      <c r="A24" s="3635"/>
      <c r="B24" s="3628"/>
      <c r="C24" s="802" t="s">
        <v>2958</v>
      </c>
      <c r="D24" s="803"/>
      <c r="E24" s="3211">
        <v>0.8</v>
      </c>
      <c r="F24" s="3210" t="s">
        <v>2959</v>
      </c>
      <c r="G24" s="804"/>
      <c r="H24" s="798"/>
      <c r="I24" s="798"/>
    </row>
    <row r="25" spans="1:13" s="805" customFormat="1" ht="19.5" customHeight="1" thickBot="1">
      <c r="A25" s="3636"/>
      <c r="B25" s="3629"/>
      <c r="C25" s="3212" t="s">
        <v>2960</v>
      </c>
      <c r="D25" s="3213"/>
      <c r="E25" s="3214">
        <v>0.8</v>
      </c>
      <c r="F25" s="3210" t="s">
        <v>2961</v>
      </c>
      <c r="G25" s="804"/>
      <c r="H25" s="798"/>
      <c r="I25" s="798"/>
    </row>
    <row r="26" spans="1:13" s="805" customFormat="1" ht="19.5" customHeight="1" thickBot="1">
      <c r="A26" s="3215" t="s">
        <v>2962</v>
      </c>
      <c r="B26" s="3216" t="s">
        <v>2949</v>
      </c>
      <c r="C26" s="3217" t="s">
        <v>2963</v>
      </c>
      <c r="D26" s="3218"/>
      <c r="E26" s="3219">
        <v>1</v>
      </c>
      <c r="F26" s="3210" t="s">
        <v>2964</v>
      </c>
      <c r="G26" s="804"/>
      <c r="H26" s="798"/>
      <c r="I26" s="798"/>
    </row>
    <row r="27" spans="1:13" s="805" customFormat="1" ht="19.5" customHeight="1">
      <c r="A27" s="3630" t="s">
        <v>2965</v>
      </c>
      <c r="B27" s="3627" t="s">
        <v>2965</v>
      </c>
      <c r="C27" s="3207" t="s">
        <v>2966</v>
      </c>
      <c r="D27" s="3208"/>
      <c r="E27" s="3209">
        <v>1</v>
      </c>
      <c r="F27" s="3210" t="s">
        <v>2967</v>
      </c>
      <c r="G27" s="804"/>
      <c r="H27" s="798"/>
      <c r="I27" s="798"/>
    </row>
    <row r="28" spans="1:13" s="805" customFormat="1" ht="19.5" customHeight="1">
      <c r="A28" s="3631"/>
      <c r="B28" s="3628"/>
      <c r="C28" s="802" t="s">
        <v>2968</v>
      </c>
      <c r="D28" s="803"/>
      <c r="E28" s="3211">
        <v>1</v>
      </c>
      <c r="F28" s="3210" t="s">
        <v>2969</v>
      </c>
      <c r="G28" s="804"/>
      <c r="H28" s="798"/>
      <c r="I28" s="798"/>
    </row>
    <row r="29" spans="1:13" s="805" customFormat="1" ht="19.5" customHeight="1">
      <c r="A29" s="3631"/>
      <c r="B29" s="3628"/>
      <c r="C29" s="802" t="s">
        <v>2970</v>
      </c>
      <c r="D29" s="803"/>
      <c r="E29" s="3211">
        <v>0.8</v>
      </c>
      <c r="F29" s="3210" t="s">
        <v>2971</v>
      </c>
      <c r="G29" s="804"/>
      <c r="H29" s="798"/>
      <c r="I29" s="798"/>
    </row>
    <row r="30" spans="1:13" s="805" customFormat="1" ht="19.5" customHeight="1">
      <c r="A30" s="3631"/>
      <c r="B30" s="3628"/>
      <c r="C30" s="802" t="s">
        <v>2972</v>
      </c>
      <c r="D30" s="803"/>
      <c r="E30" s="3211">
        <v>0.8</v>
      </c>
      <c r="F30" s="3210" t="s">
        <v>2973</v>
      </c>
      <c r="G30" s="804"/>
      <c r="H30" s="798"/>
      <c r="I30" s="798"/>
    </row>
    <row r="31" spans="1:13" s="805" customFormat="1" ht="19.5" customHeight="1">
      <c r="A31" s="3631"/>
      <c r="B31" s="3628"/>
      <c r="C31" s="802" t="s">
        <v>2974</v>
      </c>
      <c r="D31" s="803"/>
      <c r="E31" s="3211">
        <v>0.8</v>
      </c>
      <c r="F31" s="3210" t="s">
        <v>2975</v>
      </c>
      <c r="G31" s="804"/>
      <c r="H31" s="798"/>
      <c r="I31" s="798"/>
    </row>
    <row r="32" spans="1:13" s="805" customFormat="1" ht="19.5" customHeight="1">
      <c r="A32" s="3631"/>
      <c r="B32" s="3628"/>
      <c r="C32" s="802" t="s">
        <v>2976</v>
      </c>
      <c r="D32" s="803"/>
      <c r="E32" s="3211">
        <v>0.7</v>
      </c>
      <c r="F32" s="3210" t="s">
        <v>2977</v>
      </c>
      <c r="G32" s="804"/>
      <c r="H32" s="798"/>
      <c r="I32" s="798"/>
    </row>
    <row r="33" spans="1:9" s="805" customFormat="1" ht="19.5" customHeight="1">
      <c r="A33" s="3631"/>
      <c r="B33" s="3628"/>
      <c r="C33" s="802" t="s">
        <v>2978</v>
      </c>
      <c r="D33" s="803"/>
      <c r="E33" s="3211">
        <v>0.8</v>
      </c>
      <c r="F33" s="3210" t="s">
        <v>2979</v>
      </c>
      <c r="G33" s="804"/>
      <c r="H33" s="798"/>
      <c r="I33" s="798"/>
    </row>
    <row r="34" spans="1:9" s="805" customFormat="1" ht="19.5" customHeight="1">
      <c r="A34" s="3631"/>
      <c r="B34" s="3628"/>
      <c r="C34" s="802" t="s">
        <v>2980</v>
      </c>
      <c r="D34" s="803"/>
      <c r="E34" s="3211">
        <v>0.6</v>
      </c>
      <c r="F34" s="3210" t="s">
        <v>2981</v>
      </c>
      <c r="G34" s="804"/>
      <c r="H34" s="798"/>
      <c r="I34" s="798"/>
    </row>
    <row r="35" spans="1:9" s="805" customFormat="1" ht="19.5" customHeight="1">
      <c r="A35" s="3631"/>
      <c r="B35" s="3628"/>
      <c r="C35" s="802" t="s">
        <v>2982</v>
      </c>
      <c r="D35" s="803"/>
      <c r="E35" s="3211">
        <v>0.2</v>
      </c>
      <c r="F35" s="3210" t="s">
        <v>2983</v>
      </c>
      <c r="G35" s="804"/>
      <c r="H35" s="798"/>
      <c r="I35" s="798"/>
    </row>
    <row r="36" spans="1:9" s="805" customFormat="1" ht="19.5" customHeight="1">
      <c r="A36" s="3631"/>
      <c r="B36" s="3628"/>
      <c r="C36" s="802" t="s">
        <v>2984</v>
      </c>
      <c r="D36" s="803"/>
      <c r="E36" s="3211">
        <v>0.2</v>
      </c>
      <c r="F36" s="3210" t="s">
        <v>2985</v>
      </c>
      <c r="G36" s="804"/>
      <c r="H36" s="798"/>
      <c r="I36" s="798"/>
    </row>
    <row r="37" spans="1:9" s="805" customFormat="1" ht="19.5" customHeight="1">
      <c r="A37" s="3631"/>
      <c r="B37" s="3633" t="s">
        <v>2986</v>
      </c>
      <c r="C37" s="802" t="s">
        <v>2987</v>
      </c>
      <c r="D37" s="803"/>
      <c r="E37" s="3211">
        <v>0.6</v>
      </c>
      <c r="F37" s="3210" t="s">
        <v>2988</v>
      </c>
      <c r="G37" s="804"/>
      <c r="H37" s="798"/>
      <c r="I37" s="798"/>
    </row>
    <row r="38" spans="1:9" s="805" customFormat="1" ht="19.5" customHeight="1">
      <c r="A38" s="3631"/>
      <c r="B38" s="3628"/>
      <c r="C38" s="802" t="s">
        <v>2989</v>
      </c>
      <c r="D38" s="803"/>
      <c r="E38" s="3211">
        <v>0.6</v>
      </c>
      <c r="F38" s="3210" t="s">
        <v>2990</v>
      </c>
      <c r="G38" s="804"/>
      <c r="H38" s="798"/>
      <c r="I38" s="798"/>
    </row>
    <row r="39" spans="1:9" s="805" customFormat="1" ht="19.5" customHeight="1" thickBot="1">
      <c r="A39" s="3632"/>
      <c r="B39" s="3629"/>
      <c r="C39" s="3212" t="s">
        <v>2991</v>
      </c>
      <c r="D39" s="3213"/>
      <c r="E39" s="3214">
        <v>0.6</v>
      </c>
      <c r="F39" s="3210" t="s">
        <v>2992</v>
      </c>
      <c r="G39" s="804"/>
      <c r="H39" s="798"/>
      <c r="I39" s="798"/>
    </row>
    <row r="40" spans="1:9" s="805" customFormat="1" ht="19.5" customHeight="1" thickBot="1">
      <c r="A40" s="3215" t="s">
        <v>2993</v>
      </c>
      <c r="B40" s="3216" t="s">
        <v>2993</v>
      </c>
      <c r="C40" s="3217" t="s">
        <v>2994</v>
      </c>
      <c r="D40" s="3218"/>
      <c r="E40" s="3219">
        <v>1</v>
      </c>
      <c r="F40" s="3210" t="s">
        <v>2995</v>
      </c>
      <c r="G40" s="804"/>
      <c r="H40" s="798"/>
      <c r="I40" s="798"/>
    </row>
    <row r="41" spans="1:9" s="805" customFormat="1" ht="19.5" customHeight="1">
      <c r="A41" s="3634" t="s">
        <v>2996</v>
      </c>
      <c r="B41" s="3627" t="s">
        <v>2997</v>
      </c>
      <c r="C41" s="3207" t="s">
        <v>2998</v>
      </c>
      <c r="D41" s="3208"/>
      <c r="E41" s="3209">
        <v>1</v>
      </c>
      <c r="F41" s="3210" t="s">
        <v>2999</v>
      </c>
      <c r="G41" s="804"/>
      <c r="H41" s="798"/>
      <c r="I41" s="798"/>
    </row>
    <row r="42" spans="1:9" s="805" customFormat="1" ht="19.5" customHeight="1">
      <c r="A42" s="3635"/>
      <c r="B42" s="3628"/>
      <c r="C42" s="802" t="s">
        <v>3000</v>
      </c>
      <c r="D42" s="803"/>
      <c r="E42" s="3211">
        <v>1</v>
      </c>
      <c r="F42" s="3210" t="s">
        <v>3001</v>
      </c>
      <c r="G42" s="804"/>
      <c r="H42" s="798"/>
      <c r="I42" s="798"/>
    </row>
    <row r="43" spans="1:9" s="805" customFormat="1" ht="19.5" customHeight="1">
      <c r="A43" s="3635"/>
      <c r="B43" s="3637"/>
      <c r="C43" s="802" t="s">
        <v>3002</v>
      </c>
      <c r="D43" s="803"/>
      <c r="E43" s="3211">
        <v>1.5</v>
      </c>
      <c r="F43" s="3210" t="s">
        <v>3003</v>
      </c>
      <c r="G43" s="804"/>
      <c r="H43" s="798"/>
      <c r="I43" s="798"/>
    </row>
    <row r="44" spans="1:9" s="805" customFormat="1" ht="19.5" customHeight="1">
      <c r="A44" s="3635"/>
      <c r="B44" s="3220" t="s">
        <v>2965</v>
      </c>
      <c r="C44" s="802" t="s">
        <v>3004</v>
      </c>
      <c r="D44" s="803"/>
      <c r="E44" s="3211">
        <v>2</v>
      </c>
      <c r="F44" s="3210" t="s">
        <v>3005</v>
      </c>
      <c r="G44" s="804"/>
      <c r="H44" s="798"/>
      <c r="I44" s="798"/>
    </row>
    <row r="45" spans="1:9" s="805" customFormat="1" ht="19.5" customHeight="1">
      <c r="A45" s="3635"/>
      <c r="B45" s="3633" t="s">
        <v>3006</v>
      </c>
      <c r="C45" s="802" t="s">
        <v>3007</v>
      </c>
      <c r="D45" s="803"/>
      <c r="E45" s="3211">
        <v>1</v>
      </c>
      <c r="F45" s="3210" t="s">
        <v>3008</v>
      </c>
      <c r="G45" s="804"/>
      <c r="H45" s="798"/>
      <c r="I45" s="798"/>
    </row>
    <row r="46" spans="1:9" s="805" customFormat="1" ht="19.5" customHeight="1">
      <c r="A46" s="3635"/>
      <c r="B46" s="3628"/>
      <c r="C46" s="802" t="s">
        <v>3009</v>
      </c>
      <c r="D46" s="803"/>
      <c r="E46" s="3211">
        <v>1</v>
      </c>
      <c r="F46" s="3210" t="s">
        <v>3010</v>
      </c>
      <c r="G46" s="804"/>
      <c r="H46" s="798"/>
      <c r="I46" s="798"/>
    </row>
    <row r="47" spans="1:9" s="805" customFormat="1" ht="19.5" customHeight="1">
      <c r="A47" s="3635"/>
      <c r="B47" s="3628"/>
      <c r="C47" s="802" t="s">
        <v>3011</v>
      </c>
      <c r="D47" s="803"/>
      <c r="E47" s="3211">
        <v>1</v>
      </c>
      <c r="F47" s="3210" t="s">
        <v>3012</v>
      </c>
      <c r="G47" s="804"/>
      <c r="H47" s="798"/>
      <c r="I47" s="798"/>
    </row>
    <row r="48" spans="1:9" s="805" customFormat="1" ht="19.5" customHeight="1">
      <c r="A48" s="3635"/>
      <c r="B48" s="3628"/>
      <c r="C48" s="802" t="s">
        <v>3013</v>
      </c>
      <c r="D48" s="803"/>
      <c r="E48" s="3211">
        <v>1</v>
      </c>
      <c r="F48" s="3210" t="s">
        <v>3014</v>
      </c>
      <c r="G48" s="804"/>
      <c r="H48" s="798"/>
      <c r="I48" s="798"/>
    </row>
    <row r="49" spans="1:9" s="805" customFormat="1" ht="19.5" customHeight="1">
      <c r="A49" s="3635"/>
      <c r="B49" s="3628"/>
      <c r="C49" s="802" t="s">
        <v>3015</v>
      </c>
      <c r="D49" s="803"/>
      <c r="E49" s="3211">
        <v>1</v>
      </c>
      <c r="F49" s="3210" t="s">
        <v>3016</v>
      </c>
      <c r="G49" s="804"/>
      <c r="H49" s="798"/>
      <c r="I49" s="798"/>
    </row>
    <row r="50" spans="1:9" s="805" customFormat="1" ht="19.5" customHeight="1">
      <c r="A50" s="3635"/>
      <c r="B50" s="3628"/>
      <c r="C50" s="802" t="s">
        <v>3017</v>
      </c>
      <c r="D50" s="803"/>
      <c r="E50" s="3211">
        <v>1</v>
      </c>
      <c r="F50" s="3210" t="s">
        <v>3018</v>
      </c>
      <c r="G50" s="804"/>
      <c r="H50" s="798"/>
      <c r="I50" s="798"/>
    </row>
    <row r="51" spans="1:9" s="805" customFormat="1" ht="19.5" customHeight="1" thickBot="1">
      <c r="A51" s="3636"/>
      <c r="B51" s="3629"/>
      <c r="C51" s="3212" t="s">
        <v>3019</v>
      </c>
      <c r="D51" s="3213"/>
      <c r="E51" s="3214">
        <v>1</v>
      </c>
      <c r="F51" s="3210"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0">
        <v>1</v>
      </c>
      <c r="B73" s="3633" t="s">
        <v>3022</v>
      </c>
      <c r="C73" s="3200" t="s">
        <v>3023</v>
      </c>
      <c r="D73" s="3200" t="s">
        <v>3024</v>
      </c>
      <c r="E73" s="3221">
        <v>0.2</v>
      </c>
      <c r="F73" s="3220">
        <v>25</v>
      </c>
    </row>
    <row r="74" spans="1:7" s="798" customFormat="1" ht="24">
      <c r="A74" s="3220">
        <v>2</v>
      </c>
      <c r="B74" s="3628"/>
      <c r="C74" s="3200" t="s">
        <v>3025</v>
      </c>
      <c r="D74" s="3200" t="s">
        <v>3026</v>
      </c>
      <c r="E74" s="3221">
        <v>0.2</v>
      </c>
      <c r="F74" s="3220">
        <v>25</v>
      </c>
    </row>
    <row r="75" spans="1:7" s="798" customFormat="1" ht="24">
      <c r="A75" s="3220">
        <v>3</v>
      </c>
      <c r="B75" s="3628"/>
      <c r="C75" s="3200" t="s">
        <v>3027</v>
      </c>
      <c r="D75" s="3200" t="s">
        <v>3028</v>
      </c>
      <c r="E75" s="3221">
        <v>0.2</v>
      </c>
      <c r="F75" s="3220">
        <v>25</v>
      </c>
    </row>
    <row r="76" spans="1:7" s="798" customFormat="1" ht="13.5">
      <c r="A76" s="3220">
        <v>4</v>
      </c>
      <c r="B76" s="3628"/>
      <c r="C76" s="3200" t="s">
        <v>3029</v>
      </c>
      <c r="D76" s="3200" t="s">
        <v>3030</v>
      </c>
      <c r="E76" s="3221">
        <v>0.15</v>
      </c>
      <c r="F76" s="3220">
        <v>20</v>
      </c>
    </row>
    <row r="77" spans="1:7" s="798" customFormat="1" ht="24">
      <c r="A77" s="3220">
        <v>5</v>
      </c>
      <c r="B77" s="3628"/>
      <c r="C77" s="3200" t="s">
        <v>3031</v>
      </c>
      <c r="D77" s="3200" t="s">
        <v>3032</v>
      </c>
      <c r="E77" s="3221">
        <v>0.15</v>
      </c>
      <c r="F77" s="3220">
        <v>20</v>
      </c>
    </row>
    <row r="78" spans="1:7" s="798" customFormat="1" ht="24">
      <c r="A78" s="3220">
        <v>6</v>
      </c>
      <c r="B78" s="3628"/>
      <c r="C78" s="3200" t="s">
        <v>3033</v>
      </c>
      <c r="D78" s="3200" t="s">
        <v>3034</v>
      </c>
      <c r="E78" s="3221">
        <v>0.15</v>
      </c>
      <c r="F78" s="3220">
        <v>20</v>
      </c>
    </row>
    <row r="79" spans="1:7" s="798" customFormat="1" ht="24">
      <c r="A79" s="3220">
        <v>7</v>
      </c>
      <c r="B79" s="3628"/>
      <c r="C79" s="3200" t="s">
        <v>3035</v>
      </c>
      <c r="D79" s="3200" t="s">
        <v>3036</v>
      </c>
      <c r="E79" s="3221">
        <v>0.15</v>
      </c>
      <c r="F79" s="3220">
        <v>20</v>
      </c>
    </row>
    <row r="80" spans="1:7" s="798" customFormat="1" ht="24">
      <c r="A80" s="3220">
        <v>8</v>
      </c>
      <c r="B80" s="3628"/>
      <c r="C80" s="3200" t="s">
        <v>3037</v>
      </c>
      <c r="D80" s="3200" t="s">
        <v>3038</v>
      </c>
      <c r="E80" s="3221">
        <v>0.1</v>
      </c>
      <c r="F80" s="3220">
        <v>15</v>
      </c>
    </row>
    <row r="81" spans="1:6" s="798" customFormat="1" ht="24">
      <c r="A81" s="3220">
        <v>9</v>
      </c>
      <c r="B81" s="3628"/>
      <c r="C81" s="3200" t="s">
        <v>3039</v>
      </c>
      <c r="D81" s="3200" t="s">
        <v>3040</v>
      </c>
      <c r="E81" s="3221">
        <v>0.1</v>
      </c>
      <c r="F81" s="3220">
        <v>15</v>
      </c>
    </row>
    <row r="82" spans="1:6" s="798" customFormat="1" ht="24">
      <c r="A82" s="3220">
        <v>10</v>
      </c>
      <c r="B82" s="3628"/>
      <c r="C82" s="3200" t="s">
        <v>3041</v>
      </c>
      <c r="D82" s="3200" t="s">
        <v>3042</v>
      </c>
      <c r="E82" s="3221">
        <v>0.1</v>
      </c>
      <c r="F82" s="3220">
        <v>15</v>
      </c>
    </row>
    <row r="83" spans="1:6" s="798" customFormat="1" ht="24">
      <c r="A83" s="3220">
        <v>11</v>
      </c>
      <c r="B83" s="3628"/>
      <c r="C83" s="3200" t="s">
        <v>3043</v>
      </c>
      <c r="D83" s="3200" t="s">
        <v>3044</v>
      </c>
      <c r="E83" s="3221">
        <v>0.1</v>
      </c>
      <c r="F83" s="3220">
        <v>15</v>
      </c>
    </row>
    <row r="84" spans="1:6" s="798" customFormat="1" ht="24">
      <c r="A84" s="3220">
        <v>12</v>
      </c>
      <c r="B84" s="3628"/>
      <c r="C84" s="3200" t="s">
        <v>3045</v>
      </c>
      <c r="D84" s="3200" t="s">
        <v>3046</v>
      </c>
      <c r="E84" s="3221">
        <v>0.1</v>
      </c>
      <c r="F84" s="3220">
        <v>15</v>
      </c>
    </row>
    <row r="85" spans="1:6" s="798" customFormat="1" ht="13.5">
      <c r="A85" s="3220">
        <v>13</v>
      </c>
      <c r="B85" s="3628"/>
      <c r="C85" s="3200" t="s">
        <v>3047</v>
      </c>
      <c r="D85" s="3200" t="s">
        <v>3048</v>
      </c>
      <c r="E85" s="3221">
        <v>0.1</v>
      </c>
      <c r="F85" s="3220">
        <v>15</v>
      </c>
    </row>
    <row r="86" spans="1:6" s="798" customFormat="1" ht="13.5">
      <c r="A86" s="3220">
        <v>14</v>
      </c>
      <c r="B86" s="3628"/>
      <c r="C86" s="3200" t="s">
        <v>3049</v>
      </c>
      <c r="D86" s="3200" t="s">
        <v>3050</v>
      </c>
      <c r="E86" s="3221">
        <v>0.1</v>
      </c>
      <c r="F86" s="3220">
        <v>15</v>
      </c>
    </row>
    <row r="87" spans="1:6" s="798" customFormat="1" ht="13.5">
      <c r="A87" s="3220">
        <v>15</v>
      </c>
      <c r="B87" s="3628"/>
      <c r="C87" s="3200" t="s">
        <v>3051</v>
      </c>
      <c r="D87" s="3200" t="s">
        <v>3052</v>
      </c>
      <c r="E87" s="3221">
        <v>0.1</v>
      </c>
      <c r="F87" s="3220">
        <v>15</v>
      </c>
    </row>
    <row r="88" spans="1:6" s="798" customFormat="1" ht="24">
      <c r="A88" s="3220">
        <v>16</v>
      </c>
      <c r="B88" s="3628"/>
      <c r="C88" s="3200" t="s">
        <v>3053</v>
      </c>
      <c r="D88" s="3200" t="s">
        <v>3054</v>
      </c>
      <c r="E88" s="3221">
        <v>0.1</v>
      </c>
      <c r="F88" s="3220">
        <v>15</v>
      </c>
    </row>
    <row r="89" spans="1:6" s="798" customFormat="1" ht="24">
      <c r="A89" s="3220">
        <v>17</v>
      </c>
      <c r="B89" s="3637"/>
      <c r="C89" s="3200" t="s">
        <v>3055</v>
      </c>
      <c r="D89" s="3200" t="s">
        <v>3056</v>
      </c>
      <c r="E89" s="3221">
        <v>0.1</v>
      </c>
      <c r="F89" s="3220">
        <v>15</v>
      </c>
    </row>
    <row r="90" spans="1:6" s="798" customFormat="1" ht="13.5">
      <c r="A90" s="3220">
        <v>18</v>
      </c>
      <c r="B90" s="3633" t="s">
        <v>3057</v>
      </c>
      <c r="C90" s="3200" t="s">
        <v>3058</v>
      </c>
      <c r="D90" s="3200" t="s">
        <v>3059</v>
      </c>
      <c r="E90" s="3221">
        <v>0.2</v>
      </c>
      <c r="F90" s="3220">
        <v>25</v>
      </c>
    </row>
    <row r="91" spans="1:6" s="798" customFormat="1" ht="24">
      <c r="A91" s="3220">
        <v>19</v>
      </c>
      <c r="B91" s="3628"/>
      <c r="C91" s="3200" t="s">
        <v>3060</v>
      </c>
      <c r="D91" s="3200" t="s">
        <v>3061</v>
      </c>
      <c r="E91" s="3221">
        <v>0.2</v>
      </c>
      <c r="F91" s="3220">
        <v>25</v>
      </c>
    </row>
    <row r="92" spans="1:6" s="798" customFormat="1" ht="13.5">
      <c r="A92" s="3220">
        <v>20</v>
      </c>
      <c r="B92" s="3628"/>
      <c r="C92" s="3200" t="s">
        <v>3062</v>
      </c>
      <c r="D92" s="3200" t="s">
        <v>3063</v>
      </c>
      <c r="E92" s="3221">
        <v>0.15</v>
      </c>
      <c r="F92" s="3220">
        <v>20</v>
      </c>
    </row>
    <row r="93" spans="1:6" s="798" customFormat="1" ht="24">
      <c r="A93" s="3220">
        <v>21</v>
      </c>
      <c r="B93" s="3628"/>
      <c r="C93" s="3200" t="s">
        <v>3064</v>
      </c>
      <c r="D93" s="3200" t="s">
        <v>3065</v>
      </c>
      <c r="E93" s="3221">
        <v>0.15</v>
      </c>
      <c r="F93" s="3220">
        <v>20</v>
      </c>
    </row>
    <row r="94" spans="1:6" s="798" customFormat="1" ht="24">
      <c r="A94" s="3220">
        <v>22</v>
      </c>
      <c r="B94" s="3628"/>
      <c r="C94" s="3200" t="s">
        <v>3066</v>
      </c>
      <c r="D94" s="3200" t="s">
        <v>3067</v>
      </c>
      <c r="E94" s="3221">
        <v>0.15</v>
      </c>
      <c r="F94" s="3220">
        <v>20</v>
      </c>
    </row>
    <row r="95" spans="1:6" s="798" customFormat="1" ht="36">
      <c r="A95" s="3220">
        <v>23</v>
      </c>
      <c r="B95" s="3628"/>
      <c r="C95" s="3200" t="s">
        <v>3068</v>
      </c>
      <c r="D95" s="3200" t="s">
        <v>3069</v>
      </c>
      <c r="E95" s="3221">
        <v>0.15</v>
      </c>
      <c r="F95" s="3220">
        <v>20</v>
      </c>
    </row>
    <row r="96" spans="1:6" s="798" customFormat="1" ht="13.5">
      <c r="A96" s="3220">
        <v>24</v>
      </c>
      <c r="B96" s="3628"/>
      <c r="C96" s="3200" t="s">
        <v>3070</v>
      </c>
      <c r="D96" s="3200" t="s">
        <v>3071</v>
      </c>
      <c r="E96" s="3221">
        <v>0.1</v>
      </c>
      <c r="F96" s="3220">
        <v>15</v>
      </c>
    </row>
    <row r="97" spans="1:6" s="798" customFormat="1" ht="24">
      <c r="A97" s="3220">
        <v>25</v>
      </c>
      <c r="B97" s="3628"/>
      <c r="C97" s="3200" t="s">
        <v>3072</v>
      </c>
      <c r="D97" s="3200" t="s">
        <v>3073</v>
      </c>
      <c r="E97" s="3221">
        <v>0.1</v>
      </c>
      <c r="F97" s="3220">
        <v>15</v>
      </c>
    </row>
    <row r="98" spans="1:6" s="798" customFormat="1" ht="24">
      <c r="A98" s="3220">
        <v>26</v>
      </c>
      <c r="B98" s="3628"/>
      <c r="C98" s="3200" t="s">
        <v>3074</v>
      </c>
      <c r="D98" s="3200" t="s">
        <v>3075</v>
      </c>
      <c r="E98" s="3221">
        <v>0.1</v>
      </c>
      <c r="F98" s="3220">
        <v>15</v>
      </c>
    </row>
    <row r="99" spans="1:6" s="798" customFormat="1" ht="24">
      <c r="A99" s="3220">
        <v>27</v>
      </c>
      <c r="B99" s="3628"/>
      <c r="C99" s="3200" t="s">
        <v>3076</v>
      </c>
      <c r="D99" s="3200" t="s">
        <v>3077</v>
      </c>
      <c r="E99" s="3221">
        <v>0.1</v>
      </c>
      <c r="F99" s="3220">
        <v>15</v>
      </c>
    </row>
    <row r="100" spans="1:6" s="798" customFormat="1" ht="24">
      <c r="A100" s="3220">
        <v>28</v>
      </c>
      <c r="B100" s="3628"/>
      <c r="C100" s="3200" t="s">
        <v>3078</v>
      </c>
      <c r="D100" s="3200" t="s">
        <v>3079</v>
      </c>
      <c r="E100" s="3221">
        <v>0.1</v>
      </c>
      <c r="F100" s="3220">
        <v>15</v>
      </c>
    </row>
    <row r="101" spans="1:6" s="798" customFormat="1" ht="24">
      <c r="A101" s="3220">
        <v>29</v>
      </c>
      <c r="B101" s="3628"/>
      <c r="C101" s="3200" t="s">
        <v>3080</v>
      </c>
      <c r="D101" s="3200" t="s">
        <v>3081</v>
      </c>
      <c r="E101" s="3221">
        <v>0.1</v>
      </c>
      <c r="F101" s="3220">
        <v>15</v>
      </c>
    </row>
    <row r="102" spans="1:6" s="798" customFormat="1" ht="24">
      <c r="A102" s="3220">
        <v>30</v>
      </c>
      <c r="B102" s="3628"/>
      <c r="C102" s="3200" t="s">
        <v>3082</v>
      </c>
      <c r="D102" s="3200" t="s">
        <v>3083</v>
      </c>
      <c r="E102" s="3221">
        <v>0.1</v>
      </c>
      <c r="F102" s="3220">
        <v>15</v>
      </c>
    </row>
    <row r="103" spans="1:6" s="798" customFormat="1" ht="24">
      <c r="A103" s="3220">
        <v>31</v>
      </c>
      <c r="B103" s="3628"/>
      <c r="C103" s="3200" t="s">
        <v>3084</v>
      </c>
      <c r="D103" s="3200" t="s">
        <v>3085</v>
      </c>
      <c r="E103" s="3221">
        <v>0.1</v>
      </c>
      <c r="F103" s="3220">
        <v>15</v>
      </c>
    </row>
    <row r="104" spans="1:6" s="798" customFormat="1" ht="24">
      <c r="A104" s="3220">
        <v>32</v>
      </c>
      <c r="B104" s="3628"/>
      <c r="C104" s="3200" t="s">
        <v>3086</v>
      </c>
      <c r="D104" s="3200" t="s">
        <v>3087</v>
      </c>
      <c r="E104" s="3221">
        <v>0.1</v>
      </c>
      <c r="F104" s="3220">
        <v>15</v>
      </c>
    </row>
    <row r="105" spans="1:6" s="798" customFormat="1" ht="24">
      <c r="A105" s="3220">
        <v>33</v>
      </c>
      <c r="B105" s="3628"/>
      <c r="C105" s="3200" t="s">
        <v>3088</v>
      </c>
      <c r="D105" s="3200" t="s">
        <v>3089</v>
      </c>
      <c r="E105" s="3221">
        <v>0.1</v>
      </c>
      <c r="F105" s="3220">
        <v>15</v>
      </c>
    </row>
    <row r="106" spans="1:6" s="798" customFormat="1" ht="24">
      <c r="A106" s="3220">
        <v>34</v>
      </c>
      <c r="B106" s="3637"/>
      <c r="C106" s="3200" t="s">
        <v>3090</v>
      </c>
      <c r="D106" s="3200" t="s">
        <v>3091</v>
      </c>
      <c r="E106" s="3221">
        <v>0.1</v>
      </c>
      <c r="F106" s="3220">
        <v>15</v>
      </c>
    </row>
    <row r="107" spans="1:6" s="798" customFormat="1" ht="24">
      <c r="A107" s="3220">
        <v>35</v>
      </c>
      <c r="B107" s="3633" t="s">
        <v>3092</v>
      </c>
      <c r="C107" s="3220" t="s">
        <v>3093</v>
      </c>
      <c r="D107" s="3200" t="s">
        <v>3094</v>
      </c>
      <c r="E107" s="3221">
        <v>0.15</v>
      </c>
      <c r="F107" s="3220">
        <v>20</v>
      </c>
    </row>
    <row r="108" spans="1:6" s="798" customFormat="1" ht="24">
      <c r="A108" s="3220">
        <v>36</v>
      </c>
      <c r="B108" s="3628"/>
      <c r="C108" s="3220" t="s">
        <v>3095</v>
      </c>
      <c r="D108" s="3200" t="s">
        <v>3096</v>
      </c>
      <c r="E108" s="3221">
        <v>0.15</v>
      </c>
      <c r="F108" s="3220">
        <v>20</v>
      </c>
    </row>
    <row r="109" spans="1:6" s="798" customFormat="1" ht="24">
      <c r="A109" s="3220">
        <v>37</v>
      </c>
      <c r="B109" s="3628"/>
      <c r="C109" s="3220" t="s">
        <v>3097</v>
      </c>
      <c r="D109" s="3200" t="s">
        <v>3098</v>
      </c>
      <c r="E109" s="3221">
        <v>0.15</v>
      </c>
      <c r="F109" s="3220">
        <v>20</v>
      </c>
    </row>
    <row r="110" spans="1:6" s="798" customFormat="1" ht="13.5">
      <c r="A110" s="3220">
        <v>38</v>
      </c>
      <c r="B110" s="3628"/>
      <c r="C110" s="3220" t="s">
        <v>3099</v>
      </c>
      <c r="D110" s="3200" t="s">
        <v>3100</v>
      </c>
      <c r="E110" s="3221">
        <v>0.1</v>
      </c>
      <c r="F110" s="3220">
        <v>15</v>
      </c>
    </row>
    <row r="111" spans="1:6" s="798" customFormat="1" ht="24">
      <c r="A111" s="3220">
        <v>39</v>
      </c>
      <c r="B111" s="3628"/>
      <c r="C111" s="3220" t="s">
        <v>3101</v>
      </c>
      <c r="D111" s="3200" t="s">
        <v>3102</v>
      </c>
      <c r="E111" s="3221">
        <v>0.1</v>
      </c>
      <c r="F111" s="3220">
        <v>15</v>
      </c>
    </row>
    <row r="112" spans="1:6" s="798" customFormat="1" ht="24">
      <c r="A112" s="3220">
        <v>40</v>
      </c>
      <c r="B112" s="3637"/>
      <c r="C112" s="3220" t="s">
        <v>3103</v>
      </c>
      <c r="D112" s="3200" t="s">
        <v>3104</v>
      </c>
      <c r="E112" s="3221">
        <v>0.1</v>
      </c>
      <c r="F112" s="3220">
        <v>15</v>
      </c>
    </row>
    <row r="113" spans="1:6" s="798" customFormat="1" ht="24">
      <c r="A113" s="3220">
        <v>41</v>
      </c>
      <c r="B113" s="3638" t="s">
        <v>3105</v>
      </c>
      <c r="C113" s="3220" t="s">
        <v>3106</v>
      </c>
      <c r="D113" s="3200" t="s">
        <v>3107</v>
      </c>
      <c r="E113" s="3221">
        <v>0.1</v>
      </c>
      <c r="F113" s="3220">
        <v>15</v>
      </c>
    </row>
    <row r="114" spans="1:6" s="798" customFormat="1" ht="13.5">
      <c r="A114" s="3220">
        <v>42</v>
      </c>
      <c r="B114" s="3638"/>
      <c r="C114" s="3220" t="s">
        <v>3108</v>
      </c>
      <c r="D114" s="3200" t="s">
        <v>3109</v>
      </c>
      <c r="E114" s="3221">
        <v>0.1</v>
      </c>
      <c r="F114" s="3220">
        <v>15</v>
      </c>
    </row>
    <row r="115" spans="1:6" s="798" customFormat="1" ht="24">
      <c r="A115" s="3220">
        <v>43</v>
      </c>
      <c r="B115" s="3638"/>
      <c r="C115" s="3220" t="s">
        <v>3110</v>
      </c>
      <c r="D115" s="3200" t="s">
        <v>3111</v>
      </c>
      <c r="E115" s="3221">
        <v>0.1</v>
      </c>
      <c r="F115" s="3220">
        <v>15</v>
      </c>
    </row>
    <row r="116" spans="1:6" s="798" customFormat="1" ht="24">
      <c r="A116" s="3220">
        <v>44</v>
      </c>
      <c r="B116" s="3633" t="s">
        <v>3112</v>
      </c>
      <c r="C116" s="3220" t="s">
        <v>3113</v>
      </c>
      <c r="D116" s="3200" t="s">
        <v>3114</v>
      </c>
      <c r="E116" s="3221">
        <v>0.1</v>
      </c>
      <c r="F116" s="3220">
        <v>15</v>
      </c>
    </row>
    <row r="117" spans="1:6" s="798" customFormat="1" ht="24">
      <c r="A117" s="3220">
        <v>45</v>
      </c>
      <c r="B117" s="3637"/>
      <c r="C117" s="3200" t="s">
        <v>3115</v>
      </c>
      <c r="D117" s="3200" t="s">
        <v>3116</v>
      </c>
      <c r="E117" s="3221">
        <v>0.1</v>
      </c>
      <c r="F117" s="3220">
        <v>15</v>
      </c>
    </row>
    <row r="118" spans="1:6" s="798" customFormat="1" ht="24">
      <c r="A118" s="3220">
        <v>46</v>
      </c>
      <c r="B118" s="3633" t="s">
        <v>3117</v>
      </c>
      <c r="C118" s="3220" t="s">
        <v>3118</v>
      </c>
      <c r="D118" s="3200" t="s">
        <v>3119</v>
      </c>
      <c r="E118" s="3221">
        <v>0.1</v>
      </c>
      <c r="F118" s="3220">
        <v>15</v>
      </c>
    </row>
    <row r="119" spans="1:6" s="798" customFormat="1" ht="24">
      <c r="A119" s="3220">
        <v>47</v>
      </c>
      <c r="B119" s="3637"/>
      <c r="C119" s="3220" t="s">
        <v>3120</v>
      </c>
      <c r="D119" s="3200" t="s">
        <v>3121</v>
      </c>
      <c r="E119" s="3221">
        <v>0.1</v>
      </c>
      <c r="F119" s="3220">
        <v>15</v>
      </c>
    </row>
    <row r="120" spans="1:6" s="798" customFormat="1" ht="24">
      <c r="A120" s="3220">
        <v>48</v>
      </c>
      <c r="B120" s="3633" t="s">
        <v>3122</v>
      </c>
      <c r="C120" s="3220" t="s">
        <v>3123</v>
      </c>
      <c r="D120" s="3200" t="s">
        <v>3124</v>
      </c>
      <c r="E120" s="3221">
        <v>0.1</v>
      </c>
      <c r="F120" s="3220">
        <v>15</v>
      </c>
    </row>
    <row r="121" spans="1:6" s="798" customFormat="1" ht="13.5">
      <c r="A121" s="3220">
        <v>49</v>
      </c>
      <c r="B121" s="3637"/>
      <c r="C121" s="3220" t="s">
        <v>3125</v>
      </c>
      <c r="D121" s="3200" t="s">
        <v>3126</v>
      </c>
      <c r="E121" s="3221">
        <v>0.1</v>
      </c>
      <c r="F121" s="3220">
        <v>15</v>
      </c>
    </row>
    <row r="122" spans="1:6" s="798" customFormat="1" ht="24">
      <c r="A122" s="3220">
        <v>50</v>
      </c>
      <c r="B122" s="3638" t="s">
        <v>3127</v>
      </c>
      <c r="C122" s="3220" t="s">
        <v>3128</v>
      </c>
      <c r="D122" s="3200" t="s">
        <v>3129</v>
      </c>
      <c r="E122" s="3221">
        <v>0.1</v>
      </c>
      <c r="F122" s="3220">
        <v>15</v>
      </c>
    </row>
    <row r="123" spans="1:6" s="798" customFormat="1" ht="24">
      <c r="A123" s="3220">
        <v>51</v>
      </c>
      <c r="B123" s="3638"/>
      <c r="C123" s="3220" t="s">
        <v>3130</v>
      </c>
      <c r="D123" s="3200" t="s">
        <v>3131</v>
      </c>
      <c r="E123" s="3221">
        <v>0.1</v>
      </c>
      <c r="F123" s="3220">
        <v>15</v>
      </c>
    </row>
    <row r="124" spans="1:6" s="798" customFormat="1" ht="24">
      <c r="A124" s="3220">
        <v>52</v>
      </c>
      <c r="B124" s="3638" t="s">
        <v>3132</v>
      </c>
      <c r="C124" s="3220" t="s">
        <v>3133</v>
      </c>
      <c r="D124" s="3200" t="s">
        <v>3134</v>
      </c>
      <c r="E124" s="3221">
        <v>0.1</v>
      </c>
      <c r="F124" s="3220">
        <v>15</v>
      </c>
    </row>
    <row r="125" spans="1:6" s="798" customFormat="1" ht="24">
      <c r="A125" s="3220">
        <v>53</v>
      </c>
      <c r="B125" s="3638"/>
      <c r="C125" s="3220" t="s">
        <v>3135</v>
      </c>
      <c r="D125" s="3200" t="s">
        <v>3136</v>
      </c>
      <c r="E125" s="3221">
        <v>0.1</v>
      </c>
      <c r="F125" s="3220">
        <v>15</v>
      </c>
    </row>
    <row r="126" spans="1:6" ht="24">
      <c r="A126" s="3220">
        <v>54</v>
      </c>
      <c r="B126" s="3220" t="s">
        <v>3137</v>
      </c>
      <c r="C126" s="3220" t="s">
        <v>3138</v>
      </c>
      <c r="D126" s="3200" t="s">
        <v>3139</v>
      </c>
      <c r="E126" s="3221">
        <v>0.1</v>
      </c>
      <c r="F126" s="3220">
        <v>15</v>
      </c>
    </row>
    <row r="127" spans="1:6" ht="13.5">
      <c r="A127" s="3220">
        <v>55</v>
      </c>
      <c r="B127" s="3638" t="s">
        <v>3140</v>
      </c>
      <c r="C127" s="3220" t="s">
        <v>3141</v>
      </c>
      <c r="D127" s="3200" t="s">
        <v>3142</v>
      </c>
      <c r="E127" s="3221">
        <v>0.1</v>
      </c>
      <c r="F127" s="3220">
        <v>15</v>
      </c>
    </row>
    <row r="128" spans="1:6" ht="13.5">
      <c r="A128" s="3220">
        <v>56</v>
      </c>
      <c r="B128" s="3638"/>
      <c r="C128" s="3220" t="s">
        <v>3143</v>
      </c>
      <c r="D128" s="3200" t="s">
        <v>3144</v>
      </c>
      <c r="E128" s="3221">
        <v>0.1</v>
      </c>
      <c r="F128" s="3220">
        <v>15</v>
      </c>
    </row>
    <row r="129" spans="1:6" ht="24">
      <c r="A129" s="3220">
        <v>57</v>
      </c>
      <c r="B129" s="3638"/>
      <c r="C129" s="3220" t="s">
        <v>3145</v>
      </c>
      <c r="D129" s="3200" t="s">
        <v>3146</v>
      </c>
      <c r="E129" s="3221">
        <v>0.1</v>
      </c>
      <c r="F129" s="3220">
        <v>15</v>
      </c>
    </row>
    <row r="130" spans="1:6" ht="24">
      <c r="A130" s="3220">
        <v>58</v>
      </c>
      <c r="B130" s="3638" t="s">
        <v>3147</v>
      </c>
      <c r="C130" s="3220" t="s">
        <v>3148</v>
      </c>
      <c r="D130" s="3200" t="s">
        <v>3149</v>
      </c>
      <c r="E130" s="3221">
        <v>0.1</v>
      </c>
      <c r="F130" s="3220">
        <v>15</v>
      </c>
    </row>
    <row r="131" spans="1:6" ht="24">
      <c r="A131" s="3220">
        <v>59</v>
      </c>
      <c r="B131" s="3638"/>
      <c r="C131" s="3220" t="s">
        <v>3150</v>
      </c>
      <c r="D131" s="3200" t="s">
        <v>3151</v>
      </c>
      <c r="E131" s="3221">
        <v>0.1</v>
      </c>
      <c r="F131" s="3220">
        <v>15</v>
      </c>
    </row>
    <row r="132" spans="1:6" ht="24">
      <c r="A132" s="3220">
        <v>60</v>
      </c>
      <c r="B132" s="3633" t="s">
        <v>3152</v>
      </c>
      <c r="C132" s="3220" t="s">
        <v>3153</v>
      </c>
      <c r="D132" s="3200" t="s">
        <v>3154</v>
      </c>
      <c r="E132" s="3221">
        <v>0.1</v>
      </c>
      <c r="F132" s="3220">
        <v>15</v>
      </c>
    </row>
    <row r="133" spans="1:6" ht="24">
      <c r="A133" s="3220">
        <v>61</v>
      </c>
      <c r="B133" s="3637"/>
      <c r="C133" s="3220" t="s">
        <v>3155</v>
      </c>
      <c r="D133" s="3200" t="s">
        <v>3156</v>
      </c>
      <c r="E133" s="3221">
        <v>0.1</v>
      </c>
      <c r="F133" s="3220">
        <v>15</v>
      </c>
    </row>
    <row r="134" spans="1:6" ht="24">
      <c r="A134" s="3220">
        <v>62</v>
      </c>
      <c r="B134" s="3220" t="s">
        <v>3157</v>
      </c>
      <c r="C134" s="3220" t="s">
        <v>3158</v>
      </c>
      <c r="D134" s="3200" t="s">
        <v>3159</v>
      </c>
      <c r="E134" s="3221">
        <v>0.1</v>
      </c>
      <c r="F134" s="3220">
        <v>15</v>
      </c>
    </row>
    <row r="135" spans="1:6" ht="24">
      <c r="A135" s="3220">
        <v>63</v>
      </c>
      <c r="B135" s="3638" t="s">
        <v>3160</v>
      </c>
      <c r="C135" s="3220" t="s">
        <v>3161</v>
      </c>
      <c r="D135" s="3200" t="s">
        <v>3162</v>
      </c>
      <c r="E135" s="3221">
        <v>0.1</v>
      </c>
      <c r="F135" s="3220">
        <v>15</v>
      </c>
    </row>
    <row r="136" spans="1:6" ht="13.5">
      <c r="A136" s="3220">
        <v>64</v>
      </c>
      <c r="B136" s="3638"/>
      <c r="C136" s="3220" t="s">
        <v>3163</v>
      </c>
      <c r="D136" s="3200" t="s">
        <v>3164</v>
      </c>
      <c r="E136" s="3221">
        <v>0.1</v>
      </c>
      <c r="F136" s="3220">
        <v>15</v>
      </c>
    </row>
    <row r="137" spans="1:6" ht="24">
      <c r="A137" s="3220">
        <v>65</v>
      </c>
      <c r="B137" s="3220" t="s">
        <v>3165</v>
      </c>
      <c r="C137" s="3220" t="s">
        <v>3166</v>
      </c>
      <c r="D137" s="3200" t="s">
        <v>3167</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0"/>
      <c r="C1" s="2310"/>
      <c r="D1" s="2310"/>
      <c r="E1" s="2310"/>
      <c r="F1" s="2968"/>
      <c r="G1" s="2968"/>
      <c r="H1" s="2968"/>
      <c r="I1" s="2968"/>
      <c r="J1" s="2968"/>
      <c r="K1" s="2968"/>
      <c r="L1" s="2968"/>
      <c r="M1" s="2968"/>
      <c r="N1" s="2968"/>
      <c r="O1" s="2968"/>
      <c r="P1" s="2968"/>
    </row>
    <row r="2" spans="1:16" ht="15.75">
      <c r="A2" s="2308" t="s">
        <v>2573</v>
      </c>
      <c r="B2" s="2772" t="e">
        <f ca="1">SUMIF(B6:B13,"&lt;&gt;#ref!",B6:B13)</f>
        <v>#DIV/0!</v>
      </c>
      <c r="C2" s="2308" t="s">
        <v>2574</v>
      </c>
      <c r="D2" s="2308" t="s">
        <v>2575</v>
      </c>
      <c r="E2" s="2782">
        <f ca="1">SUMIF(E6:E13,"&lt;&gt;#ref!",E6:E13)</f>
        <v>0</v>
      </c>
      <c r="F2" s="2968"/>
      <c r="G2" s="2968"/>
      <c r="H2" s="2968"/>
      <c r="I2" s="2968"/>
      <c r="J2" s="2968"/>
      <c r="K2" s="2968"/>
      <c r="L2" s="2968"/>
      <c r="M2" s="2968"/>
      <c r="N2" s="2968"/>
      <c r="O2" s="2968"/>
      <c r="P2" s="2968"/>
    </row>
    <row r="3" spans="1:16" ht="15.75">
      <c r="A3" s="2308" t="s">
        <v>2576</v>
      </c>
      <c r="B3" s="2772" t="e">
        <f ca="1">ROUND(B2*10000/E2,0)</f>
        <v>#DIV/0!</v>
      </c>
      <c r="C3" s="2308" t="s">
        <v>2582</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2577</v>
      </c>
      <c r="B5" s="2780" t="s">
        <v>2578</v>
      </c>
      <c r="C5" s="2309"/>
      <c r="D5" s="2968"/>
      <c r="E5" s="2781" t="s">
        <v>2579</v>
      </c>
      <c r="F5" s="2968"/>
      <c r="G5" s="2968"/>
      <c r="H5" s="2968"/>
      <c r="I5" s="2968"/>
      <c r="J5" s="2968"/>
      <c r="K5" s="2968"/>
      <c r="L5" s="2968"/>
      <c r="M5" s="2968"/>
      <c r="N5" s="2968"/>
      <c r="O5" s="2968"/>
      <c r="P5" s="2968"/>
    </row>
    <row r="6" spans="1:16" ht="15.75">
      <c r="A6" s="2779" t="s">
        <v>2580</v>
      </c>
      <c r="B6" s="2772" t="e">
        <f ca="1">SUMIF(INDIRECT("'"&amp;A6&amp;"'"&amp;"!A:A"),"总价",INDIRECT("'"&amp;A6&amp;"'"&amp;"!B:B"))</f>
        <v>#DIV/0!</v>
      </c>
      <c r="C6" s="2308" t="s">
        <v>2574</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8" t="s">
        <v>2574</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8" t="s">
        <v>2574</v>
      </c>
      <c r="D8" s="2968"/>
      <c r="E8" s="2782" t="e">
        <f t="shared" ca="1" si="0"/>
        <v>#REF!</v>
      </c>
      <c r="F8" s="2968"/>
      <c r="G8" s="2968"/>
      <c r="H8" s="2968"/>
      <c r="I8" s="2968"/>
      <c r="J8" s="2968"/>
      <c r="K8" s="2968"/>
      <c r="L8" s="2968"/>
      <c r="M8" s="2968"/>
      <c r="N8" s="2968"/>
      <c r="O8" s="2968"/>
      <c r="P8" s="2968"/>
    </row>
    <row r="9" spans="1:16" ht="15.75">
      <c r="A9" s="2779"/>
      <c r="B9" s="2772" t="e">
        <f t="shared" ca="1" si="1"/>
        <v>#REF!</v>
      </c>
      <c r="C9" s="2308" t="s">
        <v>2574</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8" t="s">
        <v>2574</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8" t="s">
        <v>2574</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8" t="s">
        <v>2574</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8" t="s">
        <v>2574</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1" sqref="K41"/>
      <selection pane="bottomLeft" activeCell="W64" sqref="W64"/>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8" t="s">
        <v>3314</v>
      </c>
      <c r="C5" s="3268" t="s">
        <v>3301</v>
      </c>
      <c r="D5" s="3268" t="s">
        <v>3303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1" t="s">
        <v>3315</v>
      </c>
      <c r="C7" s="3264" t="s">
        <v>3288</v>
      </c>
      <c r="D7" s="3264" t="s">
        <v>3289</v>
      </c>
      <c r="E7" s="3264" t="s">
        <v>3290</v>
      </c>
      <c r="F7" s="3267" t="s">
        <v>3291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3304</v>
      </c>
      <c r="D17" s="1120" t="s">
        <v>3311</v>
      </c>
      <c r="E17" s="1120" t="s">
        <v>3316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29945</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41372</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39" t="s">
        <v>33</v>
      </c>
      <c r="D22" s="3640"/>
      <c r="E22" s="3640"/>
      <c r="F22" s="3640"/>
      <c r="G22" s="3640"/>
      <c r="H22" s="3640"/>
      <c r="I22" s="3640"/>
      <c r="J22" s="3640"/>
      <c r="K22" s="3640"/>
      <c r="L22" s="3640"/>
      <c r="M22" s="3640"/>
      <c r="N22" s="3640"/>
      <c r="O22" s="3640"/>
      <c r="P22" s="3640"/>
      <c r="Q22" s="3641"/>
      <c r="R22" s="669">
        <f ca="1">ROUND(S22*10000/B22,0)</f>
        <v>41372</v>
      </c>
      <c r="S22" s="24">
        <f ca="1">SUM(S24:S10000)</f>
        <v>29945</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5">
        <v>1</v>
      </c>
      <c r="D24" s="2986" t="s">
        <v>3302</v>
      </c>
      <c r="E24" s="2985">
        <v>1</v>
      </c>
      <c r="F24" s="2986" t="s">
        <v>3305</v>
      </c>
      <c r="G24" s="2985">
        <v>1</v>
      </c>
      <c r="H24" s="2986"/>
      <c r="I24" s="2985">
        <v>1</v>
      </c>
      <c r="J24" s="2986"/>
      <c r="K24" s="2985">
        <v>1</v>
      </c>
      <c r="L24" s="2986"/>
      <c r="M24" s="2985">
        <v>1</v>
      </c>
      <c r="N24" s="2986"/>
      <c r="O24" s="2985">
        <v>1</v>
      </c>
      <c r="P24" s="2986" t="s">
        <v>3304</v>
      </c>
      <c r="Q24" s="2985">
        <v>1</v>
      </c>
      <c r="R24" s="674">
        <f ca="1">结果表!G20</f>
        <v>43096</v>
      </c>
      <c r="S24" s="672">
        <f t="shared" ref="S24:S54" ca="1" si="11">ROUND(R24*B24/10000,0)</f>
        <v>366</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6" t="s">
        <v>3302</v>
      </c>
      <c r="E25" s="24">
        <f>(SUMIF($5:$5,D25,$6:$6)-SUMIF($5:$5,$D$24,$6:$6)+100)/100</f>
        <v>1</v>
      </c>
      <c r="F25" s="2986" t="s">
        <v>3305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3304</v>
      </c>
      <c r="Q25" s="24">
        <f>(SUMIF($17:$17,P25,$18:$18)-SUMIF($17:$17,$P$24,$18:$18)+100)/100</f>
        <v>1</v>
      </c>
      <c r="R25" s="669">
        <f ca="1">IF(B25="",0,ROUND($R$24*C25*E25*G25*I25*K25*M25*O25*Q25,0))</f>
        <v>43527</v>
      </c>
      <c r="S25" s="322">
        <f t="shared" ca="1" si="11"/>
        <v>457</v>
      </c>
    </row>
    <row r="26" spans="1:45">
      <c r="A26" s="155" t="str">
        <f>'数据-基础表'!C34</f>
        <v>1单元2209</v>
      </c>
      <c r="B26" s="57">
        <f>'数据-基础表'!K34</f>
        <v>104.92</v>
      </c>
      <c r="C26" s="24">
        <f t="shared" ref="C26:C89" si="12">IF(B26="",1,(LOOKUP(B26,$3:$3,$4:$4)-LOOKUP($B$24,$3:$3,$4:$4)+100)/100)</f>
        <v>1.01</v>
      </c>
      <c r="D26" s="2986" t="s">
        <v>3302</v>
      </c>
      <c r="E26" s="24">
        <f t="shared" ref="E26:E89" si="13">(SUMIF($5:$5,D26,$6:$6)-SUMIF($5:$5,$D$24,$6:$6)+100)/100</f>
        <v>1</v>
      </c>
      <c r="F26" s="2986" t="s">
        <v>3305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6" t="s">
        <v>3304</v>
      </c>
      <c r="Q26" s="24">
        <f t="shared" ref="Q26:Q89" si="19">(SUMIF($17:$17,P26,$18:$18)-SUMIF($17:$17,$P$24,$18:$18)+100)/100</f>
        <v>1</v>
      </c>
      <c r="R26" s="669">
        <f t="shared" ref="R26:R89" ca="1" si="20">IF(B26="",0,ROUND($R$24*C26*E26*G26*I26*K26*M26*O26*Q26,0))</f>
        <v>43527</v>
      </c>
      <c r="S26" s="322">
        <f t="shared" ca="1" si="11"/>
        <v>457</v>
      </c>
    </row>
    <row r="27" spans="1:45">
      <c r="A27" s="155" t="str">
        <f>'数据-基础表'!C35</f>
        <v>1单元2210</v>
      </c>
      <c r="B27" s="57">
        <f>'数据-基础表'!K35</f>
        <v>132.82</v>
      </c>
      <c r="C27" s="24">
        <f t="shared" si="12"/>
        <v>1.01</v>
      </c>
      <c r="D27" s="2986" t="s">
        <v>3302</v>
      </c>
      <c r="E27" s="24">
        <f t="shared" si="13"/>
        <v>1</v>
      </c>
      <c r="F27" s="2986" t="s">
        <v>3305</v>
      </c>
      <c r="G27" s="24">
        <f t="shared" si="14"/>
        <v>1</v>
      </c>
      <c r="H27" s="673"/>
      <c r="I27" s="24">
        <f t="shared" si="15"/>
        <v>1</v>
      </c>
      <c r="J27" s="673"/>
      <c r="K27" s="24">
        <f t="shared" si="16"/>
        <v>1</v>
      </c>
      <c r="L27" s="673"/>
      <c r="M27" s="24">
        <f t="shared" si="17"/>
        <v>1</v>
      </c>
      <c r="N27" s="673"/>
      <c r="O27" s="24">
        <f t="shared" si="18"/>
        <v>1</v>
      </c>
      <c r="P27" s="2986" t="s">
        <v>3304</v>
      </c>
      <c r="Q27" s="24">
        <f t="shared" si="19"/>
        <v>1</v>
      </c>
      <c r="R27" s="669">
        <f t="shared" ca="1" si="20"/>
        <v>43527</v>
      </c>
      <c r="S27" s="322">
        <f t="shared" ca="1" si="11"/>
        <v>578</v>
      </c>
    </row>
    <row r="28" spans="1:45">
      <c r="A28" s="155" t="str">
        <f>'数据-基础表'!C36</f>
        <v>1单元2211</v>
      </c>
      <c r="B28" s="57">
        <f>'数据-基础表'!K36</f>
        <v>132.82</v>
      </c>
      <c r="C28" s="24">
        <f t="shared" si="12"/>
        <v>1.01</v>
      </c>
      <c r="D28" s="2986" t="s">
        <v>3302</v>
      </c>
      <c r="E28" s="24">
        <f t="shared" si="13"/>
        <v>1</v>
      </c>
      <c r="F28" s="2986" t="s">
        <v>3305</v>
      </c>
      <c r="G28" s="24">
        <f t="shared" si="14"/>
        <v>1</v>
      </c>
      <c r="H28" s="673"/>
      <c r="I28" s="24">
        <f t="shared" si="15"/>
        <v>1</v>
      </c>
      <c r="J28" s="673"/>
      <c r="K28" s="24">
        <f t="shared" si="16"/>
        <v>1</v>
      </c>
      <c r="L28" s="673"/>
      <c r="M28" s="24">
        <f t="shared" si="17"/>
        <v>1</v>
      </c>
      <c r="N28" s="673"/>
      <c r="O28" s="24">
        <f t="shared" si="18"/>
        <v>1</v>
      </c>
      <c r="P28" s="2986" t="s">
        <v>3304</v>
      </c>
      <c r="Q28" s="24">
        <f t="shared" si="19"/>
        <v>1</v>
      </c>
      <c r="R28" s="669">
        <f t="shared" ca="1" si="20"/>
        <v>43527</v>
      </c>
      <c r="S28" s="322">
        <f t="shared" ca="1" si="11"/>
        <v>578</v>
      </c>
    </row>
    <row r="29" spans="1:45">
      <c r="A29" s="155" t="str">
        <f>'数据-基础表'!C37</f>
        <v>1单元2215</v>
      </c>
      <c r="B29" s="57">
        <f>'数据-基础表'!K37</f>
        <v>132.82</v>
      </c>
      <c r="C29" s="24">
        <f t="shared" si="12"/>
        <v>1.01</v>
      </c>
      <c r="D29" s="2986" t="s">
        <v>3302</v>
      </c>
      <c r="E29" s="24">
        <f t="shared" si="13"/>
        <v>1</v>
      </c>
      <c r="F29" s="2986" t="s">
        <v>3305</v>
      </c>
      <c r="G29" s="24">
        <f t="shared" si="14"/>
        <v>1</v>
      </c>
      <c r="H29" s="673"/>
      <c r="I29" s="24">
        <f t="shared" si="15"/>
        <v>1</v>
      </c>
      <c r="J29" s="673"/>
      <c r="K29" s="24">
        <f t="shared" si="16"/>
        <v>1</v>
      </c>
      <c r="L29" s="673"/>
      <c r="M29" s="24">
        <f t="shared" si="17"/>
        <v>1</v>
      </c>
      <c r="N29" s="673"/>
      <c r="O29" s="24">
        <f t="shared" si="18"/>
        <v>1</v>
      </c>
      <c r="P29" s="2986" t="s">
        <v>3304</v>
      </c>
      <c r="Q29" s="24">
        <f t="shared" si="19"/>
        <v>1</v>
      </c>
      <c r="R29" s="669">
        <f t="shared" ca="1" si="20"/>
        <v>43527</v>
      </c>
      <c r="S29" s="322">
        <f t="shared" ca="1" si="11"/>
        <v>578</v>
      </c>
    </row>
    <row r="30" spans="1:45">
      <c r="A30" s="155" t="str">
        <f>'数据-基础表'!C38</f>
        <v>1单元2216</v>
      </c>
      <c r="B30" s="57">
        <f>'数据-基础表'!K38</f>
        <v>104.92</v>
      </c>
      <c r="C30" s="24">
        <f t="shared" si="12"/>
        <v>1.01</v>
      </c>
      <c r="D30" s="2986" t="s">
        <v>3302</v>
      </c>
      <c r="E30" s="24">
        <f t="shared" si="13"/>
        <v>1</v>
      </c>
      <c r="F30" s="2986" t="s">
        <v>3305</v>
      </c>
      <c r="G30" s="24">
        <f t="shared" si="14"/>
        <v>1</v>
      </c>
      <c r="H30" s="673"/>
      <c r="I30" s="24">
        <f t="shared" si="15"/>
        <v>1</v>
      </c>
      <c r="J30" s="673"/>
      <c r="K30" s="24">
        <f t="shared" si="16"/>
        <v>1</v>
      </c>
      <c r="L30" s="673"/>
      <c r="M30" s="24">
        <f t="shared" si="17"/>
        <v>1</v>
      </c>
      <c r="N30" s="673"/>
      <c r="O30" s="24">
        <f t="shared" si="18"/>
        <v>1</v>
      </c>
      <c r="P30" s="2986" t="s">
        <v>3304</v>
      </c>
      <c r="Q30" s="24">
        <f t="shared" si="19"/>
        <v>1</v>
      </c>
      <c r="R30" s="669">
        <f t="shared" ca="1" si="20"/>
        <v>43527</v>
      </c>
      <c r="S30" s="322">
        <f t="shared" ca="1" si="11"/>
        <v>457</v>
      </c>
    </row>
    <row r="31" spans="1:45">
      <c r="A31" s="155" t="str">
        <f>'数据-基础表'!C39</f>
        <v>1单元2218</v>
      </c>
      <c r="B31" s="57">
        <f>'数据-基础表'!K39</f>
        <v>135.22</v>
      </c>
      <c r="C31" s="24">
        <f t="shared" si="12"/>
        <v>1.01</v>
      </c>
      <c r="D31" s="2986" t="s">
        <v>3302</v>
      </c>
      <c r="E31" s="24">
        <f t="shared" si="13"/>
        <v>1</v>
      </c>
      <c r="F31" s="2986" t="s">
        <v>3305</v>
      </c>
      <c r="G31" s="24">
        <f t="shared" si="14"/>
        <v>1</v>
      </c>
      <c r="H31" s="673"/>
      <c r="I31" s="24">
        <f t="shared" si="15"/>
        <v>1</v>
      </c>
      <c r="J31" s="673"/>
      <c r="K31" s="24">
        <f t="shared" si="16"/>
        <v>1</v>
      </c>
      <c r="L31" s="673"/>
      <c r="M31" s="24">
        <f t="shared" si="17"/>
        <v>1</v>
      </c>
      <c r="N31" s="673"/>
      <c r="O31" s="24">
        <f t="shared" si="18"/>
        <v>1</v>
      </c>
      <c r="P31" s="2986" t="s">
        <v>3304</v>
      </c>
      <c r="Q31" s="24">
        <f t="shared" si="19"/>
        <v>1</v>
      </c>
      <c r="R31" s="669">
        <f t="shared" ca="1" si="20"/>
        <v>43527</v>
      </c>
      <c r="S31" s="322">
        <f t="shared" ca="1" si="11"/>
        <v>589</v>
      </c>
    </row>
    <row r="32" spans="1:45">
      <c r="A32" s="155" t="str">
        <f>'数据-基础表'!C40</f>
        <v>1单元2219</v>
      </c>
      <c r="B32" s="57">
        <f>'数据-基础表'!K40</f>
        <v>135.22</v>
      </c>
      <c r="C32" s="24">
        <f t="shared" si="12"/>
        <v>1.01</v>
      </c>
      <c r="D32" s="2986" t="s">
        <v>3302</v>
      </c>
      <c r="E32" s="24">
        <f t="shared" si="13"/>
        <v>1</v>
      </c>
      <c r="F32" s="2986" t="s">
        <v>3305</v>
      </c>
      <c r="G32" s="24">
        <f t="shared" si="14"/>
        <v>1</v>
      </c>
      <c r="H32" s="673"/>
      <c r="I32" s="24">
        <f t="shared" si="15"/>
        <v>1</v>
      </c>
      <c r="J32" s="673"/>
      <c r="K32" s="24">
        <f t="shared" si="16"/>
        <v>1</v>
      </c>
      <c r="L32" s="673"/>
      <c r="M32" s="24">
        <f t="shared" si="17"/>
        <v>1</v>
      </c>
      <c r="N32" s="673"/>
      <c r="O32" s="24">
        <f t="shared" si="18"/>
        <v>1</v>
      </c>
      <c r="P32" s="2986" t="s">
        <v>3304</v>
      </c>
      <c r="Q32" s="24">
        <f t="shared" si="19"/>
        <v>1</v>
      </c>
      <c r="R32" s="669">
        <f t="shared" ca="1" si="20"/>
        <v>43527</v>
      </c>
      <c r="S32" s="322">
        <f t="shared" ca="1" si="11"/>
        <v>589</v>
      </c>
    </row>
    <row r="33" spans="1:19">
      <c r="A33" s="155" t="str">
        <f>'数据-基础表'!C41</f>
        <v>2单元1006</v>
      </c>
      <c r="B33" s="57">
        <f>'数据-基础表'!K41</f>
        <v>109.06</v>
      </c>
      <c r="C33" s="24">
        <f t="shared" si="12"/>
        <v>1.01</v>
      </c>
      <c r="D33" s="2986" t="s">
        <v>3302</v>
      </c>
      <c r="E33" s="24">
        <f t="shared" si="13"/>
        <v>1</v>
      </c>
      <c r="F33" s="2986" t="s">
        <v>3305</v>
      </c>
      <c r="G33" s="24">
        <f t="shared" si="14"/>
        <v>1</v>
      </c>
      <c r="H33" s="673"/>
      <c r="I33" s="24">
        <f t="shared" si="15"/>
        <v>1</v>
      </c>
      <c r="J33" s="673"/>
      <c r="K33" s="24">
        <f t="shared" si="16"/>
        <v>1</v>
      </c>
      <c r="L33" s="673"/>
      <c r="M33" s="24">
        <f t="shared" si="17"/>
        <v>1</v>
      </c>
      <c r="N33" s="673"/>
      <c r="O33" s="24">
        <f t="shared" si="18"/>
        <v>1</v>
      </c>
      <c r="P33" s="673" t="s">
        <v>3311</v>
      </c>
      <c r="Q33" s="24">
        <f t="shared" si="19"/>
        <v>0.97</v>
      </c>
      <c r="R33" s="669">
        <f t="shared" ca="1" si="20"/>
        <v>42221</v>
      </c>
      <c r="S33" s="322">
        <f t="shared" ca="1" si="11"/>
        <v>460</v>
      </c>
    </row>
    <row r="34" spans="1:19">
      <c r="A34" s="155" t="str">
        <f>'数据-基础表'!C42</f>
        <v>2单元1103</v>
      </c>
      <c r="B34" s="57">
        <f>'数据-基础表'!K42</f>
        <v>109.06</v>
      </c>
      <c r="C34" s="24">
        <f t="shared" si="12"/>
        <v>1.01</v>
      </c>
      <c r="D34" s="2986" t="s">
        <v>3302</v>
      </c>
      <c r="E34" s="24">
        <f t="shared" si="13"/>
        <v>1</v>
      </c>
      <c r="F34" s="2986" t="s">
        <v>3305</v>
      </c>
      <c r="G34" s="24">
        <f t="shared" si="14"/>
        <v>1</v>
      </c>
      <c r="H34" s="673"/>
      <c r="I34" s="24">
        <f t="shared" si="15"/>
        <v>1</v>
      </c>
      <c r="J34" s="673"/>
      <c r="K34" s="24">
        <f t="shared" si="16"/>
        <v>1</v>
      </c>
      <c r="L34" s="673"/>
      <c r="M34" s="24">
        <f t="shared" si="17"/>
        <v>1</v>
      </c>
      <c r="N34" s="673"/>
      <c r="O34" s="24">
        <f t="shared" si="18"/>
        <v>1</v>
      </c>
      <c r="P34" s="673" t="s">
        <v>3311</v>
      </c>
      <c r="Q34" s="24">
        <f t="shared" si="19"/>
        <v>0.97</v>
      </c>
      <c r="R34" s="669">
        <f t="shared" ca="1" si="20"/>
        <v>42221</v>
      </c>
      <c r="S34" s="322">
        <f t="shared" ca="1" si="11"/>
        <v>460</v>
      </c>
    </row>
    <row r="35" spans="1:19">
      <c r="A35" s="155" t="str">
        <f>'数据-基础表'!C43</f>
        <v>2单元1202</v>
      </c>
      <c r="B35" s="57">
        <f>'数据-基础表'!K43</f>
        <v>109.06</v>
      </c>
      <c r="C35" s="24">
        <f t="shared" si="12"/>
        <v>1.01</v>
      </c>
      <c r="D35" s="2986" t="s">
        <v>3302</v>
      </c>
      <c r="E35" s="24">
        <f t="shared" si="13"/>
        <v>1</v>
      </c>
      <c r="F35" s="2986" t="s">
        <v>3305</v>
      </c>
      <c r="G35" s="24">
        <f t="shared" si="14"/>
        <v>1</v>
      </c>
      <c r="H35" s="673"/>
      <c r="I35" s="24">
        <f t="shared" si="15"/>
        <v>1</v>
      </c>
      <c r="J35" s="673"/>
      <c r="K35" s="24">
        <f t="shared" si="16"/>
        <v>1</v>
      </c>
      <c r="L35" s="673"/>
      <c r="M35" s="24">
        <f t="shared" si="17"/>
        <v>1</v>
      </c>
      <c r="N35" s="673"/>
      <c r="O35" s="24">
        <f t="shared" si="18"/>
        <v>1</v>
      </c>
      <c r="P35" s="673" t="s">
        <v>3311</v>
      </c>
      <c r="Q35" s="24">
        <f t="shared" si="19"/>
        <v>0.97</v>
      </c>
      <c r="R35" s="669">
        <f t="shared" ca="1" si="20"/>
        <v>42221</v>
      </c>
      <c r="S35" s="322">
        <f t="shared" ca="1" si="11"/>
        <v>460</v>
      </c>
    </row>
    <row r="36" spans="1:19">
      <c r="A36" s="155" t="str">
        <f>'数据-基础表'!C44</f>
        <v>2单元1203</v>
      </c>
      <c r="B36" s="57">
        <f>'数据-基础表'!K44</f>
        <v>109.06</v>
      </c>
      <c r="C36" s="24">
        <f t="shared" si="12"/>
        <v>1.01</v>
      </c>
      <c r="D36" s="2986" t="s">
        <v>3302</v>
      </c>
      <c r="E36" s="24">
        <f t="shared" si="13"/>
        <v>1</v>
      </c>
      <c r="F36" s="2986" t="s">
        <v>3305</v>
      </c>
      <c r="G36" s="24">
        <f t="shared" si="14"/>
        <v>1</v>
      </c>
      <c r="H36" s="673"/>
      <c r="I36" s="24">
        <f t="shared" si="15"/>
        <v>1</v>
      </c>
      <c r="J36" s="673"/>
      <c r="K36" s="24">
        <f t="shared" si="16"/>
        <v>1</v>
      </c>
      <c r="L36" s="673"/>
      <c r="M36" s="24">
        <f t="shared" si="17"/>
        <v>1</v>
      </c>
      <c r="N36" s="673"/>
      <c r="O36" s="24">
        <f t="shared" si="18"/>
        <v>1</v>
      </c>
      <c r="P36" s="673" t="s">
        <v>3311</v>
      </c>
      <c r="Q36" s="24">
        <f t="shared" si="19"/>
        <v>0.97</v>
      </c>
      <c r="R36" s="669">
        <f t="shared" ca="1" si="20"/>
        <v>42221</v>
      </c>
      <c r="S36" s="322">
        <f t="shared" ca="1" si="11"/>
        <v>460</v>
      </c>
    </row>
    <row r="37" spans="1:19">
      <c r="A37" s="155" t="str">
        <f>'数据-基础表'!C45</f>
        <v>2单元315</v>
      </c>
      <c r="B37" s="57">
        <f>'数据-基础表'!K45</f>
        <v>201.75</v>
      </c>
      <c r="C37" s="24">
        <f t="shared" si="12"/>
        <v>1.01</v>
      </c>
      <c r="D37" s="2986" t="s">
        <v>3302</v>
      </c>
      <c r="E37" s="24">
        <f t="shared" si="13"/>
        <v>1</v>
      </c>
      <c r="F37" s="2986" t="s">
        <v>3305</v>
      </c>
      <c r="G37" s="24">
        <f t="shared" si="14"/>
        <v>1</v>
      </c>
      <c r="H37" s="673"/>
      <c r="I37" s="24">
        <f t="shared" si="15"/>
        <v>1</v>
      </c>
      <c r="J37" s="673"/>
      <c r="K37" s="24">
        <f t="shared" si="16"/>
        <v>1</v>
      </c>
      <c r="L37" s="673"/>
      <c r="M37" s="24">
        <f t="shared" si="17"/>
        <v>1</v>
      </c>
      <c r="N37" s="673"/>
      <c r="O37" s="24">
        <f t="shared" si="18"/>
        <v>1</v>
      </c>
      <c r="P37" s="673" t="s">
        <v>3316</v>
      </c>
      <c r="Q37" s="24">
        <f t="shared" si="19"/>
        <v>0.94</v>
      </c>
      <c r="R37" s="669">
        <f t="shared" ca="1" si="20"/>
        <v>40915</v>
      </c>
      <c r="S37" s="322">
        <f t="shared" ca="1" si="11"/>
        <v>825</v>
      </c>
    </row>
    <row r="38" spans="1:19">
      <c r="A38" s="155" t="str">
        <f>'数据-基础表'!C46</f>
        <v>2单元501</v>
      </c>
      <c r="B38" s="57">
        <f>'数据-基础表'!K46</f>
        <v>206.15</v>
      </c>
      <c r="C38" s="24">
        <f t="shared" si="12"/>
        <v>1.01</v>
      </c>
      <c r="D38" s="2986" t="s">
        <v>3302</v>
      </c>
      <c r="E38" s="24">
        <f t="shared" si="13"/>
        <v>1</v>
      </c>
      <c r="F38" s="2986" t="s">
        <v>3305</v>
      </c>
      <c r="G38" s="24">
        <f t="shared" si="14"/>
        <v>1</v>
      </c>
      <c r="H38" s="673"/>
      <c r="I38" s="24">
        <f t="shared" si="15"/>
        <v>1</v>
      </c>
      <c r="J38" s="673"/>
      <c r="K38" s="24">
        <f t="shared" si="16"/>
        <v>1</v>
      </c>
      <c r="L38" s="673"/>
      <c r="M38" s="24">
        <f t="shared" si="17"/>
        <v>1</v>
      </c>
      <c r="N38" s="673"/>
      <c r="O38" s="24">
        <f t="shared" si="18"/>
        <v>1</v>
      </c>
      <c r="P38" s="673" t="s">
        <v>3316</v>
      </c>
      <c r="Q38" s="24">
        <f t="shared" si="19"/>
        <v>0.94</v>
      </c>
      <c r="R38" s="669">
        <f t="shared" ca="1" si="20"/>
        <v>40915</v>
      </c>
      <c r="S38" s="322">
        <f t="shared" ca="1" si="11"/>
        <v>843</v>
      </c>
    </row>
    <row r="39" spans="1:19">
      <c r="A39" s="155" t="str">
        <f>'数据-基础表'!C47</f>
        <v>2单元502</v>
      </c>
      <c r="B39" s="57">
        <f>'数据-基础表'!K47</f>
        <v>171.04</v>
      </c>
      <c r="C39" s="24">
        <f t="shared" si="12"/>
        <v>1.01</v>
      </c>
      <c r="D39" s="2986" t="s">
        <v>3302</v>
      </c>
      <c r="E39" s="24">
        <f t="shared" si="13"/>
        <v>1</v>
      </c>
      <c r="F39" s="2986" t="s">
        <v>3305</v>
      </c>
      <c r="G39" s="24">
        <f t="shared" si="14"/>
        <v>1</v>
      </c>
      <c r="H39" s="673"/>
      <c r="I39" s="24">
        <f t="shared" si="15"/>
        <v>1</v>
      </c>
      <c r="J39" s="673"/>
      <c r="K39" s="24">
        <f t="shared" si="16"/>
        <v>1</v>
      </c>
      <c r="L39" s="673"/>
      <c r="M39" s="24">
        <f t="shared" si="17"/>
        <v>1</v>
      </c>
      <c r="N39" s="673"/>
      <c r="O39" s="24">
        <f t="shared" si="18"/>
        <v>1</v>
      </c>
      <c r="P39" s="673" t="s">
        <v>3316</v>
      </c>
      <c r="Q39" s="24">
        <f t="shared" si="19"/>
        <v>0.94</v>
      </c>
      <c r="R39" s="669">
        <f t="shared" ca="1" si="20"/>
        <v>40915</v>
      </c>
      <c r="S39" s="322">
        <f t="shared" ca="1" si="11"/>
        <v>700</v>
      </c>
    </row>
    <row r="40" spans="1:19">
      <c r="A40" s="155" t="str">
        <f>'数据-基础表'!C48</f>
        <v>2单元503</v>
      </c>
      <c r="B40" s="57">
        <f>'数据-基础表'!K48</f>
        <v>171.97</v>
      </c>
      <c r="C40" s="24">
        <f t="shared" si="12"/>
        <v>1.01</v>
      </c>
      <c r="D40" s="2986" t="s">
        <v>3302</v>
      </c>
      <c r="E40" s="24">
        <f t="shared" si="13"/>
        <v>1</v>
      </c>
      <c r="F40" s="2986" t="s">
        <v>3305</v>
      </c>
      <c r="G40" s="24">
        <f t="shared" si="14"/>
        <v>1</v>
      </c>
      <c r="H40" s="673"/>
      <c r="I40" s="24">
        <f t="shared" si="15"/>
        <v>1</v>
      </c>
      <c r="J40" s="673"/>
      <c r="K40" s="24">
        <f t="shared" si="16"/>
        <v>1</v>
      </c>
      <c r="L40" s="673"/>
      <c r="M40" s="24">
        <f t="shared" si="17"/>
        <v>1</v>
      </c>
      <c r="N40" s="673"/>
      <c r="O40" s="24">
        <f t="shared" si="18"/>
        <v>1</v>
      </c>
      <c r="P40" s="673" t="s">
        <v>3316</v>
      </c>
      <c r="Q40" s="24">
        <f t="shared" si="19"/>
        <v>0.94</v>
      </c>
      <c r="R40" s="669">
        <f t="shared" ca="1" si="20"/>
        <v>40915</v>
      </c>
      <c r="S40" s="322">
        <f t="shared" ca="1" si="11"/>
        <v>704</v>
      </c>
    </row>
    <row r="41" spans="1:19">
      <c r="A41" s="155" t="str">
        <f>'数据-基础表'!C49</f>
        <v>2单元505</v>
      </c>
      <c r="B41" s="57">
        <f>'数据-基础表'!K49</f>
        <v>109.06</v>
      </c>
      <c r="C41" s="24">
        <f t="shared" si="12"/>
        <v>1.01</v>
      </c>
      <c r="D41" s="2986" t="s">
        <v>3302</v>
      </c>
      <c r="E41" s="24">
        <f t="shared" si="13"/>
        <v>1</v>
      </c>
      <c r="F41" s="2986" t="s">
        <v>3305</v>
      </c>
      <c r="G41" s="24">
        <f t="shared" si="14"/>
        <v>1</v>
      </c>
      <c r="H41" s="673"/>
      <c r="I41" s="24">
        <f t="shared" si="15"/>
        <v>1</v>
      </c>
      <c r="J41" s="673"/>
      <c r="K41" s="24">
        <f t="shared" si="16"/>
        <v>1</v>
      </c>
      <c r="L41" s="673"/>
      <c r="M41" s="24">
        <f t="shared" si="17"/>
        <v>1</v>
      </c>
      <c r="N41" s="673"/>
      <c r="O41" s="24">
        <f t="shared" si="18"/>
        <v>1</v>
      </c>
      <c r="P41" s="673" t="s">
        <v>3316</v>
      </c>
      <c r="Q41" s="24">
        <f t="shared" si="19"/>
        <v>0.94</v>
      </c>
      <c r="R41" s="669">
        <f t="shared" ca="1" si="20"/>
        <v>40915</v>
      </c>
      <c r="S41" s="322">
        <f t="shared" ca="1" si="11"/>
        <v>446</v>
      </c>
    </row>
    <row r="42" spans="1:19">
      <c r="A42" s="155" t="str">
        <f>'数据-基础表'!C50</f>
        <v>2单元506</v>
      </c>
      <c r="B42" s="57">
        <f>'数据-基础表'!K50</f>
        <v>109.06</v>
      </c>
      <c r="C42" s="24">
        <f t="shared" si="12"/>
        <v>1.01</v>
      </c>
      <c r="D42" s="2986" t="s">
        <v>3302</v>
      </c>
      <c r="E42" s="24">
        <f t="shared" si="13"/>
        <v>1</v>
      </c>
      <c r="F42" s="2986" t="s">
        <v>3305</v>
      </c>
      <c r="G42" s="24">
        <f t="shared" si="14"/>
        <v>1</v>
      </c>
      <c r="H42" s="673"/>
      <c r="I42" s="24">
        <f t="shared" si="15"/>
        <v>1</v>
      </c>
      <c r="J42" s="673"/>
      <c r="K42" s="24">
        <f t="shared" si="16"/>
        <v>1</v>
      </c>
      <c r="L42" s="673"/>
      <c r="M42" s="24">
        <f t="shared" si="17"/>
        <v>1</v>
      </c>
      <c r="N42" s="673"/>
      <c r="O42" s="24">
        <f t="shared" si="18"/>
        <v>1</v>
      </c>
      <c r="P42" s="673" t="s">
        <v>3316</v>
      </c>
      <c r="Q42" s="24">
        <f t="shared" si="19"/>
        <v>0.94</v>
      </c>
      <c r="R42" s="669">
        <f t="shared" ca="1" si="20"/>
        <v>40915</v>
      </c>
      <c r="S42" s="322">
        <f t="shared" ca="1" si="11"/>
        <v>446</v>
      </c>
    </row>
    <row r="43" spans="1:19">
      <c r="A43" s="155" t="str">
        <f>'数据-基础表'!C51</f>
        <v>2单元507</v>
      </c>
      <c r="B43" s="57">
        <f>'数据-基础表'!K51</f>
        <v>109.06</v>
      </c>
      <c r="C43" s="24">
        <f t="shared" si="12"/>
        <v>1.01</v>
      </c>
      <c r="D43" s="2986" t="s">
        <v>3302</v>
      </c>
      <c r="E43" s="24">
        <f t="shared" si="13"/>
        <v>1</v>
      </c>
      <c r="F43" s="2986" t="s">
        <v>3305</v>
      </c>
      <c r="G43" s="24">
        <f t="shared" si="14"/>
        <v>1</v>
      </c>
      <c r="H43" s="673"/>
      <c r="I43" s="24">
        <f t="shared" si="15"/>
        <v>1</v>
      </c>
      <c r="J43" s="673"/>
      <c r="K43" s="24">
        <f t="shared" si="16"/>
        <v>1</v>
      </c>
      <c r="L43" s="673"/>
      <c r="M43" s="24">
        <f t="shared" si="17"/>
        <v>1</v>
      </c>
      <c r="N43" s="673"/>
      <c r="O43" s="24">
        <f t="shared" si="18"/>
        <v>1</v>
      </c>
      <c r="P43" s="673" t="s">
        <v>3316</v>
      </c>
      <c r="Q43" s="24">
        <f t="shared" si="19"/>
        <v>0.94</v>
      </c>
      <c r="R43" s="669">
        <f t="shared" ca="1" si="20"/>
        <v>40915</v>
      </c>
      <c r="S43" s="322">
        <f t="shared" ca="1" si="11"/>
        <v>446</v>
      </c>
    </row>
    <row r="44" spans="1:19">
      <c r="A44" s="155" t="str">
        <f>'数据-基础表'!C52</f>
        <v>2单元508</v>
      </c>
      <c r="B44" s="57">
        <f>'数据-基础表'!K52</f>
        <v>109.06</v>
      </c>
      <c r="C44" s="24">
        <f t="shared" si="12"/>
        <v>1.01</v>
      </c>
      <c r="D44" s="2986" t="s">
        <v>3302</v>
      </c>
      <c r="E44" s="24">
        <f t="shared" si="13"/>
        <v>1</v>
      </c>
      <c r="F44" s="2986" t="s">
        <v>3305</v>
      </c>
      <c r="G44" s="24">
        <f t="shared" si="14"/>
        <v>1</v>
      </c>
      <c r="H44" s="673"/>
      <c r="I44" s="24">
        <f t="shared" si="15"/>
        <v>1</v>
      </c>
      <c r="J44" s="673"/>
      <c r="K44" s="24">
        <f t="shared" si="16"/>
        <v>1</v>
      </c>
      <c r="L44" s="673"/>
      <c r="M44" s="24">
        <f t="shared" si="17"/>
        <v>1</v>
      </c>
      <c r="N44" s="673"/>
      <c r="O44" s="24">
        <f t="shared" si="18"/>
        <v>1</v>
      </c>
      <c r="P44" s="673" t="s">
        <v>3316</v>
      </c>
      <c r="Q44" s="24">
        <f t="shared" si="19"/>
        <v>0.94</v>
      </c>
      <c r="R44" s="669">
        <f t="shared" ca="1" si="20"/>
        <v>40915</v>
      </c>
      <c r="S44" s="322">
        <f t="shared" ca="1" si="11"/>
        <v>446</v>
      </c>
    </row>
    <row r="45" spans="1:19">
      <c r="A45" s="155" t="str">
        <f>'数据-基础表'!C53</f>
        <v>2单元509</v>
      </c>
      <c r="B45" s="57">
        <f>'数据-基础表'!K53</f>
        <v>109.06</v>
      </c>
      <c r="C45" s="24">
        <f t="shared" si="12"/>
        <v>1.01</v>
      </c>
      <c r="D45" s="2986" t="s">
        <v>3302</v>
      </c>
      <c r="E45" s="24">
        <f t="shared" si="13"/>
        <v>1</v>
      </c>
      <c r="F45" s="2986" t="s">
        <v>3305</v>
      </c>
      <c r="G45" s="24">
        <f t="shared" si="14"/>
        <v>1</v>
      </c>
      <c r="H45" s="673"/>
      <c r="I45" s="24">
        <f t="shared" si="15"/>
        <v>1</v>
      </c>
      <c r="J45" s="673"/>
      <c r="K45" s="24">
        <f t="shared" si="16"/>
        <v>1</v>
      </c>
      <c r="L45" s="673"/>
      <c r="M45" s="24">
        <f t="shared" si="17"/>
        <v>1</v>
      </c>
      <c r="N45" s="673"/>
      <c r="O45" s="24">
        <f t="shared" si="18"/>
        <v>1</v>
      </c>
      <c r="P45" s="673" t="s">
        <v>3316</v>
      </c>
      <c r="Q45" s="24">
        <f t="shared" si="19"/>
        <v>0.94</v>
      </c>
      <c r="R45" s="669">
        <f t="shared" ca="1" si="20"/>
        <v>40915</v>
      </c>
      <c r="S45" s="322">
        <f t="shared" ca="1" si="11"/>
        <v>446</v>
      </c>
    </row>
    <row r="46" spans="1:19">
      <c r="A46" s="155" t="str">
        <f>'数据-基础表'!C54</f>
        <v>2单元510</v>
      </c>
      <c r="B46" s="57">
        <f>'数据-基础表'!K54</f>
        <v>171.97</v>
      </c>
      <c r="C46" s="24">
        <f t="shared" si="12"/>
        <v>1.01</v>
      </c>
      <c r="D46" s="2986" t="s">
        <v>3302</v>
      </c>
      <c r="E46" s="24">
        <f t="shared" si="13"/>
        <v>1</v>
      </c>
      <c r="F46" s="2986" t="s">
        <v>3305</v>
      </c>
      <c r="G46" s="24">
        <f t="shared" si="14"/>
        <v>1</v>
      </c>
      <c r="H46" s="673"/>
      <c r="I46" s="24">
        <f t="shared" si="15"/>
        <v>1</v>
      </c>
      <c r="J46" s="673"/>
      <c r="K46" s="24">
        <f t="shared" si="16"/>
        <v>1</v>
      </c>
      <c r="L46" s="673"/>
      <c r="M46" s="24">
        <f t="shared" si="17"/>
        <v>1</v>
      </c>
      <c r="N46" s="673"/>
      <c r="O46" s="24">
        <f t="shared" si="18"/>
        <v>1</v>
      </c>
      <c r="P46" s="673" t="s">
        <v>3316</v>
      </c>
      <c r="Q46" s="24">
        <f t="shared" si="19"/>
        <v>0.94</v>
      </c>
      <c r="R46" s="669">
        <f t="shared" ca="1" si="20"/>
        <v>40915</v>
      </c>
      <c r="S46" s="322">
        <f t="shared" ca="1" si="11"/>
        <v>704</v>
      </c>
    </row>
    <row r="47" spans="1:19">
      <c r="A47" s="155" t="str">
        <f>'数据-基础表'!C55</f>
        <v>2单元511</v>
      </c>
      <c r="B47" s="57">
        <f>'数据-基础表'!K55</f>
        <v>171.04</v>
      </c>
      <c r="C47" s="24">
        <f t="shared" si="12"/>
        <v>1.01</v>
      </c>
      <c r="D47" s="2986" t="s">
        <v>3302</v>
      </c>
      <c r="E47" s="24">
        <f t="shared" si="13"/>
        <v>1</v>
      </c>
      <c r="F47" s="2986" t="s">
        <v>3305</v>
      </c>
      <c r="G47" s="24">
        <f t="shared" si="14"/>
        <v>1</v>
      </c>
      <c r="H47" s="673"/>
      <c r="I47" s="24">
        <f t="shared" si="15"/>
        <v>1</v>
      </c>
      <c r="J47" s="673"/>
      <c r="K47" s="24">
        <f t="shared" si="16"/>
        <v>1</v>
      </c>
      <c r="L47" s="673"/>
      <c r="M47" s="24">
        <f t="shared" si="17"/>
        <v>1</v>
      </c>
      <c r="N47" s="673"/>
      <c r="O47" s="24">
        <f t="shared" si="18"/>
        <v>1</v>
      </c>
      <c r="P47" s="673" t="s">
        <v>3316</v>
      </c>
      <c r="Q47" s="24">
        <f t="shared" si="19"/>
        <v>0.94</v>
      </c>
      <c r="R47" s="669">
        <f t="shared" ca="1" si="20"/>
        <v>40915</v>
      </c>
      <c r="S47" s="322">
        <f t="shared" ca="1" si="11"/>
        <v>700</v>
      </c>
    </row>
    <row r="48" spans="1:19">
      <c r="A48" s="155" t="str">
        <f>'数据-基础表'!C56</f>
        <v>2单元512</v>
      </c>
      <c r="B48" s="57">
        <f>'数据-基础表'!K56</f>
        <v>206.14</v>
      </c>
      <c r="C48" s="24">
        <f t="shared" si="12"/>
        <v>1.01</v>
      </c>
      <c r="D48" s="2986" t="s">
        <v>3302</v>
      </c>
      <c r="E48" s="24">
        <f t="shared" si="13"/>
        <v>1</v>
      </c>
      <c r="F48" s="2986" t="s">
        <v>3305</v>
      </c>
      <c r="G48" s="24">
        <f t="shared" si="14"/>
        <v>1</v>
      </c>
      <c r="H48" s="673"/>
      <c r="I48" s="24">
        <f t="shared" si="15"/>
        <v>1</v>
      </c>
      <c r="J48" s="673"/>
      <c r="K48" s="24">
        <f t="shared" si="16"/>
        <v>1</v>
      </c>
      <c r="L48" s="673"/>
      <c r="M48" s="24">
        <f t="shared" si="17"/>
        <v>1</v>
      </c>
      <c r="N48" s="673"/>
      <c r="O48" s="24">
        <f t="shared" si="18"/>
        <v>1</v>
      </c>
      <c r="P48" s="673" t="s">
        <v>3316</v>
      </c>
      <c r="Q48" s="24">
        <f t="shared" si="19"/>
        <v>0.94</v>
      </c>
      <c r="R48" s="669">
        <f t="shared" ca="1" si="20"/>
        <v>40915</v>
      </c>
      <c r="S48" s="322">
        <f t="shared" ca="1" si="11"/>
        <v>843</v>
      </c>
    </row>
    <row r="49" spans="1:19">
      <c r="A49" s="155" t="str">
        <f>'数据-基础表'!C57</f>
        <v>2单元515</v>
      </c>
      <c r="B49" s="57">
        <f>'数据-基础表'!K57</f>
        <v>201.75</v>
      </c>
      <c r="C49" s="24">
        <f t="shared" si="12"/>
        <v>1.01</v>
      </c>
      <c r="D49" s="2986" t="s">
        <v>3302</v>
      </c>
      <c r="E49" s="24">
        <f t="shared" si="13"/>
        <v>1</v>
      </c>
      <c r="F49" s="2986" t="s">
        <v>3305</v>
      </c>
      <c r="G49" s="24">
        <f t="shared" si="14"/>
        <v>1</v>
      </c>
      <c r="H49" s="673"/>
      <c r="I49" s="24">
        <f t="shared" si="15"/>
        <v>1</v>
      </c>
      <c r="J49" s="673"/>
      <c r="K49" s="24">
        <f t="shared" si="16"/>
        <v>1</v>
      </c>
      <c r="L49" s="673"/>
      <c r="M49" s="24">
        <f t="shared" si="17"/>
        <v>1</v>
      </c>
      <c r="N49" s="673"/>
      <c r="O49" s="24">
        <f t="shared" si="18"/>
        <v>1</v>
      </c>
      <c r="P49" s="673" t="s">
        <v>3316</v>
      </c>
      <c r="Q49" s="24">
        <f t="shared" si="19"/>
        <v>0.94</v>
      </c>
      <c r="R49" s="669">
        <f t="shared" ca="1" si="20"/>
        <v>40915</v>
      </c>
      <c r="S49" s="322">
        <f t="shared" ca="1" si="11"/>
        <v>825</v>
      </c>
    </row>
    <row r="50" spans="1:19">
      <c r="A50" s="155" t="str">
        <f>'数据-基础表'!C58</f>
        <v>2单元516</v>
      </c>
      <c r="B50" s="57">
        <f>'数据-基础表'!K58</f>
        <v>138.01</v>
      </c>
      <c r="C50" s="24">
        <f t="shared" si="12"/>
        <v>1.01</v>
      </c>
      <c r="D50" s="2986" t="s">
        <v>3302</v>
      </c>
      <c r="E50" s="24">
        <f t="shared" si="13"/>
        <v>1</v>
      </c>
      <c r="F50" s="2986" t="s">
        <v>3305</v>
      </c>
      <c r="G50" s="24">
        <f t="shared" si="14"/>
        <v>1</v>
      </c>
      <c r="H50" s="673"/>
      <c r="I50" s="24">
        <f t="shared" si="15"/>
        <v>1</v>
      </c>
      <c r="J50" s="673"/>
      <c r="K50" s="24">
        <f t="shared" si="16"/>
        <v>1</v>
      </c>
      <c r="L50" s="673"/>
      <c r="M50" s="24">
        <f t="shared" si="17"/>
        <v>1</v>
      </c>
      <c r="N50" s="673"/>
      <c r="O50" s="24">
        <f t="shared" si="18"/>
        <v>1</v>
      </c>
      <c r="P50" s="673" t="s">
        <v>3316</v>
      </c>
      <c r="Q50" s="24">
        <f t="shared" si="19"/>
        <v>0.94</v>
      </c>
      <c r="R50" s="669">
        <f t="shared" ca="1" si="20"/>
        <v>40915</v>
      </c>
      <c r="S50" s="322">
        <f t="shared" ca="1" si="11"/>
        <v>565</v>
      </c>
    </row>
    <row r="51" spans="1:19">
      <c r="A51" s="155" t="str">
        <f>'数据-基础表'!C59</f>
        <v>2单元517</v>
      </c>
      <c r="B51" s="57">
        <f>'数据-基础表'!K59</f>
        <v>138.01</v>
      </c>
      <c r="C51" s="24">
        <f t="shared" si="12"/>
        <v>1.01</v>
      </c>
      <c r="D51" s="2986" t="s">
        <v>3302</v>
      </c>
      <c r="E51" s="24">
        <f t="shared" si="13"/>
        <v>1</v>
      </c>
      <c r="F51" s="2986" t="s">
        <v>3305</v>
      </c>
      <c r="G51" s="24">
        <f t="shared" si="14"/>
        <v>1</v>
      </c>
      <c r="H51" s="673"/>
      <c r="I51" s="24">
        <f t="shared" si="15"/>
        <v>1</v>
      </c>
      <c r="J51" s="673"/>
      <c r="K51" s="24">
        <f t="shared" si="16"/>
        <v>1</v>
      </c>
      <c r="L51" s="673"/>
      <c r="M51" s="24">
        <f t="shared" si="17"/>
        <v>1</v>
      </c>
      <c r="N51" s="673"/>
      <c r="O51" s="24">
        <f t="shared" si="18"/>
        <v>1</v>
      </c>
      <c r="P51" s="673" t="s">
        <v>3316</v>
      </c>
      <c r="Q51" s="24">
        <f t="shared" si="19"/>
        <v>0.94</v>
      </c>
      <c r="R51" s="669">
        <f t="shared" ca="1" si="20"/>
        <v>40915</v>
      </c>
      <c r="S51" s="322">
        <f t="shared" ca="1" si="11"/>
        <v>565</v>
      </c>
    </row>
    <row r="52" spans="1:19">
      <c r="A52" s="155" t="str">
        <f>'数据-基础表'!C60</f>
        <v>2单元518</v>
      </c>
      <c r="B52" s="57">
        <f>'数据-基础表'!K60</f>
        <v>108.47</v>
      </c>
      <c r="C52" s="24">
        <f t="shared" si="12"/>
        <v>1.01</v>
      </c>
      <c r="D52" s="2986" t="s">
        <v>3302</v>
      </c>
      <c r="E52" s="24">
        <f t="shared" si="13"/>
        <v>1</v>
      </c>
      <c r="F52" s="2986" t="s">
        <v>3305</v>
      </c>
      <c r="G52" s="24">
        <f t="shared" si="14"/>
        <v>1</v>
      </c>
      <c r="H52" s="673"/>
      <c r="I52" s="24">
        <f t="shared" si="15"/>
        <v>1</v>
      </c>
      <c r="J52" s="673"/>
      <c r="K52" s="24">
        <f t="shared" si="16"/>
        <v>1</v>
      </c>
      <c r="L52" s="673"/>
      <c r="M52" s="24">
        <f t="shared" si="17"/>
        <v>1</v>
      </c>
      <c r="N52" s="673"/>
      <c r="O52" s="24">
        <f t="shared" si="18"/>
        <v>1</v>
      </c>
      <c r="P52" s="673" t="s">
        <v>3316</v>
      </c>
      <c r="Q52" s="24">
        <f t="shared" si="19"/>
        <v>0.94</v>
      </c>
      <c r="R52" s="669">
        <f t="shared" ca="1" si="20"/>
        <v>40915</v>
      </c>
      <c r="S52" s="322">
        <f t="shared" ca="1" si="11"/>
        <v>444</v>
      </c>
    </row>
    <row r="53" spans="1:19">
      <c r="A53" s="155" t="str">
        <f>'数据-基础表'!C61</f>
        <v>2单元519</v>
      </c>
      <c r="B53" s="57">
        <f>'数据-基础表'!K61</f>
        <v>108.47</v>
      </c>
      <c r="C53" s="24">
        <f t="shared" si="12"/>
        <v>1.01</v>
      </c>
      <c r="D53" s="2986" t="s">
        <v>3302</v>
      </c>
      <c r="E53" s="24">
        <f t="shared" si="13"/>
        <v>1</v>
      </c>
      <c r="F53" s="2986" t="s">
        <v>3305</v>
      </c>
      <c r="G53" s="24">
        <f t="shared" si="14"/>
        <v>1</v>
      </c>
      <c r="H53" s="673"/>
      <c r="I53" s="24">
        <f t="shared" si="15"/>
        <v>1</v>
      </c>
      <c r="J53" s="673"/>
      <c r="K53" s="24">
        <f t="shared" si="16"/>
        <v>1</v>
      </c>
      <c r="L53" s="673"/>
      <c r="M53" s="24">
        <f t="shared" si="17"/>
        <v>1</v>
      </c>
      <c r="N53" s="673"/>
      <c r="O53" s="24">
        <f t="shared" si="18"/>
        <v>1</v>
      </c>
      <c r="P53" s="673" t="s">
        <v>3316</v>
      </c>
      <c r="Q53" s="24">
        <f t="shared" si="19"/>
        <v>0.94</v>
      </c>
      <c r="R53" s="669">
        <f t="shared" ca="1" si="20"/>
        <v>40915</v>
      </c>
      <c r="S53" s="322">
        <f t="shared" ca="1" si="11"/>
        <v>444</v>
      </c>
    </row>
    <row r="54" spans="1:19">
      <c r="A54" s="155" t="str">
        <f>'数据-基础表'!C62</f>
        <v>2单元520</v>
      </c>
      <c r="B54" s="57">
        <f>'数据-基础表'!K62</f>
        <v>100.31</v>
      </c>
      <c r="C54" s="24">
        <f t="shared" si="12"/>
        <v>1.01</v>
      </c>
      <c r="D54" s="2986" t="s">
        <v>3302</v>
      </c>
      <c r="E54" s="24">
        <f t="shared" si="13"/>
        <v>1</v>
      </c>
      <c r="F54" s="2986" t="s">
        <v>3305</v>
      </c>
      <c r="G54" s="24">
        <f t="shared" si="14"/>
        <v>1</v>
      </c>
      <c r="H54" s="673"/>
      <c r="I54" s="24">
        <f t="shared" si="15"/>
        <v>1</v>
      </c>
      <c r="J54" s="673"/>
      <c r="K54" s="24">
        <f t="shared" si="16"/>
        <v>1</v>
      </c>
      <c r="L54" s="673"/>
      <c r="M54" s="24">
        <f t="shared" si="17"/>
        <v>1</v>
      </c>
      <c r="N54" s="673"/>
      <c r="O54" s="24">
        <f t="shared" si="18"/>
        <v>1</v>
      </c>
      <c r="P54" s="673" t="s">
        <v>3316</v>
      </c>
      <c r="Q54" s="24">
        <f t="shared" si="19"/>
        <v>0.94</v>
      </c>
      <c r="R54" s="669">
        <f t="shared" ca="1" si="20"/>
        <v>40915</v>
      </c>
      <c r="S54" s="322">
        <f t="shared" ca="1" si="11"/>
        <v>410</v>
      </c>
    </row>
    <row r="55" spans="1:19">
      <c r="A55" s="155" t="str">
        <f>'数据-基础表'!C63</f>
        <v>2单元521</v>
      </c>
      <c r="B55" s="57">
        <f>'数据-基础表'!K63</f>
        <v>108.47</v>
      </c>
      <c r="C55" s="24">
        <f t="shared" si="12"/>
        <v>1.01</v>
      </c>
      <c r="D55" s="2986" t="s">
        <v>3302</v>
      </c>
      <c r="E55" s="24">
        <f t="shared" si="13"/>
        <v>1</v>
      </c>
      <c r="F55" s="2986" t="s">
        <v>3305</v>
      </c>
      <c r="G55" s="24">
        <f t="shared" si="14"/>
        <v>1</v>
      </c>
      <c r="H55" s="673"/>
      <c r="I55" s="24">
        <f t="shared" si="15"/>
        <v>1</v>
      </c>
      <c r="J55" s="673"/>
      <c r="K55" s="24">
        <f t="shared" si="16"/>
        <v>1</v>
      </c>
      <c r="L55" s="673"/>
      <c r="M55" s="24">
        <f t="shared" si="17"/>
        <v>1</v>
      </c>
      <c r="N55" s="673"/>
      <c r="O55" s="24">
        <f t="shared" si="18"/>
        <v>1</v>
      </c>
      <c r="P55" s="673" t="s">
        <v>3316</v>
      </c>
      <c r="Q55" s="24">
        <f t="shared" si="19"/>
        <v>0.94</v>
      </c>
      <c r="R55" s="669">
        <f t="shared" ca="1" si="20"/>
        <v>40915</v>
      </c>
      <c r="S55" s="322">
        <f t="shared" ref="S55:S77" ca="1" si="21">ROUND(R55*B55/10000,0)</f>
        <v>444</v>
      </c>
    </row>
    <row r="56" spans="1:19">
      <c r="A56" s="155" t="str">
        <f>'数据-基础表'!C64</f>
        <v>2单元522</v>
      </c>
      <c r="B56" s="57">
        <f>'数据-基础表'!K64</f>
        <v>108.47</v>
      </c>
      <c r="C56" s="24">
        <f t="shared" si="12"/>
        <v>1.01</v>
      </c>
      <c r="D56" s="2986" t="s">
        <v>3302</v>
      </c>
      <c r="E56" s="24">
        <f t="shared" si="13"/>
        <v>1</v>
      </c>
      <c r="F56" s="2986" t="s">
        <v>3305</v>
      </c>
      <c r="G56" s="24">
        <f t="shared" si="14"/>
        <v>1</v>
      </c>
      <c r="H56" s="673"/>
      <c r="I56" s="24">
        <f t="shared" si="15"/>
        <v>1</v>
      </c>
      <c r="J56" s="673"/>
      <c r="K56" s="24">
        <f t="shared" si="16"/>
        <v>1</v>
      </c>
      <c r="L56" s="673"/>
      <c r="M56" s="24">
        <f t="shared" si="17"/>
        <v>1</v>
      </c>
      <c r="N56" s="673"/>
      <c r="O56" s="24">
        <f t="shared" si="18"/>
        <v>1</v>
      </c>
      <c r="P56" s="673" t="s">
        <v>3316</v>
      </c>
      <c r="Q56" s="24">
        <f t="shared" si="19"/>
        <v>0.94</v>
      </c>
      <c r="R56" s="669">
        <f t="shared" ca="1" si="20"/>
        <v>40915</v>
      </c>
      <c r="S56" s="322">
        <f t="shared" ca="1" si="21"/>
        <v>444</v>
      </c>
    </row>
    <row r="57" spans="1:19">
      <c r="A57" s="155" t="str">
        <f>'数据-基础表'!C65</f>
        <v>2单元523</v>
      </c>
      <c r="B57" s="57">
        <f>'数据-基础表'!K65</f>
        <v>138.01</v>
      </c>
      <c r="C57" s="24">
        <f t="shared" si="12"/>
        <v>1.01</v>
      </c>
      <c r="D57" s="2986" t="s">
        <v>3302</v>
      </c>
      <c r="E57" s="24">
        <f t="shared" si="13"/>
        <v>1</v>
      </c>
      <c r="F57" s="2986" t="s">
        <v>3305</v>
      </c>
      <c r="G57" s="24">
        <f t="shared" si="14"/>
        <v>1</v>
      </c>
      <c r="H57" s="673"/>
      <c r="I57" s="24">
        <f t="shared" si="15"/>
        <v>1</v>
      </c>
      <c r="J57" s="673"/>
      <c r="K57" s="24">
        <f t="shared" si="16"/>
        <v>1</v>
      </c>
      <c r="L57" s="673"/>
      <c r="M57" s="24">
        <f t="shared" si="17"/>
        <v>1</v>
      </c>
      <c r="N57" s="673"/>
      <c r="O57" s="24">
        <f t="shared" si="18"/>
        <v>1</v>
      </c>
      <c r="P57" s="673" t="s">
        <v>3316</v>
      </c>
      <c r="Q57" s="24">
        <f t="shared" si="19"/>
        <v>0.94</v>
      </c>
      <c r="R57" s="669">
        <f t="shared" ca="1" si="20"/>
        <v>40915</v>
      </c>
      <c r="S57" s="322">
        <f t="shared" ca="1" si="21"/>
        <v>565</v>
      </c>
    </row>
    <row r="58" spans="1:19">
      <c r="A58" s="155" t="str">
        <f>'数据-基础表'!C66</f>
        <v>2单元525</v>
      </c>
      <c r="B58" s="57">
        <f>'数据-基础表'!K66</f>
        <v>138.01</v>
      </c>
      <c r="C58" s="24">
        <f t="shared" si="12"/>
        <v>1.01</v>
      </c>
      <c r="D58" s="2986" t="s">
        <v>3302</v>
      </c>
      <c r="E58" s="24">
        <f t="shared" si="13"/>
        <v>1</v>
      </c>
      <c r="F58" s="2986" t="s">
        <v>3305</v>
      </c>
      <c r="G58" s="24">
        <f t="shared" si="14"/>
        <v>1</v>
      </c>
      <c r="H58" s="673"/>
      <c r="I58" s="24">
        <f t="shared" si="15"/>
        <v>1</v>
      </c>
      <c r="J58" s="673"/>
      <c r="K58" s="24">
        <f t="shared" si="16"/>
        <v>1</v>
      </c>
      <c r="L58" s="673"/>
      <c r="M58" s="24">
        <f t="shared" si="17"/>
        <v>1</v>
      </c>
      <c r="N58" s="673"/>
      <c r="O58" s="24">
        <f t="shared" si="18"/>
        <v>1</v>
      </c>
      <c r="P58" s="673" t="s">
        <v>3316</v>
      </c>
      <c r="Q58" s="24">
        <f t="shared" si="19"/>
        <v>0.94</v>
      </c>
      <c r="R58" s="669">
        <f t="shared" ca="1" si="20"/>
        <v>40915</v>
      </c>
      <c r="S58" s="322">
        <f t="shared" ca="1" si="21"/>
        <v>565</v>
      </c>
    </row>
    <row r="59" spans="1:19">
      <c r="A59" s="155" t="str">
        <f>'数据-基础表'!C67</f>
        <v>2单元526</v>
      </c>
      <c r="B59" s="57">
        <f>'数据-基础表'!K67</f>
        <v>201.75</v>
      </c>
      <c r="C59" s="24">
        <f t="shared" si="12"/>
        <v>1.01</v>
      </c>
      <c r="D59" s="2986" t="s">
        <v>3302</v>
      </c>
      <c r="E59" s="24">
        <f t="shared" si="13"/>
        <v>1</v>
      </c>
      <c r="F59" s="2986" t="s">
        <v>3305</v>
      </c>
      <c r="G59" s="24">
        <f t="shared" si="14"/>
        <v>1</v>
      </c>
      <c r="H59" s="673"/>
      <c r="I59" s="24">
        <f t="shared" si="15"/>
        <v>1</v>
      </c>
      <c r="J59" s="673"/>
      <c r="K59" s="24">
        <f t="shared" si="16"/>
        <v>1</v>
      </c>
      <c r="L59" s="673"/>
      <c r="M59" s="24">
        <f t="shared" si="17"/>
        <v>1</v>
      </c>
      <c r="N59" s="673"/>
      <c r="O59" s="24">
        <f t="shared" si="18"/>
        <v>1</v>
      </c>
      <c r="P59" s="673" t="s">
        <v>3316</v>
      </c>
      <c r="Q59" s="24">
        <f t="shared" si="19"/>
        <v>0.94</v>
      </c>
      <c r="R59" s="669">
        <f t="shared" ca="1" si="20"/>
        <v>40915</v>
      </c>
      <c r="S59" s="322">
        <f t="shared" ca="1" si="21"/>
        <v>825</v>
      </c>
    </row>
    <row r="60" spans="1:19">
      <c r="A60" s="155" t="str">
        <f>'数据-基础表'!C68</f>
        <v>2单元601</v>
      </c>
      <c r="B60" s="57">
        <f>'数据-基础表'!K68</f>
        <v>206.15</v>
      </c>
      <c r="C60" s="24">
        <f t="shared" si="12"/>
        <v>1.01</v>
      </c>
      <c r="D60" s="2986" t="s">
        <v>3302</v>
      </c>
      <c r="E60" s="24">
        <f t="shared" si="13"/>
        <v>1</v>
      </c>
      <c r="F60" s="2986" t="s">
        <v>3305</v>
      </c>
      <c r="G60" s="24">
        <f t="shared" si="14"/>
        <v>1</v>
      </c>
      <c r="H60" s="673"/>
      <c r="I60" s="24">
        <f t="shared" si="15"/>
        <v>1</v>
      </c>
      <c r="J60" s="673"/>
      <c r="K60" s="24">
        <f t="shared" si="16"/>
        <v>1</v>
      </c>
      <c r="L60" s="673"/>
      <c r="M60" s="24">
        <f t="shared" si="17"/>
        <v>1</v>
      </c>
      <c r="N60" s="673"/>
      <c r="O60" s="24">
        <f t="shared" si="18"/>
        <v>1</v>
      </c>
      <c r="P60" s="673" t="s">
        <v>3316</v>
      </c>
      <c r="Q60" s="24">
        <f t="shared" si="19"/>
        <v>0.94</v>
      </c>
      <c r="R60" s="669">
        <f t="shared" ca="1" si="20"/>
        <v>40915</v>
      </c>
      <c r="S60" s="322">
        <f t="shared" ca="1" si="21"/>
        <v>843</v>
      </c>
    </row>
    <row r="61" spans="1:19">
      <c r="A61" s="155" t="str">
        <f>'数据-基础表'!C69</f>
        <v>2单元605</v>
      </c>
      <c r="B61" s="57">
        <f>'数据-基础表'!K69</f>
        <v>109.06</v>
      </c>
      <c r="C61" s="24">
        <f t="shared" si="12"/>
        <v>1.01</v>
      </c>
      <c r="D61" s="2986" t="s">
        <v>3302</v>
      </c>
      <c r="E61" s="24">
        <f t="shared" si="13"/>
        <v>1</v>
      </c>
      <c r="F61" s="2986" t="s">
        <v>3305</v>
      </c>
      <c r="G61" s="24">
        <f t="shared" si="14"/>
        <v>1</v>
      </c>
      <c r="H61" s="673"/>
      <c r="I61" s="24">
        <f t="shared" si="15"/>
        <v>1</v>
      </c>
      <c r="J61" s="673"/>
      <c r="K61" s="24">
        <f t="shared" si="16"/>
        <v>1</v>
      </c>
      <c r="L61" s="673"/>
      <c r="M61" s="24">
        <f t="shared" si="17"/>
        <v>1</v>
      </c>
      <c r="N61" s="673"/>
      <c r="O61" s="24">
        <f t="shared" si="18"/>
        <v>1</v>
      </c>
      <c r="P61" s="673" t="s">
        <v>3316</v>
      </c>
      <c r="Q61" s="24">
        <f t="shared" si="19"/>
        <v>0.94</v>
      </c>
      <c r="R61" s="669">
        <f t="shared" ca="1" si="20"/>
        <v>40915</v>
      </c>
      <c r="S61" s="322">
        <f t="shared" ca="1" si="21"/>
        <v>446</v>
      </c>
    </row>
    <row r="62" spans="1:19">
      <c r="A62" s="155" t="str">
        <f>'数据-基础表'!C70</f>
        <v>2单元607</v>
      </c>
      <c r="B62" s="57">
        <f>'数据-基础表'!K70</f>
        <v>109.06</v>
      </c>
      <c r="C62" s="24">
        <f t="shared" si="12"/>
        <v>1.01</v>
      </c>
      <c r="D62" s="2986" t="s">
        <v>3302</v>
      </c>
      <c r="E62" s="24">
        <f t="shared" si="13"/>
        <v>1</v>
      </c>
      <c r="F62" s="2986" t="s">
        <v>3305</v>
      </c>
      <c r="G62" s="24">
        <f t="shared" si="14"/>
        <v>1</v>
      </c>
      <c r="H62" s="673"/>
      <c r="I62" s="24">
        <f t="shared" si="15"/>
        <v>1</v>
      </c>
      <c r="J62" s="673"/>
      <c r="K62" s="24">
        <f t="shared" si="16"/>
        <v>1</v>
      </c>
      <c r="L62" s="673"/>
      <c r="M62" s="24">
        <f t="shared" si="17"/>
        <v>1</v>
      </c>
      <c r="N62" s="673"/>
      <c r="O62" s="24">
        <f t="shared" si="18"/>
        <v>1</v>
      </c>
      <c r="P62" s="673" t="s">
        <v>3316</v>
      </c>
      <c r="Q62" s="24">
        <f t="shared" si="19"/>
        <v>0.94</v>
      </c>
      <c r="R62" s="669">
        <f t="shared" ca="1" si="20"/>
        <v>40915</v>
      </c>
      <c r="S62" s="322">
        <f t="shared" ca="1" si="21"/>
        <v>446</v>
      </c>
    </row>
    <row r="63" spans="1:19">
      <c r="A63" s="155" t="str">
        <f>'数据-基础表'!C71</f>
        <v>2单元608</v>
      </c>
      <c r="B63" s="57">
        <f>'数据-基础表'!K71</f>
        <v>109.06</v>
      </c>
      <c r="C63" s="24">
        <f t="shared" si="12"/>
        <v>1.01</v>
      </c>
      <c r="D63" s="2986" t="s">
        <v>3302</v>
      </c>
      <c r="E63" s="24">
        <f t="shared" si="13"/>
        <v>1</v>
      </c>
      <c r="F63" s="2986" t="s">
        <v>3305</v>
      </c>
      <c r="G63" s="24">
        <f t="shared" si="14"/>
        <v>1</v>
      </c>
      <c r="H63" s="673"/>
      <c r="I63" s="24">
        <f t="shared" si="15"/>
        <v>1</v>
      </c>
      <c r="J63" s="673"/>
      <c r="K63" s="24">
        <f t="shared" si="16"/>
        <v>1</v>
      </c>
      <c r="L63" s="673"/>
      <c r="M63" s="24">
        <f t="shared" si="17"/>
        <v>1</v>
      </c>
      <c r="N63" s="673"/>
      <c r="O63" s="24">
        <f t="shared" si="18"/>
        <v>1</v>
      </c>
      <c r="P63" s="673" t="s">
        <v>3316</v>
      </c>
      <c r="Q63" s="24">
        <f t="shared" si="19"/>
        <v>0.94</v>
      </c>
      <c r="R63" s="669">
        <f t="shared" ca="1" si="20"/>
        <v>40915</v>
      </c>
      <c r="S63" s="322">
        <f t="shared" ca="1" si="21"/>
        <v>446</v>
      </c>
    </row>
    <row r="64" spans="1:19">
      <c r="A64" s="155" t="str">
        <f>'数据-基础表'!C72</f>
        <v>2单元609</v>
      </c>
      <c r="B64" s="57">
        <f>'数据-基础表'!K72</f>
        <v>109.06</v>
      </c>
      <c r="C64" s="24">
        <f t="shared" si="12"/>
        <v>1.01</v>
      </c>
      <c r="D64" s="2986" t="s">
        <v>3302</v>
      </c>
      <c r="E64" s="24">
        <f t="shared" si="13"/>
        <v>1</v>
      </c>
      <c r="F64" s="2986" t="s">
        <v>3305</v>
      </c>
      <c r="G64" s="24">
        <f t="shared" si="14"/>
        <v>1</v>
      </c>
      <c r="H64" s="673"/>
      <c r="I64" s="24">
        <f t="shared" si="15"/>
        <v>1</v>
      </c>
      <c r="J64" s="673"/>
      <c r="K64" s="24">
        <f t="shared" si="16"/>
        <v>1</v>
      </c>
      <c r="L64" s="673"/>
      <c r="M64" s="24">
        <f t="shared" si="17"/>
        <v>1</v>
      </c>
      <c r="N64" s="673"/>
      <c r="O64" s="24">
        <f t="shared" si="18"/>
        <v>1</v>
      </c>
      <c r="P64" s="673" t="s">
        <v>3316</v>
      </c>
      <c r="Q64" s="24">
        <f t="shared" si="19"/>
        <v>0.94</v>
      </c>
      <c r="R64" s="669">
        <f t="shared" ca="1" si="20"/>
        <v>40915</v>
      </c>
      <c r="S64" s="322">
        <f t="shared" ca="1" si="21"/>
        <v>446</v>
      </c>
    </row>
    <row r="65" spans="1:19">
      <c r="A65" s="155" t="str">
        <f>'数据-基础表'!C73</f>
        <v>2单元610</v>
      </c>
      <c r="B65" s="57">
        <f>'数据-基础表'!K73</f>
        <v>171.97</v>
      </c>
      <c r="C65" s="24">
        <f t="shared" si="12"/>
        <v>1.01</v>
      </c>
      <c r="D65" s="2986" t="s">
        <v>3302</v>
      </c>
      <c r="E65" s="24">
        <f t="shared" si="13"/>
        <v>1</v>
      </c>
      <c r="F65" s="2986" t="s">
        <v>3305</v>
      </c>
      <c r="G65" s="24">
        <f t="shared" si="14"/>
        <v>1</v>
      </c>
      <c r="H65" s="673"/>
      <c r="I65" s="24">
        <f t="shared" si="15"/>
        <v>1</v>
      </c>
      <c r="J65" s="673"/>
      <c r="K65" s="24">
        <f t="shared" si="16"/>
        <v>1</v>
      </c>
      <c r="L65" s="673"/>
      <c r="M65" s="24">
        <f t="shared" si="17"/>
        <v>1</v>
      </c>
      <c r="N65" s="673"/>
      <c r="O65" s="24">
        <f t="shared" si="18"/>
        <v>1</v>
      </c>
      <c r="P65" s="673" t="s">
        <v>3316</v>
      </c>
      <c r="Q65" s="24">
        <f t="shared" si="19"/>
        <v>0.94</v>
      </c>
      <c r="R65" s="669">
        <f t="shared" ca="1" si="20"/>
        <v>40915</v>
      </c>
      <c r="S65" s="322">
        <f t="shared" ca="1" si="21"/>
        <v>704</v>
      </c>
    </row>
    <row r="66" spans="1:19">
      <c r="A66" s="155" t="str">
        <f>'数据-基础表'!C74</f>
        <v>2单元615</v>
      </c>
      <c r="B66" s="57">
        <f>'数据-基础表'!K74</f>
        <v>201.75</v>
      </c>
      <c r="C66" s="24">
        <f t="shared" si="12"/>
        <v>1.01</v>
      </c>
      <c r="D66" s="2986" t="s">
        <v>3302</v>
      </c>
      <c r="E66" s="24">
        <f t="shared" si="13"/>
        <v>1</v>
      </c>
      <c r="F66" s="2986" t="s">
        <v>3305</v>
      </c>
      <c r="G66" s="24">
        <f t="shared" si="14"/>
        <v>1</v>
      </c>
      <c r="H66" s="673"/>
      <c r="I66" s="24">
        <f t="shared" si="15"/>
        <v>1</v>
      </c>
      <c r="J66" s="673"/>
      <c r="K66" s="24">
        <f t="shared" si="16"/>
        <v>1</v>
      </c>
      <c r="L66" s="673"/>
      <c r="M66" s="24">
        <f t="shared" si="17"/>
        <v>1</v>
      </c>
      <c r="N66" s="673"/>
      <c r="O66" s="24">
        <f t="shared" si="18"/>
        <v>1</v>
      </c>
      <c r="P66" s="673" t="s">
        <v>3316</v>
      </c>
      <c r="Q66" s="24">
        <f t="shared" si="19"/>
        <v>0.94</v>
      </c>
      <c r="R66" s="669">
        <f t="shared" ca="1" si="20"/>
        <v>40915</v>
      </c>
      <c r="S66" s="322">
        <f t="shared" ca="1" si="21"/>
        <v>825</v>
      </c>
    </row>
    <row r="67" spans="1:19">
      <c r="A67" s="3287" t="str">
        <f>'数据-基础表'!C75</f>
        <v>2单元617</v>
      </c>
      <c r="B67" s="3288">
        <f>'数据-基础表'!K75</f>
        <v>138.01</v>
      </c>
      <c r="C67" s="24">
        <f t="shared" si="12"/>
        <v>1.01</v>
      </c>
      <c r="D67" s="2986" t="s">
        <v>3302</v>
      </c>
      <c r="E67" s="24">
        <f t="shared" si="13"/>
        <v>1</v>
      </c>
      <c r="F67" s="2986" t="s">
        <v>3305</v>
      </c>
      <c r="G67" s="24">
        <f t="shared" si="14"/>
        <v>1</v>
      </c>
      <c r="H67" s="673"/>
      <c r="I67" s="24">
        <f t="shared" si="15"/>
        <v>1</v>
      </c>
      <c r="J67" s="673"/>
      <c r="K67" s="24">
        <f t="shared" si="16"/>
        <v>1</v>
      </c>
      <c r="L67" s="673"/>
      <c r="M67" s="24">
        <f t="shared" si="17"/>
        <v>1</v>
      </c>
      <c r="N67" s="673"/>
      <c r="O67" s="24">
        <f t="shared" si="18"/>
        <v>1</v>
      </c>
      <c r="P67" s="673" t="s">
        <v>3316</v>
      </c>
      <c r="Q67" s="24">
        <f t="shared" si="19"/>
        <v>0.94</v>
      </c>
      <c r="R67" s="669">
        <f t="shared" ca="1" si="20"/>
        <v>40915</v>
      </c>
      <c r="S67" s="322">
        <f t="shared" ca="1" si="21"/>
        <v>565</v>
      </c>
    </row>
    <row r="68" spans="1:19">
      <c r="A68" s="155" t="str">
        <f>'数据-基础表'!C76</f>
        <v>2单元301</v>
      </c>
      <c r="B68" s="57">
        <f>'数据-基础表'!K76</f>
        <v>206.15</v>
      </c>
      <c r="C68" s="24">
        <f t="shared" si="12"/>
        <v>1.01</v>
      </c>
      <c r="D68" s="2986" t="s">
        <v>3302</v>
      </c>
      <c r="E68" s="24">
        <f t="shared" si="13"/>
        <v>1</v>
      </c>
      <c r="F68" s="2986" t="s">
        <v>3305</v>
      </c>
      <c r="G68" s="24">
        <f t="shared" si="14"/>
        <v>1</v>
      </c>
      <c r="H68" s="673"/>
      <c r="I68" s="24">
        <f t="shared" si="15"/>
        <v>1</v>
      </c>
      <c r="J68" s="673"/>
      <c r="K68" s="24">
        <f t="shared" si="16"/>
        <v>1</v>
      </c>
      <c r="L68" s="673"/>
      <c r="M68" s="24">
        <f t="shared" si="17"/>
        <v>1</v>
      </c>
      <c r="N68" s="673"/>
      <c r="O68" s="24">
        <f t="shared" si="18"/>
        <v>1</v>
      </c>
      <c r="P68" s="673" t="s">
        <v>3316</v>
      </c>
      <c r="Q68" s="24">
        <f t="shared" si="19"/>
        <v>0.94</v>
      </c>
      <c r="R68" s="669">
        <f t="shared" ca="1" si="20"/>
        <v>40915</v>
      </c>
      <c r="S68" s="322">
        <f t="shared" ca="1" si="21"/>
        <v>843</v>
      </c>
    </row>
    <row r="69" spans="1:19">
      <c r="A69" s="155" t="str">
        <f>'数据-基础表'!C77</f>
        <v>2单元302</v>
      </c>
      <c r="B69" s="57">
        <f>'数据-基础表'!K77</f>
        <v>171.04</v>
      </c>
      <c r="C69" s="24">
        <f t="shared" si="12"/>
        <v>1.01</v>
      </c>
      <c r="D69" s="2986" t="s">
        <v>3302</v>
      </c>
      <c r="E69" s="24">
        <f t="shared" si="13"/>
        <v>1</v>
      </c>
      <c r="F69" s="2986" t="s">
        <v>3305</v>
      </c>
      <c r="G69" s="24">
        <f t="shared" si="14"/>
        <v>1</v>
      </c>
      <c r="H69" s="673"/>
      <c r="I69" s="24">
        <f t="shared" si="15"/>
        <v>1</v>
      </c>
      <c r="J69" s="673"/>
      <c r="K69" s="24">
        <f t="shared" si="16"/>
        <v>1</v>
      </c>
      <c r="L69" s="673"/>
      <c r="M69" s="24">
        <f t="shared" si="17"/>
        <v>1</v>
      </c>
      <c r="N69" s="673"/>
      <c r="O69" s="24">
        <f t="shared" si="18"/>
        <v>1</v>
      </c>
      <c r="P69" s="673" t="s">
        <v>3316</v>
      </c>
      <c r="Q69" s="24">
        <f t="shared" si="19"/>
        <v>0.94</v>
      </c>
      <c r="R69" s="669">
        <f t="shared" ca="1" si="20"/>
        <v>40915</v>
      </c>
      <c r="S69" s="322">
        <f t="shared" ca="1" si="21"/>
        <v>700</v>
      </c>
    </row>
    <row r="70" spans="1:19">
      <c r="A70" s="155" t="str">
        <f>'数据-基础表'!C78</f>
        <v>2单元303</v>
      </c>
      <c r="B70" s="57">
        <f>'数据-基础表'!K78</f>
        <v>171.97</v>
      </c>
      <c r="C70" s="24">
        <f t="shared" si="12"/>
        <v>1.01</v>
      </c>
      <c r="D70" s="2986" t="s">
        <v>3302</v>
      </c>
      <c r="E70" s="24">
        <f t="shared" si="13"/>
        <v>1</v>
      </c>
      <c r="F70" s="2986" t="s">
        <v>3305</v>
      </c>
      <c r="G70" s="24">
        <f t="shared" si="14"/>
        <v>1</v>
      </c>
      <c r="H70" s="673"/>
      <c r="I70" s="24">
        <f t="shared" si="15"/>
        <v>1</v>
      </c>
      <c r="J70" s="673"/>
      <c r="K70" s="24">
        <f t="shared" si="16"/>
        <v>1</v>
      </c>
      <c r="L70" s="673"/>
      <c r="M70" s="24">
        <f t="shared" si="17"/>
        <v>1</v>
      </c>
      <c r="N70" s="673"/>
      <c r="O70" s="24">
        <f t="shared" si="18"/>
        <v>1</v>
      </c>
      <c r="P70" s="673" t="s">
        <v>3316</v>
      </c>
      <c r="Q70" s="24">
        <f t="shared" si="19"/>
        <v>0.94</v>
      </c>
      <c r="R70" s="669">
        <f t="shared" ca="1" si="20"/>
        <v>40915</v>
      </c>
      <c r="S70" s="322">
        <f t="shared" ca="1" si="21"/>
        <v>704</v>
      </c>
    </row>
    <row r="71" spans="1:19">
      <c r="A71" s="155" t="str">
        <f>'数据-基础表'!C79</f>
        <v>2单元321</v>
      </c>
      <c r="B71" s="57">
        <f>'数据-基础表'!K79</f>
        <v>108.47</v>
      </c>
      <c r="C71" s="24">
        <f t="shared" si="12"/>
        <v>1.01</v>
      </c>
      <c r="D71" s="2986" t="s">
        <v>3302</v>
      </c>
      <c r="E71" s="24">
        <f t="shared" si="13"/>
        <v>1</v>
      </c>
      <c r="F71" s="2986" t="s">
        <v>3305</v>
      </c>
      <c r="G71" s="24">
        <f t="shared" si="14"/>
        <v>1</v>
      </c>
      <c r="H71" s="673"/>
      <c r="I71" s="24">
        <f t="shared" si="15"/>
        <v>1</v>
      </c>
      <c r="J71" s="673"/>
      <c r="K71" s="24">
        <f t="shared" si="16"/>
        <v>1</v>
      </c>
      <c r="L71" s="673"/>
      <c r="M71" s="24">
        <f t="shared" si="17"/>
        <v>1</v>
      </c>
      <c r="N71" s="673"/>
      <c r="O71" s="24">
        <f t="shared" si="18"/>
        <v>1</v>
      </c>
      <c r="P71" s="673" t="s">
        <v>3316</v>
      </c>
      <c r="Q71" s="24">
        <f t="shared" si="19"/>
        <v>0.94</v>
      </c>
      <c r="R71" s="669">
        <f t="shared" ca="1" si="20"/>
        <v>40915</v>
      </c>
      <c r="S71" s="322">
        <f t="shared" ca="1" si="21"/>
        <v>444</v>
      </c>
    </row>
    <row r="72" spans="1:19">
      <c r="A72" s="155" t="str">
        <f>'数据-基础表'!C80</f>
        <v>2单元322</v>
      </c>
      <c r="B72" s="57">
        <f>'数据-基础表'!K80</f>
        <v>108.47</v>
      </c>
      <c r="C72" s="24">
        <f t="shared" si="12"/>
        <v>1.01</v>
      </c>
      <c r="D72" s="2986" t="s">
        <v>3302</v>
      </c>
      <c r="E72" s="24">
        <f t="shared" si="13"/>
        <v>1</v>
      </c>
      <c r="F72" s="2986" t="s">
        <v>3305</v>
      </c>
      <c r="G72" s="24">
        <f t="shared" si="14"/>
        <v>1</v>
      </c>
      <c r="H72" s="673"/>
      <c r="I72" s="24">
        <f t="shared" si="15"/>
        <v>1</v>
      </c>
      <c r="J72" s="673"/>
      <c r="K72" s="24">
        <f t="shared" si="16"/>
        <v>1</v>
      </c>
      <c r="L72" s="673"/>
      <c r="M72" s="24">
        <f t="shared" si="17"/>
        <v>1</v>
      </c>
      <c r="N72" s="673"/>
      <c r="O72" s="24">
        <f t="shared" si="18"/>
        <v>1</v>
      </c>
      <c r="P72" s="673" t="s">
        <v>3316</v>
      </c>
      <c r="Q72" s="24">
        <f t="shared" si="19"/>
        <v>0.94</v>
      </c>
      <c r="R72" s="669">
        <f t="shared" ca="1" si="20"/>
        <v>40915</v>
      </c>
      <c r="S72" s="322">
        <f t="shared" ca="1" si="21"/>
        <v>444</v>
      </c>
    </row>
    <row r="73" spans="1:19">
      <c r="A73" s="155" t="str">
        <f>'数据-基础表'!C81</f>
        <v>2单元323</v>
      </c>
      <c r="B73" s="57">
        <f>'数据-基础表'!K81</f>
        <v>138.01</v>
      </c>
      <c r="C73" s="24">
        <f t="shared" si="12"/>
        <v>1.01</v>
      </c>
      <c r="D73" s="2986" t="s">
        <v>3302</v>
      </c>
      <c r="E73" s="24">
        <f t="shared" si="13"/>
        <v>1</v>
      </c>
      <c r="F73" s="2986" t="s">
        <v>3305</v>
      </c>
      <c r="G73" s="24">
        <f t="shared" si="14"/>
        <v>1</v>
      </c>
      <c r="H73" s="673"/>
      <c r="I73" s="24">
        <f t="shared" si="15"/>
        <v>1</v>
      </c>
      <c r="J73" s="673"/>
      <c r="K73" s="24">
        <f t="shared" si="16"/>
        <v>1</v>
      </c>
      <c r="L73" s="673"/>
      <c r="M73" s="24">
        <f t="shared" si="17"/>
        <v>1</v>
      </c>
      <c r="N73" s="673"/>
      <c r="O73" s="24">
        <f t="shared" si="18"/>
        <v>1</v>
      </c>
      <c r="P73" s="673" t="s">
        <v>3316</v>
      </c>
      <c r="Q73" s="24">
        <f t="shared" si="19"/>
        <v>0.94</v>
      </c>
      <c r="R73" s="669">
        <f t="shared" ca="1" si="20"/>
        <v>40915</v>
      </c>
      <c r="S73" s="322">
        <f t="shared" ca="1" si="21"/>
        <v>565</v>
      </c>
    </row>
    <row r="74" spans="1:19">
      <c r="A74" s="155" t="str">
        <f>'数据-基础表'!C82</f>
        <v>2单元325</v>
      </c>
      <c r="B74" s="57">
        <f>'数据-基础表'!K82</f>
        <v>138.01</v>
      </c>
      <c r="C74" s="24">
        <f t="shared" si="12"/>
        <v>1.01</v>
      </c>
      <c r="D74" s="2986" t="s">
        <v>3302</v>
      </c>
      <c r="E74" s="24">
        <f t="shared" si="13"/>
        <v>1</v>
      </c>
      <c r="F74" s="2986" t="s">
        <v>3305</v>
      </c>
      <c r="G74" s="24">
        <f t="shared" si="14"/>
        <v>1</v>
      </c>
      <c r="H74" s="673"/>
      <c r="I74" s="24">
        <f t="shared" si="15"/>
        <v>1</v>
      </c>
      <c r="J74" s="673"/>
      <c r="K74" s="24">
        <f t="shared" si="16"/>
        <v>1</v>
      </c>
      <c r="L74" s="673"/>
      <c r="M74" s="24">
        <f t="shared" si="17"/>
        <v>1</v>
      </c>
      <c r="N74" s="673"/>
      <c r="O74" s="24">
        <f t="shared" si="18"/>
        <v>1</v>
      </c>
      <c r="P74" s="673" t="s">
        <v>3316</v>
      </c>
      <c r="Q74" s="24">
        <f t="shared" si="19"/>
        <v>0.94</v>
      </c>
      <c r="R74" s="669">
        <f t="shared" ca="1" si="20"/>
        <v>40915</v>
      </c>
      <c r="S74" s="322">
        <f t="shared" ca="1" si="21"/>
        <v>565</v>
      </c>
    </row>
    <row r="75" spans="1:19">
      <c r="A75" s="155" t="str">
        <f>'数据-基础表'!C83</f>
        <v>2单元326</v>
      </c>
      <c r="B75" s="57">
        <f>'数据-基础表'!K83</f>
        <v>201.75</v>
      </c>
      <c r="C75" s="24">
        <f t="shared" si="12"/>
        <v>1.01</v>
      </c>
      <c r="D75" s="2986" t="s">
        <v>3302</v>
      </c>
      <c r="E75" s="24">
        <f t="shared" si="13"/>
        <v>1</v>
      </c>
      <c r="F75" s="2986" t="s">
        <v>3305</v>
      </c>
      <c r="G75" s="24">
        <f t="shared" si="14"/>
        <v>1</v>
      </c>
      <c r="H75" s="673"/>
      <c r="I75" s="24">
        <f t="shared" si="15"/>
        <v>1</v>
      </c>
      <c r="J75" s="673"/>
      <c r="K75" s="24">
        <f t="shared" si="16"/>
        <v>1</v>
      </c>
      <c r="L75" s="673"/>
      <c r="M75" s="24">
        <f t="shared" si="17"/>
        <v>1</v>
      </c>
      <c r="N75" s="673"/>
      <c r="O75" s="24">
        <f t="shared" si="18"/>
        <v>1</v>
      </c>
      <c r="P75" s="673" t="s">
        <v>3316</v>
      </c>
      <c r="Q75" s="24">
        <f t="shared" si="19"/>
        <v>0.94</v>
      </c>
      <c r="R75" s="669">
        <f t="shared" ca="1" si="20"/>
        <v>40915</v>
      </c>
      <c r="S75" s="322">
        <f t="shared" ca="1" si="21"/>
        <v>825</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J24" sqref="J24"/>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73" t="str">
        <f>项目基本情况!S2</f>
        <v>北京市西直门外大街18号楼房地产</v>
      </c>
      <c r="B2" s="3474"/>
      <c r="C2" s="3474"/>
      <c r="D2" s="3474"/>
      <c r="E2" s="3474"/>
      <c r="F2" s="3474"/>
      <c r="G2" s="3474"/>
      <c r="H2" s="3474"/>
      <c r="I2" s="3475"/>
    </row>
    <row r="3" spans="1:12" ht="12.75">
      <c r="A3" s="3477" t="s">
        <v>1709</v>
      </c>
      <c r="B3" s="3478"/>
      <c r="C3" s="3478"/>
      <c r="D3" s="3478"/>
      <c r="E3" s="3478"/>
      <c r="F3" s="3478"/>
      <c r="G3" s="3478"/>
      <c r="H3" s="3478"/>
      <c r="I3" s="3478"/>
    </row>
    <row r="4" spans="1:12" ht="14.25">
      <c r="A4" s="1888" t="s">
        <v>1710</v>
      </c>
      <c r="B4" s="1889" t="s">
        <v>1711</v>
      </c>
      <c r="C4" s="1890" t="s">
        <v>3341</v>
      </c>
      <c r="D4" s="1890" t="s">
        <v>3260</v>
      </c>
      <c r="E4" s="3482" t="s">
        <v>1712</v>
      </c>
      <c r="F4" s="3483"/>
      <c r="G4" s="3483"/>
      <c r="H4" s="3483"/>
      <c r="I4" s="3484"/>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18" t="s">
        <v>1713</v>
      </c>
      <c r="B5" s="3476">
        <v>25</v>
      </c>
      <c r="C5" s="3479"/>
      <c r="D5" s="3467"/>
      <c r="E5" s="136" t="s">
        <v>1714</v>
      </c>
      <c r="F5" s="1891"/>
      <c r="G5" s="1891"/>
      <c r="H5" s="1891"/>
      <c r="I5" s="1505"/>
    </row>
    <row r="6" spans="1:12" ht="12.75">
      <c r="A6" s="3418"/>
      <c r="B6" s="3476"/>
      <c r="C6" s="3481"/>
      <c r="D6" s="3467"/>
      <c r="E6" s="136" t="s">
        <v>1715</v>
      </c>
      <c r="F6" s="1891"/>
      <c r="G6" s="1891"/>
      <c r="H6" s="1891"/>
      <c r="I6" s="1505"/>
    </row>
    <row r="7" spans="1:12" ht="12.75">
      <c r="A7" s="3418"/>
      <c r="B7" s="3476"/>
      <c r="C7" s="3480"/>
      <c r="D7" s="3467"/>
      <c r="E7" s="136" t="s">
        <v>1716</v>
      </c>
      <c r="F7" s="1891"/>
      <c r="G7" s="1891"/>
      <c r="H7" s="1891"/>
      <c r="I7" s="1505"/>
    </row>
    <row r="8" spans="1:12" ht="12.75">
      <c r="A8" s="3418" t="s">
        <v>1717</v>
      </c>
      <c r="B8" s="3476">
        <v>15</v>
      </c>
      <c r="C8" s="3479"/>
      <c r="D8" s="3467"/>
      <c r="E8" s="136" t="s">
        <v>1718</v>
      </c>
      <c r="F8" s="1891"/>
      <c r="G8" s="1891"/>
      <c r="H8" s="1891"/>
      <c r="I8" s="1505"/>
    </row>
    <row r="9" spans="1:12" ht="12.75">
      <c r="A9" s="3418"/>
      <c r="B9" s="3476"/>
      <c r="C9" s="3480"/>
      <c r="D9" s="3467"/>
      <c r="E9" s="136" t="s">
        <v>1719</v>
      </c>
      <c r="F9" s="1891"/>
      <c r="G9" s="1891"/>
      <c r="H9" s="1891"/>
      <c r="I9" s="1505"/>
    </row>
    <row r="10" spans="1:12" ht="12.75">
      <c r="A10" s="3418" t="s">
        <v>1720</v>
      </c>
      <c r="B10" s="3476">
        <v>15</v>
      </c>
      <c r="C10" s="3479"/>
      <c r="D10" s="3467"/>
      <c r="E10" s="136" t="s">
        <v>1721</v>
      </c>
      <c r="F10" s="1891"/>
      <c r="G10" s="1891"/>
      <c r="H10" s="1891"/>
      <c r="I10" s="1505"/>
    </row>
    <row r="11" spans="1:12" ht="12.75">
      <c r="A11" s="3418"/>
      <c r="B11" s="3476"/>
      <c r="C11" s="3480"/>
      <c r="D11" s="3467"/>
      <c r="E11" s="136" t="s">
        <v>1722</v>
      </c>
      <c r="F11" s="1891"/>
      <c r="G11" s="1891"/>
      <c r="H11" s="1891"/>
      <c r="I11" s="1505"/>
    </row>
    <row r="12" spans="1:12" ht="12.75">
      <c r="A12" s="3418" t="s">
        <v>1723</v>
      </c>
      <c r="B12" s="3476">
        <v>15</v>
      </c>
      <c r="C12" s="3479"/>
      <c r="D12" s="3467"/>
      <c r="E12" s="136" t="s">
        <v>1724</v>
      </c>
      <c r="F12" s="1891"/>
      <c r="G12" s="1891"/>
      <c r="H12" s="1891"/>
      <c r="I12" s="1505"/>
    </row>
    <row r="13" spans="1:12" ht="12.75">
      <c r="A13" s="3418"/>
      <c r="B13" s="3476"/>
      <c r="C13" s="3480"/>
      <c r="D13" s="3467"/>
      <c r="E13" s="136" t="s">
        <v>1725</v>
      </c>
      <c r="F13" s="1891"/>
      <c r="G13" s="1891"/>
      <c r="H13" s="1891"/>
      <c r="I13" s="1505"/>
    </row>
    <row r="14" spans="1:12" ht="12.75">
      <c r="A14" s="3418" t="s">
        <v>1726</v>
      </c>
      <c r="B14" s="3476">
        <v>30</v>
      </c>
      <c r="C14" s="3479">
        <v>6</v>
      </c>
      <c r="D14" s="3467">
        <v>4</v>
      </c>
      <c r="E14" s="136" t="s">
        <v>1727</v>
      </c>
      <c r="F14" s="1891"/>
      <c r="G14" s="1891"/>
      <c r="H14" s="1891"/>
      <c r="I14" s="1505"/>
    </row>
    <row r="15" spans="1:12" ht="12.75">
      <c r="A15" s="3418"/>
      <c r="B15" s="3476"/>
      <c r="C15" s="3481"/>
      <c r="D15" s="3467"/>
      <c r="E15" s="136" t="s">
        <v>1728</v>
      </c>
      <c r="F15" s="1891"/>
      <c r="G15" s="1891"/>
      <c r="H15" s="1891"/>
      <c r="I15" s="1505"/>
    </row>
    <row r="16" spans="1:12" ht="12.75">
      <c r="A16" s="3418"/>
      <c r="B16" s="3476"/>
      <c r="C16" s="3480"/>
      <c r="D16" s="3467"/>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98" t="s">
        <v>2629</v>
      </c>
      <c r="F18" s="3499"/>
      <c r="G18" s="3499"/>
      <c r="H18" s="3499"/>
      <c r="I18" s="3499"/>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1056</v>
      </c>
      <c r="D19" s="140">
        <f ca="1">SUMIF(INDIRECT("'"&amp;D4&amp;"'"&amp;"!A:A"),结果表商!B19,INDIRECT("'"&amp;D4&amp;"'"&amp;"!B:B"))</f>
        <v>577</v>
      </c>
      <c r="E19" s="1895" t="s">
        <v>1737</v>
      </c>
      <c r="F19" s="1896" t="s">
        <v>1736</v>
      </c>
      <c r="G19" s="141">
        <f ca="1">ROUND(C19*$C$18+D19*$D$18,0)</f>
        <v>864</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92577</v>
      </c>
      <c r="D20" s="143">
        <f ca="1">SUMIF(INDIRECT("'"&amp;D4&amp;"'"&amp;"!A:A"),结果表商!B20,INDIRECT("'"&amp;D4&amp;"'"&amp;"!B:B"))</f>
        <v>50517</v>
      </c>
      <c r="E20" s="1898"/>
      <c r="F20" s="1135" t="s">
        <v>1740</v>
      </c>
      <c r="G20" s="144">
        <f ca="1">ROUND(C20*$C$18+D20*$D$18,0)</f>
        <v>75753</v>
      </c>
      <c r="H20" s="895" t="s">
        <v>1741</v>
      </c>
      <c r="I20" s="134"/>
    </row>
    <row r="21" spans="1:36" ht="15" customHeight="1" thickBot="1">
      <c r="A21" s="915"/>
      <c r="B21" s="1899" t="s">
        <v>1742</v>
      </c>
      <c r="C21" s="725">
        <f ca="1">ROUND(C19*10000/L19,0)</f>
        <v>470588</v>
      </c>
      <c r="D21" s="726">
        <f ca="1">ROUND(D19*10000/L19,0)</f>
        <v>257130</v>
      </c>
      <c r="E21" s="915"/>
      <c r="F21" s="1899" t="s">
        <v>1742</v>
      </c>
      <c r="G21" s="145">
        <f ca="1">ROUND(G19*10000/L19,0)</f>
        <v>385027</v>
      </c>
      <c r="H21" s="1900" t="s">
        <v>1741</v>
      </c>
      <c r="I21" s="134"/>
    </row>
    <row r="22" spans="1:36" ht="15" thickBot="1">
      <c r="A22" s="1822" t="s">
        <v>1743</v>
      </c>
      <c r="B22" s="1901"/>
      <c r="C22" s="1902"/>
      <c r="D22" s="727">
        <f ca="1">IF(C19&lt;D19,D19/C19-1,C19/D19-1)</f>
        <v>0.83015597920277306</v>
      </c>
      <c r="E22" s="134"/>
      <c r="F22" s="134"/>
      <c r="G22" s="134"/>
      <c r="H22" s="134"/>
      <c r="I22" s="134"/>
    </row>
    <row r="23" spans="1:36" ht="13.5" thickBot="1">
      <c r="A23" s="1881"/>
      <c r="B23" s="1881"/>
      <c r="C23" s="1881"/>
      <c r="D23" s="1881"/>
      <c r="E23" s="134"/>
      <c r="F23" s="134"/>
      <c r="G23" s="134"/>
      <c r="H23" s="134"/>
      <c r="I23" s="134"/>
    </row>
    <row r="24" spans="1:36" ht="14.25">
      <c r="A24" s="3491" t="s">
        <v>1744</v>
      </c>
      <c r="B24" s="1896" t="s">
        <v>1736</v>
      </c>
      <c r="C24" s="141">
        <f>IF(B30=0,0,D30)</f>
        <v>0</v>
      </c>
      <c r="D24" s="1903"/>
      <c r="E24" s="134"/>
      <c r="F24" s="134"/>
      <c r="G24" s="134"/>
      <c r="H24" s="134"/>
      <c r="I24" s="134"/>
    </row>
    <row r="25" spans="1:36" ht="14.25">
      <c r="A25" s="349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75753</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68" t="s">
        <v>1757</v>
      </c>
      <c r="B36" s="1921" t="s">
        <v>1758</v>
      </c>
      <c r="C36" s="150"/>
      <c r="D36" s="1922"/>
      <c r="E36" s="1923"/>
      <c r="F36" s="1924"/>
      <c r="G36" s="134"/>
      <c r="H36" s="134"/>
      <c r="I36" s="134"/>
    </row>
    <row r="37" spans="1:15" ht="15.75" thickBot="1">
      <c r="A37" s="3469"/>
      <c r="B37" s="1808" t="s">
        <v>1759</v>
      </c>
      <c r="C37" s="152"/>
      <c r="D37" s="1251"/>
      <c r="E37" s="1251"/>
      <c r="F37" s="1924"/>
      <c r="G37" s="134"/>
      <c r="H37" s="134"/>
      <c r="I37" s="134"/>
    </row>
    <row r="38" spans="1:15" ht="15.75" thickBot="1">
      <c r="A38" s="3470"/>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88" t="s">
        <v>1771</v>
      </c>
      <c r="B45" s="3489"/>
      <c r="C45" s="3490"/>
      <c r="D45" s="160" t="e">
        <f ca="1">ROUND(H101*F45,0)</f>
        <v>#REF!</v>
      </c>
      <c r="E45" s="161" t="s">
        <v>1772</v>
      </c>
      <c r="F45" s="162">
        <v>1</v>
      </c>
      <c r="G45" s="163" t="s">
        <v>1773</v>
      </c>
      <c r="H45" s="134"/>
      <c r="I45" s="134"/>
      <c r="J45" s="3405" t="s">
        <v>1774</v>
      </c>
      <c r="K45" s="3405"/>
      <c r="L45" s="3405"/>
      <c r="M45" s="3405"/>
      <c r="N45" s="3405"/>
      <c r="O45" s="3405"/>
    </row>
    <row r="46" spans="1:15" ht="14.25" customHeight="1">
      <c r="A46" s="3485" t="s">
        <v>1775</v>
      </c>
      <c r="B46" s="3486"/>
      <c r="C46" s="3486"/>
      <c r="D46" s="3486"/>
      <c r="E46" s="3486"/>
      <c r="F46" s="3486"/>
      <c r="G46" s="3487"/>
      <c r="H46" s="1940"/>
      <c r="I46" s="164"/>
      <c r="J46" s="3236">
        <v>1</v>
      </c>
      <c r="K46" s="3406" t="s">
        <v>1776</v>
      </c>
      <c r="L46" s="3406"/>
      <c r="M46" s="3407"/>
      <c r="N46" s="3407"/>
      <c r="O46" s="3407"/>
    </row>
    <row r="47" spans="1:15" ht="12" customHeight="1">
      <c r="A47" s="165" t="s">
        <v>1777</v>
      </c>
      <c r="B47" s="166"/>
      <c r="C47" s="167"/>
      <c r="D47" s="1197" t="s">
        <v>1778</v>
      </c>
      <c r="E47" s="308" t="s">
        <v>1779</v>
      </c>
      <c r="F47" s="168" t="s">
        <v>1780</v>
      </c>
      <c r="G47" s="2716" t="s">
        <v>1781</v>
      </c>
      <c r="H47" s="2717"/>
      <c r="I47" s="164"/>
      <c r="J47" s="3236">
        <v>2</v>
      </c>
      <c r="K47" s="3406" t="s">
        <v>1782</v>
      </c>
      <c r="L47" s="3406"/>
      <c r="M47" s="3408">
        <f>'数据-取费表'!B2</f>
        <v>44798</v>
      </c>
      <c r="N47" s="3408"/>
      <c r="O47" s="3408"/>
    </row>
    <row r="48" spans="1:15" ht="25.5">
      <c r="A48" s="3471" t="s">
        <v>1783</v>
      </c>
      <c r="B48" s="3472"/>
      <c r="C48" s="3472"/>
      <c r="D48" s="3231" t="b">
        <f>IF(H48="情况1",0,IF(H48="情况2",D52,IF(H48="情况3",D53,IF(H48="情况4",D54))))</f>
        <v>0</v>
      </c>
      <c r="E48" s="3246" t="str">
        <f>IF(H48="情况4","(销售额-原购置价)×税（费）率","销售额×税（费）率")</f>
        <v>销售额×税（费）率</v>
      </c>
      <c r="F48" s="2718">
        <f>IF(H48="情况1","免征",'数据-取费表'!B41)</f>
        <v>5.6000000000000001E-2</v>
      </c>
      <c r="G48" s="2719" t="s">
        <v>1784</v>
      </c>
      <c r="H48" s="2720"/>
      <c r="I48" s="1940"/>
      <c r="J48" s="3236">
        <v>3</v>
      </c>
      <c r="K48" s="3406" t="s">
        <v>1785</v>
      </c>
      <c r="L48" s="3406"/>
      <c r="M48" s="3409" t="e">
        <f ca="1">H101</f>
        <v>#REF!</v>
      </c>
      <c r="N48" s="3409"/>
      <c r="O48" s="3409"/>
    </row>
    <row r="49" spans="1:35" ht="25.5" customHeight="1">
      <c r="A49" s="3245" t="s">
        <v>1786</v>
      </c>
      <c r="B49" s="3454" t="s">
        <v>1787</v>
      </c>
      <c r="C49" s="3454"/>
      <c r="D49" s="1723">
        <v>0</v>
      </c>
      <c r="E49" s="330" t="s">
        <v>1788</v>
      </c>
      <c r="F49" s="3228" t="s">
        <v>34</v>
      </c>
      <c r="G49" s="3437"/>
      <c r="H49" s="2475" t="s">
        <v>2632</v>
      </c>
      <c r="I49" s="2476"/>
      <c r="J49" s="3236">
        <v>4</v>
      </c>
      <c r="K49" s="3406" t="str">
        <f>IF(项目基本情况!E8="房地产抵押价值","房地产抵押价值","抵押担保权已注销时的房地产抵押价值")</f>
        <v>房地产抵押价值</v>
      </c>
      <c r="L49" s="3406"/>
      <c r="M49" s="3409" t="str">
        <f ca="1">IF(项目基本情况!E8="房地产抵押价值",H107,H109)</f>
        <v>——</v>
      </c>
      <c r="N49" s="3409"/>
      <c r="O49" s="3409"/>
    </row>
    <row r="50" spans="1:35" ht="25.5" customHeight="1">
      <c r="A50" s="2721"/>
      <c r="B50" s="3454" t="s">
        <v>1789</v>
      </c>
      <c r="C50" s="3454"/>
      <c r="D50" s="2722"/>
      <c r="E50" s="338"/>
      <c r="F50" s="3228"/>
      <c r="G50" s="3438"/>
      <c r="H50" s="2477" t="s">
        <v>2633</v>
      </c>
      <c r="I50" s="2476"/>
      <c r="J50" s="3405" t="s">
        <v>1790</v>
      </c>
      <c r="K50" s="3405"/>
      <c r="L50" s="3405"/>
      <c r="M50" s="3405"/>
      <c r="N50" s="3405"/>
      <c r="O50" s="3405"/>
    </row>
    <row r="51" spans="1:35" ht="20.45" customHeight="1">
      <c r="A51" s="2723"/>
      <c r="B51" s="3454" t="s">
        <v>1791</v>
      </c>
      <c r="C51" s="3454"/>
      <c r="D51" s="1197"/>
      <c r="E51" s="333"/>
      <c r="F51" s="3228"/>
      <c r="G51" s="3439"/>
      <c r="H51" s="2477" t="s">
        <v>2634</v>
      </c>
      <c r="I51" s="2476"/>
      <c r="J51" s="3230" t="s">
        <v>1792</v>
      </c>
      <c r="K51" s="3406" t="s">
        <v>1793</v>
      </c>
      <c r="L51" s="3406"/>
      <c r="M51" s="3230" t="s">
        <v>1794</v>
      </c>
      <c r="N51" s="3230" t="s">
        <v>1795</v>
      </c>
      <c r="O51" s="3230" t="s">
        <v>1796</v>
      </c>
    </row>
    <row r="52" spans="1:35" ht="24" customHeight="1">
      <c r="A52" s="3248" t="s">
        <v>1797</v>
      </c>
      <c r="B52" s="3454" t="s">
        <v>1798</v>
      </c>
      <c r="C52" s="3454"/>
      <c r="D52" s="1197" t="e">
        <f ca="1">ROUND(D45*'数据-取费表'!B41/(1+'数据-取费表'!C42),0)</f>
        <v>#REF!</v>
      </c>
      <c r="E52" s="3246" t="s">
        <v>1799</v>
      </c>
      <c r="F52" s="2724">
        <f>'数据-取费表'!B41</f>
        <v>5.6000000000000001E-2</v>
      </c>
      <c r="G52" s="2725"/>
      <c r="H52" s="2714"/>
      <c r="I52" s="1941"/>
      <c r="J52" s="3236">
        <v>1</v>
      </c>
      <c r="K52" s="3431" t="s">
        <v>1800</v>
      </c>
      <c r="L52" s="3431"/>
      <c r="M52" s="2695" t="b">
        <f>D48</f>
        <v>0</v>
      </c>
      <c r="N52" s="3236" t="str">
        <f>E48</f>
        <v>销售额×税（费）率</v>
      </c>
      <c r="O52" s="2696">
        <f>F48</f>
        <v>5.6000000000000001E-2</v>
      </c>
    </row>
    <row r="53" spans="1:35" ht="12" customHeight="1">
      <c r="A53" s="3248" t="s">
        <v>1801</v>
      </c>
      <c r="B53" s="3455" t="s">
        <v>2785</v>
      </c>
      <c r="C53" s="3456"/>
      <c r="D53" s="1197" t="e">
        <f ca="1">ROUND(D45*'数据-取费表'!B41/(1+'数据-取费表'!C42),0)</f>
        <v>#REF!</v>
      </c>
      <c r="E53" s="3246" t="s">
        <v>1799</v>
      </c>
      <c r="F53" s="2724">
        <f>'数据-取费表'!B41</f>
        <v>5.6000000000000001E-2</v>
      </c>
      <c r="G53" s="2725"/>
      <c r="H53" s="2714"/>
      <c r="I53" s="1941"/>
      <c r="J53" s="3236">
        <v>2</v>
      </c>
      <c r="K53" s="3431" t="s">
        <v>1802</v>
      </c>
      <c r="L53" s="3431"/>
      <c r="M53" s="2695" t="e">
        <f t="shared" ref="M53:O54" ca="1" si="0">D55</f>
        <v>#REF!</v>
      </c>
      <c r="N53" s="3236" t="str">
        <f t="shared" si="0"/>
        <v>销售额×税（费）率</v>
      </c>
      <c r="O53" s="2696" t="str">
        <f t="shared" si="0"/>
        <v>免征</v>
      </c>
    </row>
    <row r="54" spans="1:35" ht="12" customHeight="1">
      <c r="A54" s="3248" t="s">
        <v>1803</v>
      </c>
      <c r="B54" s="3455" t="s">
        <v>2786</v>
      </c>
      <c r="C54" s="3456"/>
      <c r="D54" s="1197" t="e">
        <f ca="1">C68</f>
        <v>#REF!</v>
      </c>
      <c r="E54" s="333" t="s">
        <v>1804</v>
      </c>
      <c r="F54" s="2724">
        <f>'数据-取费表'!B41</f>
        <v>5.6000000000000001E-2</v>
      </c>
      <c r="G54" s="2725"/>
      <c r="H54" s="2726"/>
      <c r="I54" s="1941"/>
      <c r="J54" s="3236">
        <v>3</v>
      </c>
      <c r="K54" s="3431" t="s">
        <v>1805</v>
      </c>
      <c r="L54" s="3431"/>
      <c r="M54" s="2695" t="e">
        <f t="shared" ca="1" si="0"/>
        <v>#REF!</v>
      </c>
      <c r="N54" s="3236" t="str">
        <f t="shared" si="0"/>
        <v>增值额×税（费）率</v>
      </c>
      <c r="O54" s="2697" t="str">
        <f t="shared" si="0"/>
        <v>免征</v>
      </c>
    </row>
    <row r="55" spans="1:35" ht="24" customHeight="1">
      <c r="A55" s="3494" t="s">
        <v>1806</v>
      </c>
      <c r="B55" s="3472"/>
      <c r="C55" s="3472"/>
      <c r="D55" s="3231" t="e">
        <f ca="1">IF(H55="个人住宅",0,ROUND(D45*I55,0))</f>
        <v>#REF!</v>
      </c>
      <c r="E55" s="3246" t="s">
        <v>1807</v>
      </c>
      <c r="F55" s="2724" t="str">
        <f>IF(H55="正常",I55,"免征")</f>
        <v>免征</v>
      </c>
      <c r="G55" s="2725"/>
      <c r="H55" s="2720"/>
      <c r="I55" s="170">
        <f>'数据-取费表'!B49</f>
        <v>5.0000000000000001E-4</v>
      </c>
      <c r="J55" s="3236">
        <f>IF(H59="非个人房产","",4)</f>
        <v>4</v>
      </c>
      <c r="K55" s="3431" t="str">
        <f>IF(H59="非个人房产","——","个人所得税")</f>
        <v>个人所得税</v>
      </c>
      <c r="L55" s="3431"/>
      <c r="M55" s="2698" t="e">
        <f ca="1">D59</f>
        <v>#REF!</v>
      </c>
      <c r="N55" s="3237" t="str">
        <f>E59</f>
        <v>差额计税</v>
      </c>
      <c r="O55" s="2699">
        <f>F59</f>
        <v>0.01</v>
      </c>
    </row>
    <row r="56" spans="1:35" ht="24.75">
      <c r="A56" s="3494" t="s">
        <v>1808</v>
      </c>
      <c r="B56" s="3472"/>
      <c r="C56" s="3472"/>
      <c r="D56" s="3231" t="e">
        <f ca="1">IF(H56="个人住宅",D57,D58)</f>
        <v>#REF!</v>
      </c>
      <c r="E56" s="3246" t="s">
        <v>1809</v>
      </c>
      <c r="F56" s="2724" t="str">
        <f>IF(H56="正常",F58,"免征")</f>
        <v>免征</v>
      </c>
      <c r="G56" s="2727" t="s">
        <v>1810</v>
      </c>
      <c r="H56" s="2728"/>
      <c r="I56" s="1942"/>
      <c r="J56" s="3236" t="str">
        <f>IF(项目基本情况!K6="上海银行",IF(J55="",4,J55+1),"")</f>
        <v/>
      </c>
      <c r="K56" s="3412" t="str">
        <f>IF(项目基本情况!K6="上海银行","其他处置费用","")</f>
        <v/>
      </c>
      <c r="L56" s="3413"/>
      <c r="M56" s="2695" t="str">
        <f>IF(项目基本情况!K6="上海银行",M69,"")</f>
        <v/>
      </c>
      <c r="N56" s="3412" t="str">
        <f>IF(项目基本情况!K6="上海银行","包含处置中涉及的律师、诉讼、拍卖、评估等费用","")</f>
        <v/>
      </c>
      <c r="O56" s="3415"/>
    </row>
    <row r="57" spans="1:35" ht="12.75">
      <c r="A57" s="3248" t="s">
        <v>1786</v>
      </c>
      <c r="B57" s="3455" t="s">
        <v>1811</v>
      </c>
      <c r="C57" s="3456"/>
      <c r="D57" s="1723">
        <v>0</v>
      </c>
      <c r="E57" s="330" t="s">
        <v>1788</v>
      </c>
      <c r="F57" s="308"/>
      <c r="G57" s="2725"/>
      <c r="H57" s="2729"/>
      <c r="I57" s="1942"/>
      <c r="J57" s="3431">
        <f>IF(AND(J55="",J56=""),4,IF(项目基本情况!K6="上海银行",结果表商!J56+1,结果表商!J55+1))</f>
        <v>5</v>
      </c>
      <c r="K57" s="3431" t="s">
        <v>1812</v>
      </c>
      <c r="L57" s="2700" t="s">
        <v>1813</v>
      </c>
      <c r="M57" s="2701"/>
      <c r="N57" s="2702">
        <f ca="1">SUMIF(M52:M56,"&lt;9e307")</f>
        <v>0</v>
      </c>
      <c r="O57" s="2703"/>
      <c r="P57" s="2863" t="e">
        <f ca="1">N57/M49</f>
        <v>#VALUE!</v>
      </c>
    </row>
    <row r="58" spans="1:35" ht="24.75">
      <c r="A58" s="3248" t="s">
        <v>1797</v>
      </c>
      <c r="B58" s="3455" t="s">
        <v>1814</v>
      </c>
      <c r="C58" s="3454"/>
      <c r="D58" s="3231" t="e">
        <f ca="1">IF(H58="转让取得",C81,C97)</f>
        <v>#REF!</v>
      </c>
      <c r="E58" s="3246" t="s">
        <v>1809</v>
      </c>
      <c r="F58" s="308" t="s">
        <v>34</v>
      </c>
      <c r="G58" s="2725"/>
      <c r="H58" s="2728"/>
      <c r="I58" s="1942"/>
      <c r="J58" s="3431"/>
      <c r="K58" s="3431"/>
      <c r="L58" s="2700" t="s">
        <v>1815</v>
      </c>
      <c r="M58" s="2704"/>
      <c r="N58" s="2705" t="str">
        <f ca="1">NUMBERSTRING(INT(N57*10000),2)&amp;"元整"</f>
        <v>零元整</v>
      </c>
      <c r="O58" s="2706"/>
    </row>
    <row r="59" spans="1:35" ht="24.75" thickBot="1">
      <c r="A59" s="3435" t="s">
        <v>1816</v>
      </c>
      <c r="B59" s="3436"/>
      <c r="C59" s="3436"/>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33">
        <f>J57+1</f>
        <v>6</v>
      </c>
      <c r="K59" s="3431" t="s">
        <v>1817</v>
      </c>
      <c r="L59" s="3236" t="s">
        <v>1813</v>
      </c>
      <c r="M59" s="2707"/>
      <c r="N59" s="2708" t="e">
        <f ca="1">M49-N57</f>
        <v>#VALUE!</v>
      </c>
      <c r="O59" s="2709"/>
    </row>
    <row r="60" spans="1:35" ht="12" customHeight="1">
      <c r="A60" s="1943"/>
      <c r="B60" s="1881"/>
      <c r="C60" s="1881"/>
      <c r="D60" s="1881"/>
      <c r="E60" s="1711"/>
      <c r="F60" s="1942"/>
      <c r="G60" s="1942"/>
      <c r="H60" s="1944"/>
      <c r="I60" s="134"/>
      <c r="J60" s="3434"/>
      <c r="K60" s="3431"/>
      <c r="L60" s="2700" t="s">
        <v>1815</v>
      </c>
      <c r="M60" s="2704"/>
      <c r="N60" s="2705" t="e">
        <f ca="1">NUMBERSTRING(INT(N59*10000),2)&amp;"元整"</f>
        <v>#VALUE!</v>
      </c>
      <c r="O60" s="2706"/>
    </row>
    <row r="61" spans="1:35" ht="13.5" thickBot="1">
      <c r="A61" s="3493" t="s">
        <v>1818</v>
      </c>
      <c r="B61" s="3493"/>
      <c r="C61" s="3493"/>
      <c r="D61" s="3493"/>
      <c r="E61" s="3493"/>
      <c r="F61" s="1942"/>
      <c r="G61" s="1942"/>
      <c r="H61" s="1944"/>
      <c r="I61" s="134"/>
      <c r="J61" s="3236">
        <f>J59+1</f>
        <v>7</v>
      </c>
      <c r="K61" s="3431" t="s">
        <v>1819</v>
      </c>
      <c r="L61" s="3431"/>
      <c r="M61" s="2710"/>
      <c r="N61" s="2711" t="e">
        <f ca="1">ROUND(N59*10000/'数据-汇总表'!E3,0)</f>
        <v>#VALUE!</v>
      </c>
      <c r="O61" s="2712"/>
    </row>
    <row r="62" spans="1:35" ht="12.75">
      <c r="A62" s="3450" t="s">
        <v>1820</v>
      </c>
      <c r="B62" s="3451"/>
      <c r="C62" s="3241"/>
      <c r="D62" s="3241"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414" t="s">
        <v>1824</v>
      </c>
      <c r="K63" s="3232" t="s">
        <v>1825</v>
      </c>
      <c r="L63" s="3232"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414"/>
      <c r="K64" s="3232" t="s">
        <v>1827</v>
      </c>
      <c r="L64" s="323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414"/>
      <c r="K65" s="3232" t="s">
        <v>1830</v>
      </c>
      <c r="L65" s="3232"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414"/>
      <c r="K66" s="3232" t="s">
        <v>1832</v>
      </c>
      <c r="L66" s="3232"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414"/>
      <c r="K67" s="3232" t="s">
        <v>1835</v>
      </c>
      <c r="L67" s="323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414"/>
      <c r="K68" s="3232" t="s">
        <v>1837</v>
      </c>
      <c r="L68" s="3232"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414"/>
      <c r="K69" s="3232" t="s">
        <v>1838</v>
      </c>
      <c r="L69" s="3232"/>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8" t="s">
        <v>1839</v>
      </c>
      <c r="B70" s="3459"/>
      <c r="C70" s="3459"/>
      <c r="D70" s="3459"/>
      <c r="E70" s="3459"/>
      <c r="F70" s="3459"/>
      <c r="G70" s="3459"/>
      <c r="H70" s="3459"/>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50" t="s">
        <v>1820</v>
      </c>
      <c r="B71" s="3451"/>
      <c r="C71" s="3241"/>
      <c r="D71" s="3241"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3243"/>
      <c r="F72" s="3242"/>
      <c r="G72" s="3242"/>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3243"/>
      <c r="F73" s="3242"/>
      <c r="G73" s="3242"/>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3"/>
      <c r="F74" s="3242"/>
      <c r="G74" s="3242"/>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55" t="s">
        <v>1847</v>
      </c>
      <c r="F76" s="3454"/>
      <c r="G76" s="3454"/>
      <c r="H76" s="3457"/>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3231" t="s">
        <v>1849</v>
      </c>
      <c r="F77" s="192"/>
      <c r="G77" s="1956"/>
      <c r="H77" s="3244"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47" t="s">
        <v>1851</v>
      </c>
      <c r="F78" s="3448"/>
      <c r="G78" s="3448"/>
      <c r="H78" s="3449"/>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8" t="e">
        <f ca="1">C72-C73</f>
        <v>#REF!</v>
      </c>
      <c r="D79" s="175" t="s">
        <v>32</v>
      </c>
      <c r="E79" s="3243"/>
      <c r="F79" s="3242"/>
      <c r="G79" s="3242"/>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3231" t="e">
        <f ca="1">IF(C80&gt;=200%,"增值额超过扣除项目金额200%",IF(C80&gt;=100%,"增值额超过扣除项目金额100%，未超过200%",IF(C80&gt;=50%,"增值额超过扣除项目金额50%，未超过100%",IF(C80&lt;50%,"增值额未超过扣除项目金额50%"))))</f>
        <v>#REF!</v>
      </c>
      <c r="F80" s="3242"/>
      <c r="G80" s="3242"/>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8" t="s">
        <v>1855</v>
      </c>
      <c r="B83" s="3459"/>
      <c r="C83" s="3459"/>
      <c r="D83" s="3459"/>
      <c r="E83" s="3459"/>
      <c r="F83" s="3459"/>
      <c r="G83" s="3459"/>
      <c r="H83" s="3459"/>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50" t="s">
        <v>1820</v>
      </c>
      <c r="B84" s="3451"/>
      <c r="C84" s="3241"/>
      <c r="D84" s="3241"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3243"/>
      <c r="F85" s="3242"/>
      <c r="G85" s="3242"/>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3243"/>
      <c r="F86" s="3242"/>
      <c r="G86" s="3242"/>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3238"/>
      <c r="F87" s="3239"/>
      <c r="G87" s="3239"/>
      <c r="H87" s="3240"/>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3239"/>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3239"/>
      <c r="G89" s="3239"/>
      <c r="H89" s="3240"/>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3239"/>
      <c r="G90" s="3416" t="s">
        <v>2627</v>
      </c>
      <c r="H90" s="3417"/>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47" t="s">
        <v>1864</v>
      </c>
      <c r="F91" s="3448"/>
      <c r="G91" s="3448"/>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47" t="s">
        <v>1867</v>
      </c>
      <c r="F92" s="3448"/>
      <c r="G92" s="3448"/>
      <c r="H92" s="3449"/>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47" t="s">
        <v>1851</v>
      </c>
      <c r="F93" s="3448"/>
      <c r="G93" s="3448"/>
      <c r="H93" s="3449"/>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95" t="s">
        <v>1871</v>
      </c>
      <c r="F94" s="3496"/>
      <c r="G94" s="3496"/>
      <c r="H94" s="3497"/>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8" t="e">
        <f ca="1">ROUND(C85-C86,0)</f>
        <v>#REF!</v>
      </c>
      <c r="D95" s="175" t="s">
        <v>32</v>
      </c>
      <c r="E95" s="3243"/>
      <c r="F95" s="3242"/>
      <c r="G95" s="3242"/>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3231" t="e">
        <f ca="1">IF(C96&gt;=200%,"增值额超过扣除项目金额200%",IF(C96&gt;=100%,"增值额超过扣除项目金额100%，未超过200%",IF(C96&gt;=50%,"增值额超过扣除项目金额50%，未超过100%",IF(C96&lt;50%,"增值额未超过扣除项目金额50%"))))</f>
        <v>#REF!</v>
      </c>
      <c r="F96" s="3242"/>
      <c r="G96" s="3242"/>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32"/>
      <c r="E100" s="3380" t="s">
        <v>1874</v>
      </c>
      <c r="F100" s="3380"/>
      <c r="G100" s="3380"/>
      <c r="H100" s="3432"/>
      <c r="I100" s="134"/>
    </row>
    <row r="101" spans="1:35" ht="18.75" customHeight="1">
      <c r="A101" s="3440" t="s">
        <v>1875</v>
      </c>
      <c r="B101" s="3441"/>
      <c r="C101" s="2755" t="str">
        <f>C4</f>
        <v>比较法-商业</v>
      </c>
      <c r="D101" s="2756" t="str">
        <f>D4</f>
        <v>收益法商</v>
      </c>
      <c r="E101" s="3410" t="s">
        <v>1876</v>
      </c>
      <c r="F101" s="3411"/>
      <c r="G101" s="1961" t="s">
        <v>1877</v>
      </c>
      <c r="H101" s="2765" t="e">
        <f ca="1">H118</f>
        <v>#REF!</v>
      </c>
      <c r="I101" s="134"/>
    </row>
    <row r="102" spans="1:35" ht="18.75" customHeight="1">
      <c r="A102" s="3442" t="s">
        <v>1878</v>
      </c>
      <c r="B102" s="2754" t="s">
        <v>1877</v>
      </c>
      <c r="C102" s="2755">
        <f ca="1">C19</f>
        <v>1056</v>
      </c>
      <c r="D102" s="2756">
        <f ca="1">D19</f>
        <v>577</v>
      </c>
      <c r="E102" s="3410"/>
      <c r="F102" s="3411"/>
      <c r="G102" s="1961" t="s">
        <v>1879</v>
      </c>
      <c r="H102" s="2725" t="e">
        <f ca="1">I118</f>
        <v>#REF!</v>
      </c>
      <c r="I102" s="134"/>
    </row>
    <row r="103" spans="1:35" ht="42.75" customHeight="1">
      <c r="A103" s="3442"/>
      <c r="B103" s="2754" t="s">
        <v>1879</v>
      </c>
      <c r="C103" s="2757">
        <f ca="1">C20</f>
        <v>92577</v>
      </c>
      <c r="D103" s="2758">
        <f ca="1">D20</f>
        <v>50517</v>
      </c>
      <c r="E103" s="3403" t="s">
        <v>1880</v>
      </c>
      <c r="F103" s="3404"/>
      <c r="G103" s="1962" t="s">
        <v>1881</v>
      </c>
      <c r="H103" s="2765">
        <f>IF(D36="正常操作",H104+H105+H106,H105+H106)</f>
        <v>0</v>
      </c>
      <c r="I103" s="134"/>
    </row>
    <row r="104" spans="1:35" ht="18.75" customHeight="1">
      <c r="A104" s="3442"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52"/>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43" t="str">
        <f>IF(项目基本情况!E8="已注销","——","3.房地产抵押价值")</f>
        <v>3.房地产抵押价值</v>
      </c>
      <c r="F107" s="3411"/>
      <c r="G107" s="1961" t="s">
        <v>1877</v>
      </c>
      <c r="H107" s="2765" t="e">
        <f ca="1">IF(E107="——","——",H101-H103)</f>
        <v>#REF!</v>
      </c>
      <c r="I107" s="134"/>
    </row>
    <row r="108" spans="1:35" ht="18.75" customHeight="1">
      <c r="A108" s="134"/>
      <c r="B108" s="134"/>
      <c r="C108" s="134"/>
      <c r="D108" s="134"/>
      <c r="E108" s="3443"/>
      <c r="F108" s="3411"/>
      <c r="G108" s="1961" t="s">
        <v>1879</v>
      </c>
      <c r="H108" s="2725" t="e">
        <f ca="1">ROUND(H107*10000/'数据-汇总表'!E3,0)</f>
        <v>#REF!</v>
      </c>
      <c r="I108" s="134"/>
    </row>
    <row r="109" spans="1:35" ht="18.75" customHeight="1">
      <c r="A109" s="134"/>
      <c r="B109" s="134"/>
      <c r="C109" s="134"/>
      <c r="D109" s="134"/>
      <c r="E109" s="3443" t="str">
        <f>IF(项目基本情况!E8="已注销及未注销","4.抵押担保权已注销时的房地产抵押价值",IF(项目基本情况!E8="已注销","3.抵押担保权已注销时的房地产抵押价值","——"))</f>
        <v>——</v>
      </c>
      <c r="F109" s="3411"/>
      <c r="G109" s="1961" t="s">
        <v>1877</v>
      </c>
      <c r="H109" s="2768" t="str">
        <f>IF(E109="——","——",H101-H105-H106)</f>
        <v>——</v>
      </c>
      <c r="I109" s="134"/>
    </row>
    <row r="110" spans="1:35" ht="18.75" customHeight="1">
      <c r="A110" s="134"/>
      <c r="B110" s="134"/>
      <c r="C110" s="134"/>
      <c r="D110" s="134"/>
      <c r="E110" s="3443"/>
      <c r="F110" s="3411"/>
      <c r="G110" s="1961" t="s">
        <v>1879</v>
      </c>
      <c r="H110" s="2725" t="str">
        <f>IF(H109="——","——",ROUND(H109*10000/'数据-汇总表'!E3,0))</f>
        <v>——</v>
      </c>
      <c r="I110" s="134"/>
    </row>
    <row r="111" spans="1:35" ht="18.75" customHeight="1">
      <c r="A111" s="134"/>
      <c r="B111" s="134"/>
      <c r="C111" s="134"/>
      <c r="D111" s="134"/>
      <c r="E111" s="3444" t="str">
        <f>IF(项目基本情况!E9="抵押净值",IF(OR(项目基本情况!E8="已注销",项目基本情况!E8="房地产抵押价值"),"4.抵押净值","5.抵押净值"),"——")</f>
        <v>——</v>
      </c>
      <c r="F111" s="3430"/>
      <c r="G111" s="1961" t="s">
        <v>1877</v>
      </c>
      <c r="H111" s="2765" t="str">
        <f>IF(E111="——","——",N59)</f>
        <v>——</v>
      </c>
      <c r="I111" s="134"/>
    </row>
    <row r="112" spans="1:35" ht="18.75" customHeight="1" thickBot="1">
      <c r="A112" s="134"/>
      <c r="B112" s="134"/>
      <c r="C112" s="134"/>
      <c r="D112" s="134"/>
      <c r="E112" s="3445"/>
      <c r="F112" s="3446"/>
      <c r="G112" s="1964" t="s">
        <v>1879</v>
      </c>
      <c r="H112" s="2769" t="str">
        <f>IF(E111="——","——",N61)</f>
        <v>——</v>
      </c>
      <c r="I112" s="134"/>
    </row>
    <row r="113" spans="1:27" ht="18.75" customHeight="1">
      <c r="A113" s="134"/>
      <c r="B113" s="134"/>
      <c r="C113" s="134"/>
      <c r="D113" s="134"/>
      <c r="E113" s="3453" t="s">
        <v>1885</v>
      </c>
      <c r="F113" s="3453"/>
      <c r="G113" s="3453"/>
      <c r="H113" s="3453"/>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8" t="s">
        <v>1888</v>
      </c>
      <c r="B116" s="3422" t="s">
        <v>1889</v>
      </c>
      <c r="C116" s="3422" t="s">
        <v>1890</v>
      </c>
      <c r="D116" s="3428" t="s">
        <v>1891</v>
      </c>
      <c r="E116" s="3429"/>
      <c r="F116" s="3460" t="s">
        <v>1892</v>
      </c>
      <c r="G116" s="3460"/>
      <c r="H116" s="3418" t="s">
        <v>1893</v>
      </c>
      <c r="I116" s="3418"/>
    </row>
    <row r="117" spans="1:27" ht="18.75" customHeight="1">
      <c r="A117" s="3418"/>
      <c r="B117" s="3423"/>
      <c r="C117" s="3423"/>
      <c r="D117" s="3234" t="s">
        <v>1894</v>
      </c>
      <c r="E117" s="3234" t="s">
        <v>1895</v>
      </c>
      <c r="F117" s="3234" t="s">
        <v>1894</v>
      </c>
      <c r="G117" s="3234" t="s">
        <v>1896</v>
      </c>
      <c r="H117" s="3234" t="s">
        <v>1894</v>
      </c>
      <c r="I117" s="3234" t="s">
        <v>1896</v>
      </c>
    </row>
    <row r="118" spans="1:27" ht="24.75" customHeight="1">
      <c r="A118" s="2770" t="str">
        <f>项目基本情况!S2</f>
        <v>北京市西直门外大街18号楼房地产</v>
      </c>
      <c r="B118" s="3234">
        <f>M18</f>
        <v>199.12</v>
      </c>
      <c r="C118" s="3234">
        <f>M19</f>
        <v>22.44</v>
      </c>
      <c r="D118" s="3234" t="e">
        <f ca="1">ROUND(IF(D32="总价",C34,E118*B118/10000),0)</f>
        <v>#REF!</v>
      </c>
      <c r="E118" s="3234" t="e">
        <f ca="1">ROUND(IF(C33="自定义",IF(D32="楼面单价",C34,D118*10000/B118),I118-G118),0)</f>
        <v>#REF!</v>
      </c>
      <c r="F118" s="3234" t="e">
        <f ca="1">ROUND(IF(D32="总价",C35,G118*B118/10000),0)</f>
        <v>#REF!</v>
      </c>
      <c r="G118" s="3234" t="e">
        <f ca="1">ROUND(IF(D32="楼面单价",C35,F118*10000/B118),0)</f>
        <v>#REF!</v>
      </c>
      <c r="H118" s="3234" t="e">
        <f ca="1">ROUND(IF(D32="总价",C32,I118*B118/10000),0)</f>
        <v>#REF!</v>
      </c>
      <c r="I118" s="3234" t="e">
        <f ca="1">ROUND(IF(D32="楼面单价",C32,H118*10000/B118),0)</f>
        <v>#REF!</v>
      </c>
    </row>
    <row r="119" spans="1:27" ht="18.75" customHeight="1">
      <c r="A119" s="3418" t="s">
        <v>1897</v>
      </c>
      <c r="B119" s="3418"/>
      <c r="C119" s="3418"/>
      <c r="D119" s="3424" t="e">
        <f ca="1">NUMBERSTRING(INT(D118*10000),2)&amp;"元整"</f>
        <v>#REF!</v>
      </c>
      <c r="E119" s="3425"/>
      <c r="F119" s="3424" t="e">
        <f ca="1">NUMBERSTRING(INT(F118*10000),2)&amp;"元整"</f>
        <v>#REF!</v>
      </c>
      <c r="G119" s="3425"/>
      <c r="H119" s="3424" t="e">
        <f ca="1">NUMBERSTRING(INT(H118*10000),2)&amp;"元整"</f>
        <v>#REF!</v>
      </c>
      <c r="I119" s="3425"/>
    </row>
    <row r="120" spans="1:27" ht="18.75" customHeight="1">
      <c r="A120" s="3419" t="str">
        <f>IF(项目基本情况!B9="房地产市场价值","",MID(E103,3,LEN(E103)-2))</f>
        <v>估价师知悉的法定优先受偿款</v>
      </c>
      <c r="B120" s="3420"/>
      <c r="C120" s="3421"/>
      <c r="D120" s="3419">
        <f>H103</f>
        <v>0</v>
      </c>
      <c r="E120" s="3420"/>
      <c r="F120" s="3420"/>
      <c r="G120" s="3420"/>
      <c r="H120" s="3420"/>
      <c r="I120" s="3421"/>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24" t="str">
        <f>IF(D120=0,"零元整",NUMBERSTRING(INT(D120*10000),2)&amp;"元整")</f>
        <v>零元整</v>
      </c>
      <c r="E121" s="3426"/>
      <c r="F121" s="3426"/>
      <c r="G121" s="3426"/>
      <c r="H121" s="3426"/>
      <c r="I121" s="3425"/>
      <c r="AA121" s="731"/>
    </row>
    <row r="122" spans="1:27" ht="18.75" customHeight="1">
      <c r="A122" s="3430" t="str">
        <f>IF(项目基本情况!B9="房地产市场价值","",MID(E107,3,LEN(E107)-2))</f>
        <v>房地产抵押价值</v>
      </c>
      <c r="B122" s="3430"/>
      <c r="C122" s="3430"/>
      <c r="D122" s="3419" t="e">
        <f ca="1">H107</f>
        <v>#REF!</v>
      </c>
      <c r="E122" s="3420"/>
      <c r="F122" s="3420"/>
      <c r="G122" s="3420"/>
      <c r="H122" s="3420"/>
      <c r="I122" s="3421"/>
      <c r="AA122" s="731"/>
    </row>
    <row r="123" spans="1:27" ht="18.75" customHeight="1">
      <c r="A123" s="3418" t="s">
        <v>1897</v>
      </c>
      <c r="B123" s="3418"/>
      <c r="C123" s="3418"/>
      <c r="D123" s="3424" t="e">
        <f ca="1">NUMBERSTRING(INT(D122*10000),2)&amp;"元整"</f>
        <v>#REF!</v>
      </c>
      <c r="E123" s="3426"/>
      <c r="F123" s="3426"/>
      <c r="G123" s="3426"/>
      <c r="H123" s="3426"/>
      <c r="I123" s="3425"/>
      <c r="AA123" s="731"/>
    </row>
    <row r="124" spans="1:27" ht="18.75" customHeight="1">
      <c r="A124" s="3430" t="str">
        <f>IF(项目基本情况!B9="房地产市场价值","",MID(E109,3,LEN(E109)-2))</f>
        <v/>
      </c>
      <c r="B124" s="3430"/>
      <c r="C124" s="3430"/>
      <c r="D124" s="3419" t="str">
        <f>H109</f>
        <v>——</v>
      </c>
      <c r="E124" s="3420"/>
      <c r="F124" s="3420"/>
      <c r="G124" s="3420"/>
      <c r="H124" s="3420"/>
      <c r="I124" s="3421"/>
      <c r="AA124" s="731"/>
    </row>
    <row r="125" spans="1:27" ht="18.75" customHeight="1">
      <c r="A125" s="3418" t="s">
        <v>1897</v>
      </c>
      <c r="B125" s="3418"/>
      <c r="C125" s="3418"/>
      <c r="D125" s="3424" t="e">
        <f>NUMBERSTRING(INT(D124*10000),2)&amp;"元整"</f>
        <v>#VALUE!</v>
      </c>
      <c r="E125" s="3426"/>
      <c r="F125" s="3426"/>
      <c r="G125" s="3426"/>
      <c r="H125" s="3426"/>
      <c r="I125" s="3425"/>
      <c r="AA125" s="731"/>
    </row>
    <row r="126" spans="1:27" ht="18.75" customHeight="1">
      <c r="A126" s="3430" t="str">
        <f>IF(项目基本情况!B9="房地产市场价值","",MID(E111,3,LEN(E111)-2))</f>
        <v/>
      </c>
      <c r="B126" s="3430"/>
      <c r="C126" s="3430"/>
      <c r="D126" s="3419" t="str">
        <f>H111</f>
        <v>——</v>
      </c>
      <c r="E126" s="3420"/>
      <c r="F126" s="3420"/>
      <c r="G126" s="3420"/>
      <c r="H126" s="3420"/>
      <c r="I126" s="3421"/>
      <c r="AA126" s="731"/>
    </row>
    <row r="127" spans="1:27" ht="18.75" customHeight="1">
      <c r="A127" s="3418" t="s">
        <v>1897</v>
      </c>
      <c r="B127" s="3418"/>
      <c r="C127" s="3418"/>
      <c r="D127" s="3424" t="e">
        <f>NUMBERSTRING(INT(D126*10000),2)&amp;"元整"</f>
        <v>#VALUE!</v>
      </c>
      <c r="E127" s="3426"/>
      <c r="F127" s="3426"/>
      <c r="G127" s="3426"/>
      <c r="H127" s="3426"/>
      <c r="I127" s="3425"/>
      <c r="AA127" s="731"/>
    </row>
    <row r="128" spans="1:27" ht="21.75" customHeight="1">
      <c r="A128" s="3427" t="s">
        <v>1898</v>
      </c>
      <c r="B128" s="3427"/>
      <c r="C128" s="3427"/>
      <c r="D128" s="3427"/>
      <c r="E128" s="3427"/>
      <c r="F128" s="3427"/>
      <c r="G128" s="3427"/>
      <c r="H128" s="3427"/>
      <c r="I128" s="342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9.5" thickBot="1">
      <c r="A4" s="1626"/>
      <c r="B4" s="3297" t="s">
        <v>1354</v>
      </c>
      <c r="C4" s="3297"/>
      <c r="D4" s="3297"/>
      <c r="E4" s="1626"/>
    </row>
    <row r="5" spans="1:5" ht="16.5" thickTop="1">
      <c r="A5" s="1624"/>
      <c r="B5" s="3295" t="s">
        <v>1346</v>
      </c>
      <c r="C5" s="1627" t="s">
        <v>1347</v>
      </c>
      <c r="D5" s="937" t="e">
        <f ca="1">结果表!H101</f>
        <v>#REF!</v>
      </c>
      <c r="E5" s="1624"/>
    </row>
    <row r="6" spans="1:5" ht="15.75">
      <c r="A6" s="1624"/>
      <c r="B6" s="3295"/>
      <c r="C6" s="1627" t="s">
        <v>1348</v>
      </c>
      <c r="D6" s="937" t="e">
        <f ca="1">NUMBERSTRING(INT(D5*10000),2)&amp;"元整"</f>
        <v>#REF!</v>
      </c>
      <c r="E6" s="1624"/>
    </row>
    <row r="7" spans="1:5" ht="15.75">
      <c r="A7" s="1624"/>
      <c r="B7" s="3300"/>
      <c r="C7" s="1628" t="s">
        <v>1349</v>
      </c>
      <c r="D7" s="938" t="e">
        <f ca="1">结果表!H102</f>
        <v>#REF!</v>
      </c>
      <c r="E7" s="1624"/>
    </row>
    <row r="8" spans="1:5" ht="15.75">
      <c r="A8" s="1624"/>
      <c r="B8" s="3301" t="str">
        <f>结果表!E103</f>
        <v>2.估价师知悉的法定优先受偿款</v>
      </c>
      <c r="C8" s="1629" t="s">
        <v>1350</v>
      </c>
      <c r="D8" s="938">
        <f>结果表!H103</f>
        <v>0</v>
      </c>
      <c r="E8" s="1624"/>
    </row>
    <row r="9" spans="1:5" ht="15.75">
      <c r="A9" s="1624"/>
      <c r="B9" s="3303"/>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94" t="str">
        <f>结果表!E107</f>
        <v>3.房地产抵押价值</v>
      </c>
      <c r="C13" s="1632" t="s">
        <v>1347</v>
      </c>
      <c r="D13" s="940" t="e">
        <f ca="1">结果表!H107</f>
        <v>#REF!</v>
      </c>
      <c r="E13" s="1624"/>
    </row>
    <row r="14" spans="1:5" ht="15.75">
      <c r="A14" s="1624"/>
      <c r="B14" s="3295"/>
      <c r="C14" s="1627" t="s">
        <v>1348</v>
      </c>
      <c r="D14" s="937" t="e">
        <f ca="1">NUMBERSTRING(INT(D13*10000),2)&amp;"元整"</f>
        <v>#REF!</v>
      </c>
      <c r="E14" s="1624"/>
    </row>
    <row r="15" spans="1:5" ht="15">
      <c r="A15" s="1624"/>
      <c r="B15" s="3300"/>
      <c r="C15" s="1628" t="s">
        <v>1358</v>
      </c>
      <c r="D15" s="946" t="e">
        <f ca="1">结果表!H108</f>
        <v>#REF!</v>
      </c>
      <c r="E15" s="1624"/>
    </row>
    <row r="16" spans="1:5" ht="15">
      <c r="A16" s="1624"/>
      <c r="B16" s="3301" t="str">
        <f>结果表!E109</f>
        <v>——</v>
      </c>
      <c r="C16" s="1632" t="s">
        <v>1359</v>
      </c>
      <c r="D16" s="1633" t="str">
        <f>结果表!H109</f>
        <v>——</v>
      </c>
      <c r="E16" s="1624"/>
    </row>
    <row r="17" spans="1:5" ht="15.75">
      <c r="A17" s="1624"/>
      <c r="B17" s="3302"/>
      <c r="C17" s="1627" t="s">
        <v>1360</v>
      </c>
      <c r="D17" s="937" t="e">
        <f>NUMBERSTRING(INT(D16*10000),2)&amp;"元整"</f>
        <v>#VALUE!</v>
      </c>
      <c r="E17" s="1624"/>
    </row>
    <row r="18" spans="1:5" ht="15">
      <c r="A18" s="1624"/>
      <c r="B18" s="3303"/>
      <c r="C18" s="1628" t="s">
        <v>1349</v>
      </c>
      <c r="D18" s="946" t="str">
        <f>结果表!H110</f>
        <v>——</v>
      </c>
      <c r="E18" s="1624"/>
    </row>
    <row r="19" spans="1:5" ht="15.75">
      <c r="A19" s="1624"/>
      <c r="B19" s="3294" t="str">
        <f>结果表!E111</f>
        <v>——</v>
      </c>
      <c r="C19" s="1632" t="s">
        <v>1347</v>
      </c>
      <c r="D19" s="938" t="str">
        <f>结果表!H111</f>
        <v>——</v>
      </c>
      <c r="E19" s="1624"/>
    </row>
    <row r="20" spans="1:5" ht="15.75">
      <c r="A20" s="1624"/>
      <c r="B20" s="3295"/>
      <c r="C20" s="1627" t="s">
        <v>1360</v>
      </c>
      <c r="D20" s="937" t="e">
        <f>NUMBERSTRING(INT(D19*10000),2)&amp;"元整"</f>
        <v>#VALUE!</v>
      </c>
      <c r="E20" s="1624"/>
    </row>
    <row r="21" spans="1:5" ht="15.75" thickBot="1">
      <c r="A21" s="1624"/>
      <c r="B21" s="3296"/>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E51" sqref="E51"/>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0"/>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1056</v>
      </c>
      <c r="C2" s="2015" t="s">
        <v>70</v>
      </c>
      <c r="D2" s="1225" t="e">
        <f ca="1">SUMIF(INDIRECT("'"&amp;F2&amp;"'"&amp;"!A:A"),"承租人权益价值",INDIRECT("'"&amp;F2&amp;"'"&amp;"!c:c"))</f>
        <v>#REF!</v>
      </c>
      <c r="E2" s="2016" t="s">
        <v>1908</v>
      </c>
      <c r="F2" s="2017"/>
      <c r="G2" s="1017"/>
      <c r="H2" s="1017"/>
      <c r="I2" s="1017"/>
      <c r="J2" s="1017"/>
      <c r="K2" s="1017"/>
      <c r="L2" s="2907"/>
      <c r="M2" s="2908"/>
      <c r="N2" s="2908"/>
      <c r="O2" s="2908"/>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92577</v>
      </c>
      <c r="C3" s="360" t="s">
        <v>2224</v>
      </c>
      <c r="D3" s="359">
        <f>IF(D1="",'数据-汇总表'!E3,SUMIF('数据-汇总表'!$C19:$C33,D1,'数据-汇总表'!$E19:$E33))</f>
        <v>114.12</v>
      </c>
      <c r="E3" s="2088"/>
      <c r="F3" s="1018"/>
      <c r="G3" s="1017"/>
      <c r="H3" s="1017"/>
      <c r="I3" s="1017"/>
      <c r="J3" s="1017"/>
      <c r="K3" s="1019"/>
      <c r="L3" s="2907"/>
      <c r="M3" s="2908"/>
      <c r="N3" s="2908"/>
      <c r="O3" s="2908"/>
      <c r="P3" s="2086"/>
      <c r="Q3" s="1021"/>
      <c r="R3" s="1021"/>
      <c r="S3" s="1021"/>
      <c r="T3" s="1021"/>
      <c r="U3" s="1021"/>
      <c r="V3" s="1021"/>
      <c r="W3" s="1021"/>
      <c r="X3" s="1021"/>
      <c r="Y3" s="1021"/>
      <c r="Z3" s="1021"/>
      <c r="AA3" s="1021"/>
      <c r="AB3" s="1021"/>
      <c r="AC3" s="2088"/>
    </row>
    <row r="4" spans="1:29" ht="15">
      <c r="A4" s="361" t="s">
        <v>2225</v>
      </c>
      <c r="B4" s="362"/>
      <c r="C4" s="3525" t="s">
        <v>2226</v>
      </c>
      <c r="D4" s="3526"/>
      <c r="E4" s="3527" t="s">
        <v>2227</v>
      </c>
      <c r="F4" s="3528"/>
      <c r="G4" s="3525" t="s">
        <v>2228</v>
      </c>
      <c r="H4" s="3526"/>
      <c r="I4" s="3525" t="s">
        <v>2229</v>
      </c>
      <c r="J4" s="3526"/>
      <c r="K4" s="567" t="s">
        <v>2230</v>
      </c>
      <c r="L4" s="2888"/>
      <c r="M4" s="2889"/>
      <c r="N4" s="2889"/>
      <c r="O4" s="2889"/>
      <c r="P4" s="3585" t="s">
        <v>2231</v>
      </c>
      <c r="Q4" s="3586"/>
      <c r="R4" s="3582" t="s">
        <v>2227</v>
      </c>
      <c r="S4" s="3583"/>
      <c r="T4" s="3582" t="s">
        <v>2228</v>
      </c>
      <c r="U4" s="3583"/>
      <c r="V4" s="3538" t="s">
        <v>2229</v>
      </c>
      <c r="W4" s="3538"/>
      <c r="X4" s="1487"/>
      <c r="Y4" s="3582" t="s">
        <v>2231</v>
      </c>
      <c r="Z4" s="3583"/>
      <c r="AA4" s="3581" t="s">
        <v>2227</v>
      </c>
      <c r="AB4" s="3538" t="s">
        <v>2228</v>
      </c>
      <c r="AC4" s="3581" t="s">
        <v>2229</v>
      </c>
    </row>
    <row r="5" spans="1:29" ht="15">
      <c r="A5" s="364"/>
      <c r="B5" s="365"/>
      <c r="C5" s="3514" t="s">
        <v>2122</v>
      </c>
      <c r="D5" s="3515"/>
      <c r="E5" s="3512" t="s">
        <v>3356</v>
      </c>
      <c r="F5" s="3513"/>
      <c r="G5" s="3518" t="s">
        <v>3357</v>
      </c>
      <c r="H5" s="3515"/>
      <c r="I5" s="3518" t="s">
        <v>3359</v>
      </c>
      <c r="J5" s="3515"/>
      <c r="K5" s="567"/>
      <c r="L5" s="2888"/>
      <c r="M5" s="2889"/>
      <c r="N5" s="2889"/>
      <c r="O5" s="2889"/>
      <c r="P5" s="3587"/>
      <c r="Q5" s="3532"/>
      <c r="R5" s="3510"/>
      <c r="S5" s="3511"/>
      <c r="T5" s="3510"/>
      <c r="U5" s="3511"/>
      <c r="V5" s="3538"/>
      <c r="W5" s="3538"/>
      <c r="X5" s="1487"/>
      <c r="Y5" s="3510"/>
      <c r="Z5" s="3511"/>
      <c r="AA5" s="3504"/>
      <c r="AB5" s="3538"/>
      <c r="AC5" s="3504"/>
    </row>
    <row r="6" spans="1:29" ht="15.75" thickBot="1">
      <c r="A6" s="366"/>
      <c r="B6" s="367"/>
      <c r="C6" s="3516" t="s">
        <v>2126</v>
      </c>
      <c r="D6" s="3517"/>
      <c r="E6" s="3519" t="s">
        <v>2126</v>
      </c>
      <c r="F6" s="3520"/>
      <c r="G6" s="3516" t="s">
        <v>2126</v>
      </c>
      <c r="H6" s="3517"/>
      <c r="I6" s="3516" t="s">
        <v>2126</v>
      </c>
      <c r="J6" s="3517"/>
      <c r="K6" s="567" t="s">
        <v>2127</v>
      </c>
      <c r="L6" s="2888"/>
      <c r="M6" s="2889"/>
      <c r="N6" s="2889"/>
      <c r="O6" s="2889"/>
      <c r="P6" s="3588"/>
      <c r="Q6" s="3534"/>
      <c r="R6" s="3510"/>
      <c r="S6" s="3511"/>
      <c r="T6" s="3535"/>
      <c r="U6" s="3536"/>
      <c r="V6" s="3538"/>
      <c r="W6" s="3538"/>
      <c r="X6" s="1487"/>
      <c r="Y6" s="3535"/>
      <c r="Z6" s="3536"/>
      <c r="AA6" s="3505"/>
      <c r="AB6" s="3538"/>
      <c r="AC6" s="3505"/>
    </row>
    <row r="7" spans="1:29" s="113" customFormat="1" ht="15.75" thickBot="1">
      <c r="A7" s="368" t="s">
        <v>2128</v>
      </c>
      <c r="B7" s="369"/>
      <c r="C7" s="370">
        <f>'数据-取费表'!B2</f>
        <v>44798</v>
      </c>
      <c r="D7" s="371">
        <v>100</v>
      </c>
      <c r="E7" s="372">
        <v>44774</v>
      </c>
      <c r="F7" s="373">
        <f>SUMIF(58:58,YEAR(E7)&amp;"-"&amp;MONTH(E7),59:59)</f>
        <v>100</v>
      </c>
      <c r="G7" s="372">
        <v>44774</v>
      </c>
      <c r="H7" s="371">
        <f>SUMIF(58:58,YEAR(G7)&amp;"-"&amp;MONTH(G7),59:59)</f>
        <v>100</v>
      </c>
      <c r="I7" s="372">
        <v>44774</v>
      </c>
      <c r="J7" s="371">
        <f>SUMIF(58:58,YEAR(I7)&amp;"-"&amp;MONTH(I7),59:59)</f>
        <v>100</v>
      </c>
      <c r="K7" s="568"/>
      <c r="L7" s="2890"/>
      <c r="M7" s="2891"/>
      <c r="N7" s="2891"/>
      <c r="O7" s="2891"/>
      <c r="P7" s="3506" t="s">
        <v>2129</v>
      </c>
      <c r="Q7" s="3540"/>
      <c r="R7" s="707" t="s">
        <v>17</v>
      </c>
      <c r="S7" s="708">
        <f t="shared" ref="S7:S15" si="0">F7</f>
        <v>100</v>
      </c>
      <c r="T7" s="707" t="s">
        <v>17</v>
      </c>
      <c r="U7" s="708">
        <f t="shared" ref="U7:U15" si="1">H7</f>
        <v>100</v>
      </c>
      <c r="V7" s="707" t="s">
        <v>17</v>
      </c>
      <c r="W7" s="708">
        <f t="shared" ref="W7:W15" si="2">J7</f>
        <v>100</v>
      </c>
      <c r="X7" s="709"/>
      <c r="Y7" s="3506" t="s">
        <v>2129</v>
      </c>
      <c r="Z7" s="3507"/>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0"/>
      <c r="M8" s="2891"/>
      <c r="N8" s="2891"/>
      <c r="O8" s="2891"/>
      <c r="P8" s="3506" t="s">
        <v>2132</v>
      </c>
      <c r="Q8" s="3507"/>
      <c r="R8" s="707" t="s">
        <v>17</v>
      </c>
      <c r="S8" s="708">
        <f t="shared" si="0"/>
        <v>100</v>
      </c>
      <c r="T8" s="707" t="s">
        <v>17</v>
      </c>
      <c r="U8" s="708">
        <f t="shared" si="1"/>
        <v>100</v>
      </c>
      <c r="V8" s="707" t="s">
        <v>17</v>
      </c>
      <c r="W8" s="708">
        <f t="shared" si="2"/>
        <v>100</v>
      </c>
      <c r="X8" s="709"/>
      <c r="Y8" s="3506" t="s">
        <v>2132</v>
      </c>
      <c r="Z8" s="3507"/>
      <c r="AA8" s="710">
        <f t="shared" ref="AA8:AA46" si="3">D8/F8</f>
        <v>1</v>
      </c>
      <c r="AB8" s="710">
        <f t="shared" ref="AB8:AB46" si="4">D8/H8</f>
        <v>1</v>
      </c>
      <c r="AC8" s="710">
        <f t="shared" ref="AC8:AC46" si="5">D8/J8</f>
        <v>1</v>
      </c>
    </row>
    <row r="9" spans="1:29" s="113" customFormat="1">
      <c r="A9" s="375" t="s">
        <v>2133</v>
      </c>
      <c r="B9" s="67" t="s">
        <v>2134</v>
      </c>
      <c r="C9" s="3263" t="s">
        <v>3340</v>
      </c>
      <c r="D9" s="131">
        <v>100</v>
      </c>
      <c r="E9" s="3263" t="s">
        <v>3340</v>
      </c>
      <c r="F9" s="378">
        <f>SUMIF(63:63,E9,64:64)-SUMIF(63:63,C9,64:64)+100</f>
        <v>100</v>
      </c>
      <c r="G9" s="3263" t="s">
        <v>3340</v>
      </c>
      <c r="H9" s="131">
        <f>SUMIF(63:63,G9,64:64)-SUMIF(63:63,C9,64:64)+100</f>
        <v>100</v>
      </c>
      <c r="I9" s="3263" t="s">
        <v>3340</v>
      </c>
      <c r="J9" s="131">
        <f>SUMIF(63:63,I9,64:64)-SUMIF(63:63,C9,64:64)+100</f>
        <v>100</v>
      </c>
      <c r="K9" s="568"/>
      <c r="L9" s="2890"/>
      <c r="M9" s="2891"/>
      <c r="N9" s="2891"/>
      <c r="O9" s="2891"/>
      <c r="P9" s="3521" t="s">
        <v>2135</v>
      </c>
      <c r="Q9" s="1475" t="str">
        <f t="shared" ref="Q9:Q15" si="6">B9</f>
        <v>用途</v>
      </c>
      <c r="R9" s="707" t="s">
        <v>17</v>
      </c>
      <c r="S9" s="708">
        <f t="shared" si="0"/>
        <v>100</v>
      </c>
      <c r="T9" s="707" t="s">
        <v>17</v>
      </c>
      <c r="U9" s="708">
        <f t="shared" si="1"/>
        <v>100</v>
      </c>
      <c r="V9" s="707" t="s">
        <v>17</v>
      </c>
      <c r="W9" s="708">
        <f t="shared" si="2"/>
        <v>100</v>
      </c>
      <c r="X9" s="709"/>
      <c r="Y9" s="3476" t="s">
        <v>2136</v>
      </c>
      <c r="Z9" s="55" t="str">
        <f t="shared" ref="Z9:Z15" si="7">Q9</f>
        <v>用途</v>
      </c>
      <c r="AA9" s="710">
        <f t="shared" si="3"/>
        <v>1</v>
      </c>
      <c r="AB9" s="710">
        <f t="shared" si="4"/>
        <v>1</v>
      </c>
      <c r="AC9" s="710">
        <f t="shared" si="5"/>
        <v>1</v>
      </c>
    </row>
    <row r="10" spans="1:29" s="386" customFormat="1" ht="27">
      <c r="A10" s="380"/>
      <c r="B10" s="381" t="s">
        <v>2137</v>
      </c>
      <c r="C10" s="382" t="s">
        <v>3313</v>
      </c>
      <c r="D10" s="132">
        <v>100</v>
      </c>
      <c r="E10" s="382" t="s">
        <v>3313</v>
      </c>
      <c r="F10" s="384">
        <f>SUMIF(65:65,E10,66:66)-SUMIF(65:65,C10,66:66)+100</f>
        <v>100</v>
      </c>
      <c r="G10" s="382" t="s">
        <v>3313</v>
      </c>
      <c r="H10" s="132">
        <f>SUMIF(65:65,G10,66:66)-SUMIF(65:65,C10,66:66)+100</f>
        <v>100</v>
      </c>
      <c r="I10" s="382" t="s">
        <v>3313</v>
      </c>
      <c r="J10" s="132">
        <f>SUMIF(65:65,I10,66:66)-SUMIF(65:65,C10,66:66)+100</f>
        <v>100</v>
      </c>
      <c r="K10" s="569"/>
      <c r="L10" s="2892"/>
      <c r="M10" s="2893"/>
      <c r="N10" s="2893"/>
      <c r="O10" s="2893"/>
      <c r="P10" s="3521"/>
      <c r="Q10" s="1475" t="str">
        <f t="shared" si="6"/>
        <v>土地使用年限（年）</v>
      </c>
      <c r="R10" s="707" t="s">
        <v>17</v>
      </c>
      <c r="S10" s="708">
        <f t="shared" si="0"/>
        <v>100</v>
      </c>
      <c r="T10" s="707" t="s">
        <v>17</v>
      </c>
      <c r="U10" s="708">
        <f t="shared" si="1"/>
        <v>100</v>
      </c>
      <c r="V10" s="707" t="s">
        <v>17</v>
      </c>
      <c r="W10" s="708">
        <f t="shared" si="2"/>
        <v>100</v>
      </c>
      <c r="X10" s="709"/>
      <c r="Y10" s="3476"/>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4"/>
      <c r="M11" s="2889"/>
      <c r="N11" s="2889"/>
      <c r="O11" s="2889"/>
      <c r="P11" s="3521"/>
      <c r="Q11" s="1475" t="str">
        <f t="shared" si="6"/>
        <v>容积率</v>
      </c>
      <c r="R11" s="707" t="s">
        <v>17</v>
      </c>
      <c r="S11" s="708">
        <f t="shared" si="0"/>
        <v>100</v>
      </c>
      <c r="T11" s="707" t="s">
        <v>17</v>
      </c>
      <c r="U11" s="708">
        <f t="shared" si="1"/>
        <v>100</v>
      </c>
      <c r="V11" s="707" t="s">
        <v>17</v>
      </c>
      <c r="W11" s="708">
        <f t="shared" si="2"/>
        <v>100</v>
      </c>
      <c r="X11" s="709"/>
      <c r="Y11" s="3476"/>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21"/>
      <c r="Q12" s="1475">
        <f t="shared" si="6"/>
        <v>111</v>
      </c>
      <c r="R12" s="707" t="s">
        <v>17</v>
      </c>
      <c r="S12" s="708">
        <f t="shared" si="0"/>
        <v>100</v>
      </c>
      <c r="T12" s="707" t="s">
        <v>17</v>
      </c>
      <c r="U12" s="708">
        <f t="shared" si="1"/>
        <v>100</v>
      </c>
      <c r="V12" s="707" t="s">
        <v>17</v>
      </c>
      <c r="W12" s="708">
        <f t="shared" si="2"/>
        <v>100</v>
      </c>
      <c r="X12" s="709"/>
      <c r="Y12" s="3476"/>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21"/>
      <c r="Q13" s="1475">
        <f t="shared" si="6"/>
        <v>111</v>
      </c>
      <c r="R13" s="707" t="s">
        <v>17</v>
      </c>
      <c r="S13" s="708">
        <f t="shared" si="0"/>
        <v>100</v>
      </c>
      <c r="T13" s="707" t="s">
        <v>17</v>
      </c>
      <c r="U13" s="708">
        <f t="shared" si="1"/>
        <v>100</v>
      </c>
      <c r="V13" s="707" t="s">
        <v>17</v>
      </c>
      <c r="W13" s="708">
        <f t="shared" si="2"/>
        <v>100</v>
      </c>
      <c r="X13" s="709"/>
      <c r="Y13" s="3476"/>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21"/>
      <c r="Q14" s="1475">
        <f t="shared" si="6"/>
        <v>111</v>
      </c>
      <c r="R14" s="707" t="s">
        <v>17</v>
      </c>
      <c r="S14" s="708">
        <f t="shared" si="0"/>
        <v>100</v>
      </c>
      <c r="T14" s="707" t="s">
        <v>17</v>
      </c>
      <c r="U14" s="708">
        <f t="shared" si="1"/>
        <v>100</v>
      </c>
      <c r="V14" s="707" t="s">
        <v>17</v>
      </c>
      <c r="W14" s="708">
        <f t="shared" si="2"/>
        <v>100</v>
      </c>
      <c r="X14" s="709"/>
      <c r="Y14" s="3476"/>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5"/>
      <c r="M15" s="2889"/>
      <c r="N15" s="2889"/>
      <c r="O15" s="2889"/>
      <c r="P15" s="3541" t="s">
        <v>2140</v>
      </c>
      <c r="Q15" s="1484" t="str">
        <f t="shared" si="6"/>
        <v>商业繁华度</v>
      </c>
      <c r="R15" s="711" t="s">
        <v>17</v>
      </c>
      <c r="S15" s="712">
        <f t="shared" si="0"/>
        <v>100</v>
      </c>
      <c r="T15" s="711" t="s">
        <v>17</v>
      </c>
      <c r="U15" s="712">
        <f t="shared" si="1"/>
        <v>102</v>
      </c>
      <c r="V15" s="711" t="s">
        <v>17</v>
      </c>
      <c r="W15" s="712">
        <f t="shared" si="2"/>
        <v>100</v>
      </c>
      <c r="X15" s="1487"/>
      <c r="Y15" s="3543" t="s">
        <v>2140</v>
      </c>
      <c r="Z15" s="1488" t="str">
        <f t="shared" si="7"/>
        <v>商业繁华度</v>
      </c>
      <c r="AA15" s="1485">
        <f t="shared" si="3"/>
        <v>1</v>
      </c>
      <c r="AB15" s="1485">
        <f t="shared" si="4"/>
        <v>0.98039215686274506</v>
      </c>
      <c r="AC15" s="1485">
        <f t="shared" si="5"/>
        <v>1</v>
      </c>
    </row>
    <row r="16" spans="1:29" ht="15">
      <c r="A16" s="387"/>
      <c r="B16" s="405"/>
      <c r="C16" s="406" t="s">
        <v>3275</v>
      </c>
      <c r="D16" s="407"/>
      <c r="E16" s="406" t="s">
        <v>3275</v>
      </c>
      <c r="F16" s="408"/>
      <c r="G16" s="406" t="s">
        <v>3310</v>
      </c>
      <c r="H16" s="409"/>
      <c r="I16" s="406" t="s">
        <v>3275</v>
      </c>
      <c r="J16" s="407"/>
      <c r="K16" s="572"/>
      <c r="L16" s="2895"/>
      <c r="M16" s="2889"/>
      <c r="N16" s="2889"/>
      <c r="O16" s="2889"/>
      <c r="P16" s="3542"/>
      <c r="Q16" s="1484"/>
      <c r="R16" s="711"/>
      <c r="S16" s="712"/>
      <c r="T16" s="711"/>
      <c r="U16" s="712"/>
      <c r="V16" s="711"/>
      <c r="W16" s="712"/>
      <c r="X16" s="1487"/>
      <c r="Y16" s="3544"/>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5"/>
      <c r="M17" s="2889"/>
      <c r="N17" s="2889"/>
      <c r="O17" s="2889"/>
      <c r="P17" s="3542"/>
      <c r="Q17" s="1484" t="str">
        <f>B17</f>
        <v>交通便捷度</v>
      </c>
      <c r="R17" s="711" t="s">
        <v>17</v>
      </c>
      <c r="S17" s="712">
        <f>F17</f>
        <v>100</v>
      </c>
      <c r="T17" s="711" t="s">
        <v>17</v>
      </c>
      <c r="U17" s="712">
        <f>H17</f>
        <v>102</v>
      </c>
      <c r="V17" s="711" t="s">
        <v>17</v>
      </c>
      <c r="W17" s="712">
        <f>J17</f>
        <v>100</v>
      </c>
      <c r="X17" s="1487"/>
      <c r="Y17" s="3544"/>
      <c r="Z17" s="1488" t="str">
        <f>Q17</f>
        <v>交通便捷度</v>
      </c>
      <c r="AA17" s="1485">
        <f t="shared" si="3"/>
        <v>1</v>
      </c>
      <c r="AB17" s="1485">
        <f t="shared" si="4"/>
        <v>0.98039215686274506</v>
      </c>
      <c r="AC17" s="1485">
        <f t="shared" si="5"/>
        <v>1</v>
      </c>
    </row>
    <row r="18" spans="1:29" ht="15">
      <c r="A18" s="387"/>
      <c r="B18" s="415"/>
      <c r="C18" s="2035" t="s">
        <v>3275</v>
      </c>
      <c r="D18" s="409"/>
      <c r="E18" s="2035" t="s">
        <v>3275</v>
      </c>
      <c r="F18" s="412"/>
      <c r="G18" s="2035" t="s">
        <v>3310</v>
      </c>
      <c r="H18" s="407"/>
      <c r="I18" s="2035" t="s">
        <v>3275</v>
      </c>
      <c r="J18" s="407"/>
      <c r="K18" s="572"/>
      <c r="L18" s="2895"/>
      <c r="M18" s="2889"/>
      <c r="N18" s="2889"/>
      <c r="O18" s="2889"/>
      <c r="P18" s="3542"/>
      <c r="Q18" s="1484"/>
      <c r="R18" s="711"/>
      <c r="S18" s="712"/>
      <c r="T18" s="711"/>
      <c r="U18" s="712"/>
      <c r="V18" s="711"/>
      <c r="W18" s="712"/>
      <c r="X18" s="1487"/>
      <c r="Y18" s="3544"/>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5"/>
      <c r="M19" s="2889"/>
      <c r="N19" s="2889"/>
      <c r="O19" s="2889"/>
      <c r="P19" s="3542"/>
      <c r="Q19" s="1484" t="str">
        <f>B19</f>
        <v>公共配套设施</v>
      </c>
      <c r="R19" s="711" t="s">
        <v>17</v>
      </c>
      <c r="S19" s="712">
        <f>F19</f>
        <v>100</v>
      </c>
      <c r="T19" s="711" t="s">
        <v>17</v>
      </c>
      <c r="U19" s="712">
        <f>H19</f>
        <v>100</v>
      </c>
      <c r="V19" s="711" t="s">
        <v>17</v>
      </c>
      <c r="W19" s="712">
        <f>J19</f>
        <v>100</v>
      </c>
      <c r="X19" s="1487"/>
      <c r="Y19" s="3544"/>
      <c r="Z19" s="1488" t="str">
        <f>Q19</f>
        <v>公共配套设施</v>
      </c>
      <c r="AA19" s="1485">
        <f t="shared" si="3"/>
        <v>1</v>
      </c>
      <c r="AB19" s="1485">
        <f t="shared" si="4"/>
        <v>1</v>
      </c>
      <c r="AC19" s="1485">
        <f t="shared" si="5"/>
        <v>1</v>
      </c>
    </row>
    <row r="20" spans="1:29" ht="15">
      <c r="A20" s="387"/>
      <c r="B20" s="415"/>
      <c r="C20" s="406" t="s">
        <v>3275</v>
      </c>
      <c r="D20" s="407"/>
      <c r="E20" s="406" t="s">
        <v>3275</v>
      </c>
      <c r="F20" s="408"/>
      <c r="G20" s="406" t="s">
        <v>3275</v>
      </c>
      <c r="H20" s="407"/>
      <c r="I20" s="406" t="s">
        <v>3275</v>
      </c>
      <c r="J20" s="407"/>
      <c r="K20" s="572"/>
      <c r="L20" s="2895"/>
      <c r="M20" s="2889"/>
      <c r="N20" s="2889"/>
      <c r="O20" s="2889"/>
      <c r="P20" s="3542"/>
      <c r="Q20" s="1484"/>
      <c r="R20" s="711"/>
      <c r="S20" s="712"/>
      <c r="T20" s="711"/>
      <c r="U20" s="712"/>
      <c r="V20" s="711"/>
      <c r="W20" s="712"/>
      <c r="X20" s="1487"/>
      <c r="Y20" s="3544"/>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5"/>
      <c r="M21" s="2889"/>
      <c r="N21" s="2889"/>
      <c r="O21" s="2889"/>
      <c r="P21" s="3542"/>
      <c r="Q21" s="1484" t="str">
        <f>B21</f>
        <v>基础设施水平</v>
      </c>
      <c r="R21" s="711" t="s">
        <v>17</v>
      </c>
      <c r="S21" s="712">
        <f>F21</f>
        <v>100</v>
      </c>
      <c r="T21" s="711" t="s">
        <v>17</v>
      </c>
      <c r="U21" s="712">
        <f>H21</f>
        <v>100</v>
      </c>
      <c r="V21" s="711" t="s">
        <v>17</v>
      </c>
      <c r="W21" s="712">
        <f>J21</f>
        <v>100</v>
      </c>
      <c r="X21" s="1487"/>
      <c r="Y21" s="3544"/>
      <c r="Z21" s="1488" t="str">
        <f>Q21</f>
        <v>基础设施水平</v>
      </c>
      <c r="AA21" s="1485">
        <f t="shared" ref="AA21" si="8">D21/F21</f>
        <v>1</v>
      </c>
      <c r="AB21" s="1485">
        <f t="shared" ref="AB21" si="9">D21/H21</f>
        <v>1</v>
      </c>
      <c r="AC21" s="1485">
        <f t="shared" ref="AC21" si="10">D21/J21</f>
        <v>1</v>
      </c>
    </row>
    <row r="22" spans="1:29" ht="15">
      <c r="A22" s="387"/>
      <c r="B22" s="1243"/>
      <c r="C22" s="2035" t="s">
        <v>3276</v>
      </c>
      <c r="D22" s="407"/>
      <c r="E22" s="2035" t="s">
        <v>3276</v>
      </c>
      <c r="F22" s="408"/>
      <c r="G22" s="2035" t="s">
        <v>3276</v>
      </c>
      <c r="H22" s="407"/>
      <c r="I22" s="2035" t="s">
        <v>3276</v>
      </c>
      <c r="J22" s="407"/>
      <c r="K22" s="1242"/>
      <c r="L22" s="2895"/>
      <c r="M22" s="2889"/>
      <c r="N22" s="2889"/>
      <c r="O22" s="2889"/>
      <c r="P22" s="3542"/>
      <c r="Q22" s="1484"/>
      <c r="R22" s="711"/>
      <c r="S22" s="712"/>
      <c r="T22" s="711"/>
      <c r="U22" s="712"/>
      <c r="V22" s="711"/>
      <c r="W22" s="712"/>
      <c r="X22" s="1487"/>
      <c r="Y22" s="3544"/>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5"/>
      <c r="M23" s="2889"/>
      <c r="N23" s="2889"/>
      <c r="O23" s="2889"/>
      <c r="P23" s="3542"/>
      <c r="Q23" s="1484" t="str">
        <f>B23</f>
        <v>自然及人文环境</v>
      </c>
      <c r="R23" s="711" t="s">
        <v>17</v>
      </c>
      <c r="S23" s="712">
        <f>F23</f>
        <v>100</v>
      </c>
      <c r="T23" s="711" t="s">
        <v>17</v>
      </c>
      <c r="U23" s="712">
        <f>H23</f>
        <v>100</v>
      </c>
      <c r="V23" s="711" t="s">
        <v>17</v>
      </c>
      <c r="W23" s="712">
        <f>J23</f>
        <v>100</v>
      </c>
      <c r="X23" s="1487"/>
      <c r="Y23" s="3544"/>
      <c r="Z23" s="1488" t="str">
        <f>Q23</f>
        <v>自然及人文环境</v>
      </c>
      <c r="AA23" s="1485">
        <f t="shared" si="3"/>
        <v>1</v>
      </c>
      <c r="AB23" s="1485">
        <f t="shared" si="4"/>
        <v>1</v>
      </c>
      <c r="AC23" s="1485">
        <f t="shared" si="5"/>
        <v>1</v>
      </c>
    </row>
    <row r="24" spans="1:29" ht="15">
      <c r="A24" s="387"/>
      <c r="B24" s="415"/>
      <c r="C24" s="406" t="s">
        <v>3275</v>
      </c>
      <c r="D24" s="407"/>
      <c r="E24" s="406" t="s">
        <v>3275</v>
      </c>
      <c r="F24" s="408"/>
      <c r="G24" s="406" t="s">
        <v>3275</v>
      </c>
      <c r="H24" s="407"/>
      <c r="I24" s="406" t="s">
        <v>3275</v>
      </c>
      <c r="J24" s="407"/>
      <c r="K24" s="572"/>
      <c r="L24" s="2895"/>
      <c r="M24" s="2889"/>
      <c r="N24" s="2889"/>
      <c r="O24" s="2889"/>
      <c r="P24" s="3542"/>
      <c r="Q24" s="1484"/>
      <c r="R24" s="711"/>
      <c r="S24" s="712"/>
      <c r="T24" s="711"/>
      <c r="U24" s="712"/>
      <c r="V24" s="711"/>
      <c r="W24" s="712"/>
      <c r="X24" s="1487"/>
      <c r="Y24" s="3544"/>
      <c r="Z24" s="1488"/>
      <c r="AA24" s="1485">
        <v>1</v>
      </c>
      <c r="AB24" s="1485">
        <v>1</v>
      </c>
      <c r="AC24" s="1485">
        <v>1</v>
      </c>
    </row>
    <row r="25" spans="1:29" ht="15">
      <c r="A25" s="387"/>
      <c r="B25" s="381" t="s">
        <v>2236</v>
      </c>
      <c r="C25" s="573" t="s">
        <v>3351</v>
      </c>
      <c r="D25" s="394">
        <v>100</v>
      </c>
      <c r="E25" s="573" t="s">
        <v>3351</v>
      </c>
      <c r="F25" s="420">
        <f>SUMIF(86:86,E25,87:87)-SUMIF(86:86,C25,87:87)+100</f>
        <v>100</v>
      </c>
      <c r="G25" s="573" t="s">
        <v>3351</v>
      </c>
      <c r="H25" s="394">
        <f>SUMIF(86:86,G25,87:87)-SUMIF(86:86,C25,87:87)+100</f>
        <v>100</v>
      </c>
      <c r="I25" s="573" t="s">
        <v>3351</v>
      </c>
      <c r="J25" s="394">
        <f>SUMIF(86:86,I25,87:87)-SUMIF(86:86,C25,87:87)+100</f>
        <v>100</v>
      </c>
      <c r="K25" s="569">
        <v>3</v>
      </c>
      <c r="L25" s="2895"/>
      <c r="M25" s="2889"/>
      <c r="N25" s="2889"/>
      <c r="O25" s="2889"/>
      <c r="P25" s="3542"/>
      <c r="Q25" s="1484" t="str">
        <f t="shared" ref="Q25:Q46" si="11">B25</f>
        <v>临街状况</v>
      </c>
      <c r="R25" s="711" t="s">
        <v>17</v>
      </c>
      <c r="S25" s="712">
        <f>F25</f>
        <v>100</v>
      </c>
      <c r="T25" s="711" t="s">
        <v>17</v>
      </c>
      <c r="U25" s="712">
        <f>H25</f>
        <v>100</v>
      </c>
      <c r="V25" s="711" t="s">
        <v>17</v>
      </c>
      <c r="W25" s="712">
        <f>J25</f>
        <v>100</v>
      </c>
      <c r="X25" s="1487"/>
      <c r="Y25" s="3544"/>
      <c r="Z25" s="1488" t="str">
        <f>Q25</f>
        <v>临街状况</v>
      </c>
      <c r="AA25" s="1485">
        <f t="shared" si="3"/>
        <v>1</v>
      </c>
      <c r="AB25" s="1485">
        <f t="shared" si="4"/>
        <v>1</v>
      </c>
      <c r="AC25" s="1485">
        <f t="shared" si="5"/>
        <v>1</v>
      </c>
    </row>
    <row r="26" spans="1:29" ht="15">
      <c r="A26" s="387"/>
      <c r="B26" s="1245" t="s">
        <v>2237</v>
      </c>
      <c r="C26" s="3270" t="s">
        <v>3352</v>
      </c>
      <c r="D26" s="394">
        <v>100</v>
      </c>
      <c r="E26" s="3270" t="s">
        <v>3352</v>
      </c>
      <c r="F26" s="420">
        <f>SUMIF(88:88,E26,89:89)-SUMIF(88:88,C26,89:89)+100</f>
        <v>100</v>
      </c>
      <c r="G26" s="3270" t="s">
        <v>3352</v>
      </c>
      <c r="H26" s="394">
        <f>SUMIF(88:88,G26,89:89)-SUMIF(88:88,C26,89:89)+100</f>
        <v>100</v>
      </c>
      <c r="I26" s="3270" t="s">
        <v>3352</v>
      </c>
      <c r="J26" s="394">
        <f>SUMIF(88:88,I26,89:89)-SUMIF(88:88,C26,89:89)+100</f>
        <v>100</v>
      </c>
      <c r="K26" s="570"/>
      <c r="L26" s="2895"/>
      <c r="M26" s="2889"/>
      <c r="N26" s="2889"/>
      <c r="O26" s="2889"/>
      <c r="P26" s="3542"/>
      <c r="Q26" s="1484" t="str">
        <f t="shared" si="11"/>
        <v>平面位置/可视性</v>
      </c>
      <c r="R26" s="711" t="s">
        <v>17</v>
      </c>
      <c r="S26" s="712">
        <f>F26</f>
        <v>100</v>
      </c>
      <c r="T26" s="711" t="s">
        <v>17</v>
      </c>
      <c r="U26" s="712">
        <f>H26</f>
        <v>100</v>
      </c>
      <c r="V26" s="711" t="s">
        <v>17</v>
      </c>
      <c r="W26" s="712">
        <f>J26</f>
        <v>100</v>
      </c>
      <c r="X26" s="1487"/>
      <c r="Y26" s="3544"/>
      <c r="Z26" s="1488" t="str">
        <f>Q26</f>
        <v>平面位置/可视性</v>
      </c>
      <c r="AA26" s="1485">
        <f t="shared" si="3"/>
        <v>1</v>
      </c>
      <c r="AB26" s="1485">
        <f t="shared" si="4"/>
        <v>1</v>
      </c>
      <c r="AC26" s="1485">
        <f t="shared" si="5"/>
        <v>1</v>
      </c>
    </row>
    <row r="27" spans="1:29" s="113" customFormat="1" ht="15">
      <c r="A27" s="390"/>
      <c r="B27" s="410" t="s">
        <v>2238</v>
      </c>
      <c r="C27" s="2090" t="s">
        <v>3324</v>
      </c>
      <c r="D27" s="421">
        <v>100</v>
      </c>
      <c r="E27" s="2090" t="s">
        <v>3324</v>
      </c>
      <c r="F27" s="423">
        <f>SUMIF(90:90,E27,91:91)-SUMIF(90:90,C27,91:91)+100</f>
        <v>100</v>
      </c>
      <c r="G27" s="2090" t="s">
        <v>3344</v>
      </c>
      <c r="H27" s="421">
        <f>SUMIF(90:90,G27,91:91)-SUMIF(90:90,C27,91:91)+100</f>
        <v>110</v>
      </c>
      <c r="I27" s="2090" t="s">
        <v>3345</v>
      </c>
      <c r="J27" s="421">
        <f>SUMIF(90:90,I27,91:91)-SUMIF(90:90,C27,91:91)+100</f>
        <v>105</v>
      </c>
      <c r="K27" s="569">
        <v>5</v>
      </c>
      <c r="L27" s="2890"/>
      <c r="M27" s="2891"/>
      <c r="N27" s="2891"/>
      <c r="O27" s="2891"/>
      <c r="P27" s="3542"/>
      <c r="Q27" s="1475" t="str">
        <f t="shared" si="11"/>
        <v>人流量</v>
      </c>
      <c r="R27" s="707" t="s">
        <v>17</v>
      </c>
      <c r="S27" s="708">
        <f>F27</f>
        <v>100</v>
      </c>
      <c r="T27" s="707" t="s">
        <v>17</v>
      </c>
      <c r="U27" s="708">
        <f>H27</f>
        <v>110</v>
      </c>
      <c r="V27" s="707" t="s">
        <v>17</v>
      </c>
      <c r="W27" s="708">
        <f>J27</f>
        <v>105</v>
      </c>
      <c r="X27" s="709"/>
      <c r="Y27" s="3544"/>
      <c r="Z27" s="55" t="str">
        <f>Q27</f>
        <v>人流量</v>
      </c>
      <c r="AA27" s="1485">
        <f>D27/F27</f>
        <v>1</v>
      </c>
      <c r="AB27" s="1485">
        <f>D27/H27</f>
        <v>0.90909090909090906</v>
      </c>
      <c r="AC27" s="1485">
        <f>D27/J27</f>
        <v>0.95238095238095233</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5"/>
      <c r="M28" s="2889"/>
      <c r="N28" s="2889"/>
      <c r="O28" s="2889"/>
      <c r="P28" s="3542"/>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44"/>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42"/>
      <c r="Q29" s="1484">
        <f t="shared" si="11"/>
        <v>111</v>
      </c>
      <c r="R29" s="711" t="s">
        <v>17</v>
      </c>
      <c r="S29" s="712">
        <f t="shared" si="12"/>
        <v>100</v>
      </c>
      <c r="T29" s="711" t="s">
        <v>17</v>
      </c>
      <c r="U29" s="712">
        <f t="shared" si="13"/>
        <v>100</v>
      </c>
      <c r="V29" s="711" t="s">
        <v>17</v>
      </c>
      <c r="W29" s="712">
        <f t="shared" si="14"/>
        <v>100</v>
      </c>
      <c r="X29" s="1487"/>
      <c r="Y29" s="3544"/>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42"/>
      <c r="Q30" s="1484">
        <f t="shared" si="11"/>
        <v>111</v>
      </c>
      <c r="R30" s="711" t="s">
        <v>17</v>
      </c>
      <c r="S30" s="712">
        <f t="shared" si="12"/>
        <v>100</v>
      </c>
      <c r="T30" s="711" t="s">
        <v>17</v>
      </c>
      <c r="U30" s="712">
        <f t="shared" si="13"/>
        <v>100</v>
      </c>
      <c r="V30" s="711" t="s">
        <v>17</v>
      </c>
      <c r="W30" s="712">
        <f t="shared" si="14"/>
        <v>100</v>
      </c>
      <c r="X30" s="1487"/>
      <c r="Y30" s="3544"/>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42"/>
      <c r="Q31" s="1484">
        <f t="shared" si="11"/>
        <v>111</v>
      </c>
      <c r="R31" s="711" t="s">
        <v>17</v>
      </c>
      <c r="S31" s="712">
        <f t="shared" si="12"/>
        <v>100</v>
      </c>
      <c r="T31" s="711" t="s">
        <v>17</v>
      </c>
      <c r="U31" s="712">
        <f t="shared" si="13"/>
        <v>100</v>
      </c>
      <c r="V31" s="711" t="s">
        <v>17</v>
      </c>
      <c r="W31" s="712">
        <f t="shared" si="14"/>
        <v>100</v>
      </c>
      <c r="X31" s="1487"/>
      <c r="Y31" s="3544"/>
      <c r="Z31" s="1488">
        <f t="shared" si="15"/>
        <v>111</v>
      </c>
      <c r="AA31" s="1485">
        <f t="shared" si="3"/>
        <v>1</v>
      </c>
      <c r="AB31" s="1485">
        <f t="shared" si="4"/>
        <v>1</v>
      </c>
      <c r="AC31" s="1485">
        <f t="shared" si="5"/>
        <v>1</v>
      </c>
    </row>
    <row r="32" spans="1:29" ht="15">
      <c r="A32" s="399" t="s">
        <v>2143</v>
      </c>
      <c r="B32" s="67" t="s">
        <v>2240</v>
      </c>
      <c r="C32" s="2044" t="s">
        <v>3354</v>
      </c>
      <c r="D32" s="426">
        <v>100</v>
      </c>
      <c r="E32" s="2044" t="s">
        <v>3354</v>
      </c>
      <c r="F32" s="420">
        <f>SUMIF(100:100,E32,101:101)-SUMIF(100:100,C32,101:101)+100</f>
        <v>100</v>
      </c>
      <c r="G32" s="2044" t="s">
        <v>3354</v>
      </c>
      <c r="H32" s="394">
        <f>SUMIF(100:100,G32,101:101)-SUMIF(100:100,C32,101:101)+100</f>
        <v>100</v>
      </c>
      <c r="I32" s="2044" t="s">
        <v>3354</v>
      </c>
      <c r="J32" s="426">
        <f>SUMIF(100:100,I32,101:101)-SUMIF(100:100,C32,101:101)+100</f>
        <v>100</v>
      </c>
      <c r="K32" s="569">
        <v>3</v>
      </c>
      <c r="L32" s="2895"/>
      <c r="M32" s="2889"/>
      <c r="N32" s="2889"/>
      <c r="O32" s="2889"/>
      <c r="P32" s="3545" t="s">
        <v>2145</v>
      </c>
      <c r="Q32" s="1484" t="str">
        <f t="shared" si="11"/>
        <v>商业类型</v>
      </c>
      <c r="R32" s="711" t="s">
        <v>17</v>
      </c>
      <c r="S32" s="712">
        <f t="shared" si="12"/>
        <v>100</v>
      </c>
      <c r="T32" s="711" t="s">
        <v>17</v>
      </c>
      <c r="U32" s="712">
        <f t="shared" si="13"/>
        <v>100</v>
      </c>
      <c r="V32" s="711" t="s">
        <v>17</v>
      </c>
      <c r="W32" s="712">
        <f t="shared" si="14"/>
        <v>100</v>
      </c>
      <c r="X32" s="1487"/>
      <c r="Y32" s="3548"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4"/>
      <c r="M33" s="2896"/>
      <c r="N33" s="2896"/>
      <c r="O33" s="2896"/>
      <c r="P33" s="3546"/>
      <c r="Q33" s="713" t="str">
        <f t="shared" si="11"/>
        <v>项目建筑规模</v>
      </c>
      <c r="R33" s="714" t="s">
        <v>17</v>
      </c>
      <c r="S33" s="715">
        <f t="shared" si="12"/>
        <v>101</v>
      </c>
      <c r="T33" s="714" t="s">
        <v>17</v>
      </c>
      <c r="U33" s="715">
        <f t="shared" si="13"/>
        <v>101</v>
      </c>
      <c r="V33" s="714" t="s">
        <v>17</v>
      </c>
      <c r="W33" s="715">
        <f t="shared" si="14"/>
        <v>101</v>
      </c>
      <c r="X33" s="716"/>
      <c r="Y33" s="3548"/>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5"/>
      <c r="M34" s="2889"/>
      <c r="N34" s="2889"/>
      <c r="O34" s="2889"/>
      <c r="P34" s="3546"/>
      <c r="Q34" s="1484" t="str">
        <f t="shared" si="11"/>
        <v>建筑结构</v>
      </c>
      <c r="R34" s="711" t="s">
        <v>17</v>
      </c>
      <c r="S34" s="712">
        <f t="shared" si="12"/>
        <v>100</v>
      </c>
      <c r="T34" s="711" t="s">
        <v>17</v>
      </c>
      <c r="U34" s="712">
        <f t="shared" si="13"/>
        <v>100</v>
      </c>
      <c r="V34" s="711" t="s">
        <v>17</v>
      </c>
      <c r="W34" s="712">
        <f t="shared" si="14"/>
        <v>100</v>
      </c>
      <c r="X34" s="1487"/>
      <c r="Y34" s="3548"/>
      <c r="Z34" s="1488" t="str">
        <f t="shared" si="15"/>
        <v>建筑结构</v>
      </c>
      <c r="AA34" s="1485">
        <f t="shared" si="3"/>
        <v>1</v>
      </c>
      <c r="AB34" s="1485">
        <f t="shared" si="4"/>
        <v>1</v>
      </c>
      <c r="AC34" s="1485">
        <f t="shared" si="5"/>
        <v>1</v>
      </c>
    </row>
    <row r="35" spans="1:29" ht="15">
      <c r="A35" s="431"/>
      <c r="B35" s="381" t="s">
        <v>2241</v>
      </c>
      <c r="C35" s="2040" t="s">
        <v>3305</v>
      </c>
      <c r="D35" s="394">
        <v>100</v>
      </c>
      <c r="E35" s="2040" t="s">
        <v>3305</v>
      </c>
      <c r="F35" s="420">
        <f>SUMIF(107:107,E35,108:108)-SUMIF(107:107,C35,108:108)+100</f>
        <v>100</v>
      </c>
      <c r="G35" s="2040" t="s">
        <v>3305</v>
      </c>
      <c r="H35" s="394">
        <f>SUMIF(107:107,G35,108:108)-SUMIF(107:107,C35,108:108)+100</f>
        <v>100</v>
      </c>
      <c r="I35" s="2040" t="s">
        <v>3305</v>
      </c>
      <c r="J35" s="394">
        <f>SUMIF(107:107,I35,108:108)-SUMIF(107:107,C35,108:108)+100</f>
        <v>100</v>
      </c>
      <c r="K35" s="569">
        <v>2</v>
      </c>
      <c r="L35" s="2895"/>
      <c r="M35" s="2889"/>
      <c r="N35" s="2889"/>
      <c r="O35" s="2889"/>
      <c r="P35" s="3546"/>
      <c r="Q35" s="1484" t="str">
        <f t="shared" si="11"/>
        <v>公共部分装修</v>
      </c>
      <c r="R35" s="711" t="s">
        <v>17</v>
      </c>
      <c r="S35" s="712">
        <f t="shared" si="12"/>
        <v>100</v>
      </c>
      <c r="T35" s="711" t="s">
        <v>17</v>
      </c>
      <c r="U35" s="712">
        <f t="shared" si="13"/>
        <v>100</v>
      </c>
      <c r="V35" s="711" t="s">
        <v>17</v>
      </c>
      <c r="W35" s="712">
        <f t="shared" si="14"/>
        <v>100</v>
      </c>
      <c r="X35" s="1487"/>
      <c r="Y35" s="3548"/>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5"/>
      <c r="M36" s="2889"/>
      <c r="N36" s="2889"/>
      <c r="O36" s="2889"/>
      <c r="P36" s="3546"/>
      <c r="Q36" s="1484" t="str">
        <f t="shared" si="11"/>
        <v>成新度</v>
      </c>
      <c r="R36" s="711" t="s">
        <v>17</v>
      </c>
      <c r="S36" s="712">
        <f t="shared" si="12"/>
        <v>100</v>
      </c>
      <c r="T36" s="711" t="s">
        <v>17</v>
      </c>
      <c r="U36" s="712">
        <f t="shared" si="13"/>
        <v>100</v>
      </c>
      <c r="V36" s="711" t="s">
        <v>17</v>
      </c>
      <c r="W36" s="712">
        <f t="shared" si="14"/>
        <v>100</v>
      </c>
      <c r="X36" s="1487"/>
      <c r="Y36" s="3548"/>
      <c r="Z36" s="1488" t="str">
        <f t="shared" si="15"/>
        <v>成新度</v>
      </c>
      <c r="AA36" s="1485">
        <f t="shared" si="3"/>
        <v>1</v>
      </c>
      <c r="AB36" s="1485">
        <f t="shared" si="4"/>
        <v>1</v>
      </c>
      <c r="AC36" s="1485">
        <f t="shared" si="5"/>
        <v>1</v>
      </c>
    </row>
    <row r="37" spans="1:29" s="113" customFormat="1" ht="15">
      <c r="A37" s="432"/>
      <c r="B37" s="381" t="s">
        <v>2243</v>
      </c>
      <c r="C37" s="419" t="s">
        <v>3307</v>
      </c>
      <c r="D37" s="132">
        <v>100</v>
      </c>
      <c r="E37" s="419" t="s">
        <v>3307</v>
      </c>
      <c r="F37" s="420">
        <f>SUMIF(112:112,E37,113:113)-SUMIF(112:112,C37,113:113)+100</f>
        <v>100</v>
      </c>
      <c r="G37" s="419" t="s">
        <v>3307</v>
      </c>
      <c r="H37" s="394">
        <f>SUMIF(112:112,G37,113:113)-SUMIF(112:112,C37,113:113)+100</f>
        <v>100</v>
      </c>
      <c r="I37" s="419" t="s">
        <v>3307</v>
      </c>
      <c r="J37" s="394">
        <f>SUMIF(112:112,I37,113:113)-SUMIF(112:112,C37,113:113)+100</f>
        <v>100</v>
      </c>
      <c r="K37" s="569">
        <v>1</v>
      </c>
      <c r="L37" s="2890"/>
      <c r="M37" s="2891"/>
      <c r="N37" s="2891"/>
      <c r="O37" s="2891"/>
      <c r="P37" s="3546"/>
      <c r="Q37" s="1475" t="str">
        <f t="shared" si="11"/>
        <v>市政基础设施</v>
      </c>
      <c r="R37" s="707" t="s">
        <v>17</v>
      </c>
      <c r="S37" s="708">
        <f t="shared" si="12"/>
        <v>100</v>
      </c>
      <c r="T37" s="707" t="s">
        <v>17</v>
      </c>
      <c r="U37" s="708">
        <f t="shared" si="13"/>
        <v>100</v>
      </c>
      <c r="V37" s="707" t="s">
        <v>17</v>
      </c>
      <c r="W37" s="708">
        <f t="shared" si="14"/>
        <v>100</v>
      </c>
      <c r="X37" s="709"/>
      <c r="Y37" s="3548"/>
      <c r="Z37" s="55" t="str">
        <f t="shared" si="15"/>
        <v>市政基础设施</v>
      </c>
      <c r="AA37" s="710">
        <f t="shared" si="3"/>
        <v>1</v>
      </c>
      <c r="AB37" s="710">
        <f t="shared" si="4"/>
        <v>1</v>
      </c>
      <c r="AC37" s="710">
        <f t="shared" si="5"/>
        <v>1</v>
      </c>
    </row>
    <row r="38" spans="1:29" ht="15">
      <c r="A38" s="431"/>
      <c r="B38" s="381" t="s">
        <v>2244</v>
      </c>
      <c r="C38" s="2040" t="s">
        <v>3337</v>
      </c>
      <c r="D38" s="394">
        <v>100</v>
      </c>
      <c r="E38" s="2040" t="s">
        <v>3337</v>
      </c>
      <c r="F38" s="420">
        <f>SUMIF(114:114,E38,115:115)-SUMIF(114:114,C38,115:115)+100</f>
        <v>100</v>
      </c>
      <c r="G38" s="2040" t="s">
        <v>3337</v>
      </c>
      <c r="H38" s="394">
        <f>SUMIF(114:114,G38,115:115)-SUMIF(114:114,C38,115:115)+100</f>
        <v>100</v>
      </c>
      <c r="I38" s="2040" t="s">
        <v>3337</v>
      </c>
      <c r="J38" s="394">
        <f>SUMIF(114:114,I38,115:115)-SUMIF(114:114,C38,115:115)+100</f>
        <v>100</v>
      </c>
      <c r="K38" s="569">
        <v>2</v>
      </c>
      <c r="L38" s="2895"/>
      <c r="M38" s="2889"/>
      <c r="N38" s="2889"/>
      <c r="O38" s="2889"/>
      <c r="P38" s="3546" t="s">
        <v>2145</v>
      </c>
      <c r="Q38" s="1484" t="str">
        <f t="shared" si="11"/>
        <v>业态</v>
      </c>
      <c r="R38" s="711" t="s">
        <v>17</v>
      </c>
      <c r="S38" s="712">
        <f t="shared" si="12"/>
        <v>100</v>
      </c>
      <c r="T38" s="711" t="s">
        <v>17</v>
      </c>
      <c r="U38" s="712">
        <f t="shared" si="13"/>
        <v>100</v>
      </c>
      <c r="V38" s="711" t="s">
        <v>17</v>
      </c>
      <c r="W38" s="712">
        <f t="shared" si="14"/>
        <v>100</v>
      </c>
      <c r="X38" s="1487"/>
      <c r="Y38" s="3548" t="s">
        <v>2145</v>
      </c>
      <c r="Z38" s="1488" t="str">
        <f t="shared" si="15"/>
        <v>业态</v>
      </c>
      <c r="AA38" s="1485">
        <f t="shared" si="3"/>
        <v>1</v>
      </c>
      <c r="AB38" s="1485">
        <f t="shared" si="4"/>
        <v>1</v>
      </c>
      <c r="AC38" s="1485">
        <f t="shared" si="5"/>
        <v>1</v>
      </c>
    </row>
    <row r="39" spans="1:29" ht="15">
      <c r="A39" s="431"/>
      <c r="B39" s="381" t="s">
        <v>2245</v>
      </c>
      <c r="C39" s="2040" t="s">
        <v>3353</v>
      </c>
      <c r="D39" s="394">
        <v>100</v>
      </c>
      <c r="E39" s="2040" t="s">
        <v>3353</v>
      </c>
      <c r="F39" s="420">
        <f>SUMIF(116:116,E39,117:117)-SUMIF(116:116,C39,117:117)+100</f>
        <v>100</v>
      </c>
      <c r="G39" s="2040" t="s">
        <v>3353</v>
      </c>
      <c r="H39" s="394">
        <f>SUMIF(116:116,G39,117:117)-SUMIF(116:116,C39,117:117)+100</f>
        <v>100</v>
      </c>
      <c r="I39" s="2040" t="s">
        <v>3353</v>
      </c>
      <c r="J39" s="394">
        <f>SUMIF(116:116,I39,117:117)-SUMIF(116:116,C39,117:117)+100</f>
        <v>100</v>
      </c>
      <c r="K39" s="569">
        <v>2</v>
      </c>
      <c r="L39" s="2895"/>
      <c r="M39" s="2889"/>
      <c r="N39" s="2889"/>
      <c r="O39" s="2889"/>
      <c r="P39" s="3546"/>
      <c r="Q39" s="1484" t="str">
        <f t="shared" si="11"/>
        <v>层高</v>
      </c>
      <c r="R39" s="711" t="s">
        <v>17</v>
      </c>
      <c r="S39" s="712">
        <f t="shared" si="12"/>
        <v>100</v>
      </c>
      <c r="T39" s="711" t="s">
        <v>17</v>
      </c>
      <c r="U39" s="712">
        <f t="shared" si="13"/>
        <v>100</v>
      </c>
      <c r="V39" s="711" t="s">
        <v>17</v>
      </c>
      <c r="W39" s="712">
        <f t="shared" si="14"/>
        <v>100</v>
      </c>
      <c r="X39" s="1487"/>
      <c r="Y39" s="3548"/>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5"/>
      <c r="M40" s="2889"/>
      <c r="N40" s="2889"/>
      <c r="O40" s="2889"/>
      <c r="P40" s="3546"/>
      <c r="Q40" s="1484" t="str">
        <f t="shared" si="11"/>
        <v>单套建筑面积</v>
      </c>
      <c r="R40" s="711" t="s">
        <v>17</v>
      </c>
      <c r="S40" s="712">
        <f t="shared" si="12"/>
        <v>100</v>
      </c>
      <c r="T40" s="711" t="s">
        <v>17</v>
      </c>
      <c r="U40" s="712">
        <f t="shared" si="13"/>
        <v>100</v>
      </c>
      <c r="V40" s="711" t="s">
        <v>17</v>
      </c>
      <c r="W40" s="712">
        <f t="shared" si="14"/>
        <v>100</v>
      </c>
      <c r="X40" s="1487"/>
      <c r="Y40" s="3548"/>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46"/>
      <c r="Q41" s="713" t="str">
        <f t="shared" si="11"/>
        <v>进深比</v>
      </c>
      <c r="R41" s="714" t="s">
        <v>17</v>
      </c>
      <c r="S41" s="715">
        <f t="shared" si="12"/>
        <v>100</v>
      </c>
      <c r="T41" s="714" t="s">
        <v>17</v>
      </c>
      <c r="U41" s="715">
        <f t="shared" si="13"/>
        <v>100</v>
      </c>
      <c r="V41" s="714" t="s">
        <v>17</v>
      </c>
      <c r="W41" s="715">
        <f t="shared" si="14"/>
        <v>100</v>
      </c>
      <c r="X41" s="716"/>
      <c r="Y41" s="3548"/>
      <c r="Z41" s="717" t="str">
        <f t="shared" si="15"/>
        <v>进深比</v>
      </c>
      <c r="AA41" s="1485">
        <f t="shared" si="3"/>
        <v>1</v>
      </c>
      <c r="AB41" s="1485">
        <f t="shared" si="4"/>
        <v>1</v>
      </c>
      <c r="AC41" s="1485">
        <f t="shared" si="5"/>
        <v>1</v>
      </c>
    </row>
    <row r="42" spans="1:29" ht="15">
      <c r="A42" s="431"/>
      <c r="B42" s="381" t="s">
        <v>2248</v>
      </c>
      <c r="C42" s="2040" t="s">
        <v>3305</v>
      </c>
      <c r="D42" s="394">
        <v>100</v>
      </c>
      <c r="E42" s="2040" t="s">
        <v>3366</v>
      </c>
      <c r="F42" s="420">
        <f>SUMIF(122:122,E42,123:123)-SUMIF(122:122,C42,123:123)+100</f>
        <v>98</v>
      </c>
      <c r="G42" s="2040" t="s">
        <v>3358</v>
      </c>
      <c r="H42" s="394">
        <f>SUMIF(122:122,G42,123:123)-SUMIF(122:122,C42,123:123)+100</f>
        <v>96</v>
      </c>
      <c r="I42" s="2040" t="s">
        <v>3305</v>
      </c>
      <c r="J42" s="394">
        <f>SUMIF(122:122,I42,123:123)-SUMIF(122:122,C42,123:123)+100</f>
        <v>100</v>
      </c>
      <c r="K42" s="569">
        <v>2</v>
      </c>
      <c r="L42" s="2895"/>
      <c r="M42" s="2889"/>
      <c r="N42" s="2889"/>
      <c r="O42" s="2889"/>
      <c r="P42" s="3546"/>
      <c r="Q42" s="1484" t="str">
        <f t="shared" si="11"/>
        <v>内部装修</v>
      </c>
      <c r="R42" s="711" t="s">
        <v>17</v>
      </c>
      <c r="S42" s="712">
        <f t="shared" si="12"/>
        <v>98</v>
      </c>
      <c r="T42" s="711" t="s">
        <v>17</v>
      </c>
      <c r="U42" s="712">
        <f t="shared" si="13"/>
        <v>96</v>
      </c>
      <c r="V42" s="711" t="s">
        <v>17</v>
      </c>
      <c r="W42" s="712">
        <f t="shared" si="14"/>
        <v>100</v>
      </c>
      <c r="X42" s="1487"/>
      <c r="Y42" s="3548"/>
      <c r="Z42" s="1488" t="str">
        <f t="shared" si="15"/>
        <v>内部装修</v>
      </c>
      <c r="AA42" s="1485">
        <f t="shared" si="3"/>
        <v>1.0204081632653061</v>
      </c>
      <c r="AB42" s="1485">
        <f t="shared" si="4"/>
        <v>1.0416666666666667</v>
      </c>
      <c r="AC42" s="1485">
        <f t="shared" si="5"/>
        <v>1</v>
      </c>
    </row>
    <row r="43" spans="1:29" ht="15">
      <c r="A43" s="431"/>
      <c r="B43" s="381" t="s">
        <v>2156</v>
      </c>
      <c r="C43" s="2040" t="s">
        <v>3275</v>
      </c>
      <c r="D43" s="394">
        <v>100</v>
      </c>
      <c r="E43" s="2040" t="s">
        <v>3275</v>
      </c>
      <c r="F43" s="420">
        <f>SUMIF(124:124,E43,125:125)-SUMIF(124:124,C43,125:125)+100</f>
        <v>100</v>
      </c>
      <c r="G43" s="2040" t="s">
        <v>3275</v>
      </c>
      <c r="H43" s="394">
        <f>SUMIF(124:124,G43,125:125)-SUMIF(124:124,C43,125:125)+100</f>
        <v>100</v>
      </c>
      <c r="I43" s="2040" t="s">
        <v>3275</v>
      </c>
      <c r="J43" s="394">
        <f>SUMIF(124:124,I43,125:125)-SUMIF(124:124,C43,125:125)+100</f>
        <v>100</v>
      </c>
      <c r="K43" s="569">
        <v>2</v>
      </c>
      <c r="L43" s="2895"/>
      <c r="M43" s="2889"/>
      <c r="N43" s="2889"/>
      <c r="O43" s="2889"/>
      <c r="P43" s="3546"/>
      <c r="Q43" s="1484" t="str">
        <f t="shared" si="11"/>
        <v>内部装修维护情况</v>
      </c>
      <c r="R43" s="711" t="s">
        <v>17</v>
      </c>
      <c r="S43" s="712">
        <f t="shared" si="12"/>
        <v>100</v>
      </c>
      <c r="T43" s="711" t="s">
        <v>17</v>
      </c>
      <c r="U43" s="712">
        <f t="shared" si="13"/>
        <v>100</v>
      </c>
      <c r="V43" s="711" t="s">
        <v>17</v>
      </c>
      <c r="W43" s="712">
        <f t="shared" si="14"/>
        <v>100</v>
      </c>
      <c r="X43" s="1487"/>
      <c r="Y43" s="3548"/>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46"/>
      <c r="Q44" s="1475">
        <f t="shared" si="11"/>
        <v>111</v>
      </c>
      <c r="R44" s="707" t="s">
        <v>17</v>
      </c>
      <c r="S44" s="708">
        <f t="shared" si="12"/>
        <v>100</v>
      </c>
      <c r="T44" s="707" t="s">
        <v>17</v>
      </c>
      <c r="U44" s="708">
        <f t="shared" si="13"/>
        <v>100</v>
      </c>
      <c r="V44" s="707" t="s">
        <v>17</v>
      </c>
      <c r="W44" s="708">
        <f t="shared" si="14"/>
        <v>100</v>
      </c>
      <c r="X44" s="709"/>
      <c r="Y44" s="3548"/>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46"/>
      <c r="Q45" s="1484">
        <f t="shared" si="11"/>
        <v>111</v>
      </c>
      <c r="R45" s="711" t="s">
        <v>17</v>
      </c>
      <c r="S45" s="712">
        <f t="shared" si="12"/>
        <v>100</v>
      </c>
      <c r="T45" s="711" t="s">
        <v>17</v>
      </c>
      <c r="U45" s="712">
        <f t="shared" si="13"/>
        <v>100</v>
      </c>
      <c r="V45" s="711" t="s">
        <v>17</v>
      </c>
      <c r="W45" s="712">
        <f t="shared" si="14"/>
        <v>100</v>
      </c>
      <c r="X45" s="1487"/>
      <c r="Y45" s="3548"/>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47"/>
      <c r="Q46" s="1484">
        <f t="shared" si="11"/>
        <v>111</v>
      </c>
      <c r="R46" s="711" t="s">
        <v>17</v>
      </c>
      <c r="S46" s="712">
        <f t="shared" si="12"/>
        <v>100</v>
      </c>
      <c r="T46" s="711" t="s">
        <v>17</v>
      </c>
      <c r="U46" s="712">
        <f t="shared" si="13"/>
        <v>100</v>
      </c>
      <c r="V46" s="711" t="s">
        <v>17</v>
      </c>
      <c r="W46" s="712">
        <f t="shared" si="14"/>
        <v>100</v>
      </c>
      <c r="X46" s="1487"/>
      <c r="Y46" s="3549"/>
      <c r="Z46" s="1488">
        <f t="shared" si="15"/>
        <v>111</v>
      </c>
      <c r="AA46" s="1485">
        <f t="shared" si="3"/>
        <v>1</v>
      </c>
      <c r="AB46" s="1485">
        <f t="shared" si="4"/>
        <v>1</v>
      </c>
      <c r="AC46" s="1485">
        <f t="shared" si="5"/>
        <v>1</v>
      </c>
    </row>
    <row r="47" spans="1:29" ht="15">
      <c r="A47" s="438" t="s">
        <v>2157</v>
      </c>
      <c r="B47" s="439"/>
      <c r="C47" s="1266" t="s">
        <v>1</v>
      </c>
      <c r="D47" s="1267"/>
      <c r="E47" s="1268">
        <f>ROUND(105500*E50,0)</f>
        <v>100225</v>
      </c>
      <c r="F47" s="1269"/>
      <c r="G47" s="1268">
        <f>ROUND(100000*G50,0)</f>
        <v>95000</v>
      </c>
      <c r="H47" s="1271"/>
      <c r="I47" s="1268">
        <f>ROUND(101429*I50,0)</f>
        <v>96358</v>
      </c>
      <c r="J47" s="1271"/>
      <c r="K47" s="720"/>
      <c r="L47" s="2897"/>
      <c r="M47" s="2898"/>
      <c r="N47" s="2889"/>
      <c r="O47" s="2898"/>
      <c r="P47" s="3550" t="str">
        <f>A47</f>
        <v>成交单价（元/平方米）</v>
      </c>
      <c r="Q47" s="3550"/>
      <c r="R47" s="3538">
        <f>E47</f>
        <v>100225</v>
      </c>
      <c r="S47" s="3538"/>
      <c r="T47" s="3538">
        <f>G47</f>
        <v>95000</v>
      </c>
      <c r="U47" s="3538"/>
      <c r="V47" s="3538">
        <f>I47</f>
        <v>96358</v>
      </c>
      <c r="W47" s="3538"/>
      <c r="X47" s="696"/>
      <c r="Y47" s="718"/>
      <c r="Z47" s="696"/>
      <c r="AA47" s="696"/>
      <c r="AB47" s="696"/>
      <c r="AC47" s="696"/>
    </row>
    <row r="48" spans="1:29" ht="15.75" thickBot="1">
      <c r="A48" s="445" t="s">
        <v>2249</v>
      </c>
      <c r="B48" s="446"/>
      <c r="C48" s="1272">
        <f>R49</f>
        <v>92577</v>
      </c>
      <c r="D48" s="2485" t="s">
        <v>2636</v>
      </c>
      <c r="E48" s="1273">
        <f>R48</f>
        <v>101258</v>
      </c>
      <c r="F48" s="2486"/>
      <c r="G48" s="1272">
        <f>T48</f>
        <v>85613</v>
      </c>
      <c r="H48" s="2486"/>
      <c r="I48" s="1273">
        <f>V48</f>
        <v>90861</v>
      </c>
      <c r="J48" s="2486"/>
      <c r="K48" s="2488">
        <f>F48+H48+J48</f>
        <v>0</v>
      </c>
      <c r="L48" s="2897"/>
      <c r="M48" s="2898"/>
      <c r="N48" s="2889"/>
      <c r="O48" s="2898"/>
      <c r="P48" s="3550" t="str">
        <f>A48</f>
        <v>比较价值（元/平方米）</v>
      </c>
      <c r="Q48" s="3550"/>
      <c r="R48" s="3551">
        <f>IF(F1="售价",ROUND(PRODUCT(R47,AA7:AA46),0),ROUND(PRODUCT(R47,AA7:AA46),1))</f>
        <v>101258</v>
      </c>
      <c r="S48" s="3551"/>
      <c r="T48" s="3551">
        <f>IF(F1="售价",ROUND(PRODUCT(T47,AB7:AB46),0),ROUND(PRODUCT(T47,AB7:AB46),1))</f>
        <v>85613</v>
      </c>
      <c r="U48" s="3551"/>
      <c r="V48" s="3551">
        <f>IF(F1="售价",ROUND(PRODUCT(V47,AC7:AC46),0),ROUND(PRODUCT(V47,AC7:AC46),1))</f>
        <v>90861</v>
      </c>
      <c r="W48" s="3551"/>
      <c r="X48" s="696"/>
      <c r="Y48" s="696"/>
      <c r="Z48" s="696"/>
      <c r="AA48" s="696"/>
      <c r="AB48" s="696"/>
      <c r="AC48" s="696"/>
    </row>
    <row r="49" spans="1:29" ht="15.75" thickBot="1">
      <c r="A49" s="449" t="s">
        <v>2250</v>
      </c>
      <c r="B49" s="450"/>
      <c r="C49" s="1275">
        <f>R49</f>
        <v>92577</v>
      </c>
      <c r="D49" s="1275"/>
      <c r="E49" s="1275"/>
      <c r="F49" s="1275"/>
      <c r="G49" s="1275"/>
      <c r="H49" s="1275"/>
      <c r="I49" s="1275"/>
      <c r="J49" s="1275"/>
      <c r="K49" s="721"/>
      <c r="L49" s="2897"/>
      <c r="M49" s="2898"/>
      <c r="N49" s="2889"/>
      <c r="O49" s="2898"/>
      <c r="P49" s="3589" t="str">
        <f>A49</f>
        <v>估价对象XX用房的比较价值（楼面单价，元/平方米）</v>
      </c>
      <c r="Q49" s="3590"/>
      <c r="R49" s="3591">
        <f>IF(F1="售价",ROUND(IF(D48="简单平均",AVERAGE(R48:V48),R48*F48+T48*H48+V48*J48),0),ROUND(IF(D48="简单平均",AVERAGE(R48:V48),R48*F48+T48*H48+V48*J48),1))</f>
        <v>92577</v>
      </c>
      <c r="S49" s="3591"/>
      <c r="T49" s="3591"/>
      <c r="U49" s="3591"/>
      <c r="V49" s="3591"/>
      <c r="W49" s="3591"/>
      <c r="X49" s="696"/>
      <c r="Y49" s="696"/>
      <c r="Z49" s="696"/>
      <c r="AA49" s="696"/>
      <c r="AB49" s="696"/>
      <c r="AC49" s="696"/>
    </row>
    <row r="50" spans="1:29">
      <c r="A50" s="2898"/>
      <c r="B50" s="2898"/>
      <c r="C50" s="2898"/>
      <c r="D50" s="2898"/>
      <c r="E50" s="2898">
        <v>0.95</v>
      </c>
      <c r="F50" s="2898"/>
      <c r="G50" s="2898">
        <f>E50</f>
        <v>0.95</v>
      </c>
      <c r="H50" s="2898"/>
      <c r="I50" s="2898">
        <f>G50</f>
        <v>0.95</v>
      </c>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2251</v>
      </c>
      <c r="D52" s="455"/>
      <c r="E52" s="456">
        <f>IF(E47&lt;E48,E48/E47-1,E47/E48-1)</f>
        <v>1.0306809678223949E-2</v>
      </c>
      <c r="F52" s="457" t="str">
        <f>IF(OR(E52&gt;=0.3,E52&lt;=-0.3),"超过30%","")</f>
        <v/>
      </c>
      <c r="G52" s="456">
        <f>IF(G47&lt;G48,G48/G47-1,G47/G48-1)</f>
        <v>0.10964456332566308</v>
      </c>
      <c r="H52" s="457" t="str">
        <f>IF(OR(G52&gt;=0.3,G52&lt;=-0.3),"超过30%","")</f>
        <v/>
      </c>
      <c r="I52" s="456">
        <f>IF(I47&lt;I48,I48/I47-1,I47/I48-1)</f>
        <v>6.0499003973101706E-2</v>
      </c>
      <c r="J52" s="457" t="str">
        <f>IF(OR(I52&gt;=0.3,I52&lt;=-0.3),"超过30%","")</f>
        <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2252</v>
      </c>
      <c r="D53" s="458"/>
      <c r="E53" s="456">
        <f>IF(E48&lt;G48,G48/E48-1,E48/G48-1)</f>
        <v>0.18274093887610521</v>
      </c>
      <c r="F53" s="457" t="str">
        <f>IF(OR(E53&gt;=0.2,E53&lt;=-0.2),"超过20%","")</f>
        <v/>
      </c>
      <c r="G53" s="456">
        <f>IF(G48&lt;I48,I48/G48-1,G48/I48-1)</f>
        <v>6.12991017719271E-2</v>
      </c>
      <c r="H53" s="457" t="str">
        <f>IF(OR(G53&gt;=0.2,G53&lt;=-0.2),"超过20%","")</f>
        <v/>
      </c>
      <c r="I53" s="456">
        <f>IF(I48&lt;E48,E48/I48-1,I48/E48-1)</f>
        <v>0.11442753216451496</v>
      </c>
      <c r="J53" s="457" t="str">
        <f>IF(OR(I53&gt;=0.2,I53&lt;=-0.2),"超过20%","")</f>
        <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2253</v>
      </c>
      <c r="D54" s="458"/>
      <c r="E54" s="456">
        <f>IF(E47&lt;G47,G47/E47-1,E47/G47-1)</f>
        <v>5.4999999999999938E-2</v>
      </c>
      <c r="F54" s="457" t="str">
        <f>IF(OR(E54&gt;=0.3,E54&lt;=-0.3),"超过30%","")</f>
        <v/>
      </c>
      <c r="G54" s="456">
        <f>IF(G47&lt;I47,I47/G47-1,G47/I47-1)</f>
        <v>1.429473684210536E-2</v>
      </c>
      <c r="H54" s="457" t="str">
        <f>IF(OR(G54&gt;=0.3,G54&lt;=-0.3),"超过30%","")</f>
        <v/>
      </c>
      <c r="I54" s="456">
        <f>IF(I47&lt;E47,E47/I47-1,I47/E47-1)</f>
        <v>4.0131592602586252E-2</v>
      </c>
      <c r="J54" s="457" t="str">
        <f>IF(OR(I54&gt;=0.3,I54&lt;=-0.3),"超过30%","")</f>
        <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0" t="s">
        <v>2254</v>
      </c>
      <c r="B57" s="696"/>
      <c r="C57" s="701"/>
      <c r="D57" s="701"/>
      <c r="E57" s="701"/>
      <c r="F57" s="702"/>
      <c r="G57" s="702"/>
      <c r="H57" s="701"/>
      <c r="I57" s="701"/>
      <c r="J57" s="701"/>
      <c r="K57" s="703"/>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2165</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2130</v>
      </c>
      <c r="B61" s="467"/>
      <c r="C61" s="479" t="s">
        <v>2232</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2168</v>
      </c>
      <c r="B63" s="485" t="s">
        <v>2134</v>
      </c>
      <c r="C63" s="486" t="str">
        <f>C9</f>
        <v>商业</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v>1</v>
      </c>
      <c r="D68" s="506">
        <v>2</v>
      </c>
      <c r="E68" s="506">
        <v>3</v>
      </c>
      <c r="F68" s="506">
        <v>4</v>
      </c>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2139</v>
      </c>
      <c r="B76" s="485" t="s">
        <v>2176</v>
      </c>
      <c r="C76" s="530" t="s">
        <v>2177</v>
      </c>
      <c r="D76" s="530" t="s">
        <v>2178</v>
      </c>
      <c r="E76" s="530" t="s">
        <v>2179</v>
      </c>
      <c r="F76" s="530" t="s">
        <v>2180</v>
      </c>
      <c r="G76" s="530" t="s">
        <v>2181</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98</v>
      </c>
      <c r="E77" s="501">
        <f>D77-$K15</f>
        <v>96</v>
      </c>
      <c r="F77" s="501">
        <f>E77-$K15</f>
        <v>94</v>
      </c>
      <c r="G77" s="501">
        <f>F77-$K15</f>
        <v>92</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2182</v>
      </c>
      <c r="C78" s="535" t="s">
        <v>2177</v>
      </c>
      <c r="D78" s="535" t="s">
        <v>2178</v>
      </c>
      <c r="E78" s="535" t="s">
        <v>2179</v>
      </c>
      <c r="F78" s="535" t="s">
        <v>2180</v>
      </c>
      <c r="G78" s="535" t="s">
        <v>2181</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98</v>
      </c>
      <c r="E79" s="501">
        <f>D79-$K17</f>
        <v>96</v>
      </c>
      <c r="F79" s="501">
        <f>E79-$K17</f>
        <v>94</v>
      </c>
      <c r="G79" s="501">
        <f>F79-$K17</f>
        <v>92</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2183</v>
      </c>
      <c r="C80" s="535" t="s">
        <v>2177</v>
      </c>
      <c r="D80" s="535" t="s">
        <v>2178</v>
      </c>
      <c r="E80" s="535" t="s">
        <v>2179</v>
      </c>
      <c r="F80" s="535" t="s">
        <v>2180</v>
      </c>
      <c r="G80" s="535" t="s">
        <v>2181</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98</v>
      </c>
      <c r="E81" s="501">
        <f>D81-$K19</f>
        <v>96</v>
      </c>
      <c r="F81" s="501">
        <f>E81-$K19</f>
        <v>94</v>
      </c>
      <c r="G81" s="501">
        <f>F81-$K19</f>
        <v>92</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2235</v>
      </c>
      <c r="C82" s="615" t="s">
        <v>2255</v>
      </c>
      <c r="D82" s="615" t="s">
        <v>2256</v>
      </c>
      <c r="E82" s="615" t="s">
        <v>2257</v>
      </c>
      <c r="F82" s="615" t="s">
        <v>2258</v>
      </c>
      <c r="G82" s="615" t="s">
        <v>2259</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2189</v>
      </c>
      <c r="C84" s="535" t="s">
        <v>2177</v>
      </c>
      <c r="D84" s="535" t="s">
        <v>2178</v>
      </c>
      <c r="E84" s="535" t="s">
        <v>2179</v>
      </c>
      <c r="F84" s="535" t="s">
        <v>2180</v>
      </c>
      <c r="G84" s="535" t="s">
        <v>2181</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97</v>
      </c>
      <c r="E85" s="501">
        <f>D85-$K23</f>
        <v>94</v>
      </c>
      <c r="F85" s="501">
        <f>E85-$K23</f>
        <v>91</v>
      </c>
      <c r="G85" s="501">
        <f>F85-$K23</f>
        <v>88</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2260</v>
      </c>
      <c r="C86" s="3266" t="s">
        <v>3319</v>
      </c>
      <c r="D86" s="3266" t="s">
        <v>3320</v>
      </c>
      <c r="E86" s="3266" t="s">
        <v>3321</v>
      </c>
      <c r="F86" s="3266" t="s">
        <v>3322</v>
      </c>
      <c r="G86" s="3266" t="s">
        <v>3323</v>
      </c>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t="s">
        <v>3310</v>
      </c>
      <c r="D88" s="511" t="s">
        <v>3275</v>
      </c>
      <c r="E88" s="511" t="s">
        <v>3324</v>
      </c>
      <c r="F88" s="2061" t="s">
        <v>3325</v>
      </c>
      <c r="G88" s="511" t="s">
        <v>3326</v>
      </c>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3266" t="s">
        <v>3327</v>
      </c>
      <c r="D90" s="3266" t="s">
        <v>3328</v>
      </c>
      <c r="E90" s="3266" t="s">
        <v>3329</v>
      </c>
      <c r="F90" s="3266" t="s">
        <v>3330</v>
      </c>
      <c r="G90" s="3266" t="s">
        <v>3331</v>
      </c>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v>1</v>
      </c>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v>100</v>
      </c>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2"/>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2143</v>
      </c>
      <c r="B100" s="485" t="s">
        <v>2261</v>
      </c>
      <c r="C100" s="3268" t="s">
        <v>3355</v>
      </c>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v>0</v>
      </c>
      <c r="D103" s="552">
        <v>100</v>
      </c>
      <c r="E103" s="552">
        <v>200</v>
      </c>
      <c r="F103" s="552">
        <v>300</v>
      </c>
      <c r="G103" s="552">
        <v>500</v>
      </c>
      <c r="H103" s="552">
        <v>1000</v>
      </c>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2194</v>
      </c>
      <c r="C105" s="3266" t="s">
        <v>3332</v>
      </c>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2196</v>
      </c>
      <c r="C107" s="3272" t="s">
        <v>3288</v>
      </c>
      <c r="D107" s="3272" t="s">
        <v>3334</v>
      </c>
      <c r="E107" s="3272" t="s">
        <v>3290</v>
      </c>
      <c r="F107" s="3273" t="s">
        <v>3291</v>
      </c>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2198</v>
      </c>
      <c r="C112" s="3266" t="s">
        <v>3333</v>
      </c>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2262</v>
      </c>
      <c r="C114" s="3266" t="s">
        <v>3338</v>
      </c>
      <c r="D114" s="3266" t="s">
        <v>3339</v>
      </c>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2263</v>
      </c>
      <c r="C116" s="3274" t="s">
        <v>3335</v>
      </c>
      <c r="D116" s="3274" t="s">
        <v>3336</v>
      </c>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2264</v>
      </c>
      <c r="C118" s="582"/>
      <c r="D118" s="582"/>
      <c r="E118" s="582"/>
      <c r="F118" s="582"/>
      <c r="G118" s="582"/>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2265</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2200</v>
      </c>
      <c r="C122" s="3272" t="s">
        <v>3288</v>
      </c>
      <c r="D122" s="3272" t="s">
        <v>3334</v>
      </c>
      <c r="E122" s="3272" t="s">
        <v>3290</v>
      </c>
      <c r="F122" s="3273" t="s">
        <v>3291</v>
      </c>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2"/>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21.54</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577</v>
      </c>
      <c r="C2" s="1519" t="s">
        <v>1240</v>
      </c>
      <c r="D2" s="1603">
        <f ca="1">C40+J29+L46</f>
        <v>5765002</v>
      </c>
      <c r="E2" s="1520" t="s">
        <v>1316</v>
      </c>
      <c r="F2" s="1521"/>
      <c r="G2" s="2879"/>
      <c r="H2" s="2868"/>
      <c r="I2" s="2868"/>
      <c r="J2" s="2868"/>
      <c r="K2" s="2869"/>
      <c r="L2" s="2868"/>
      <c r="M2" s="2868"/>
    </row>
    <row r="3" spans="1:37" ht="18" customHeight="1" thickBot="1">
      <c r="A3" s="1522" t="s">
        <v>1241</v>
      </c>
      <c r="B3" s="1523">
        <f ca="1">IF(ISERROR(D2/F43),0,ROUND(D2/F43,0))</f>
        <v>50517</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469191</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ROUND(F6*F8*F7*(1-F9),0)</f>
        <v>468605</v>
      </c>
      <c r="D6" s="160" t="s">
        <v>2603</v>
      </c>
      <c r="E6" s="308" t="s">
        <v>1129</v>
      </c>
      <c r="F6" s="309">
        <f ca="1">INDIRECT("'数据-取费表'!u"&amp;$G$1)</f>
        <v>12.5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3233" t="s">
        <v>1130</v>
      </c>
      <c r="F7" s="309">
        <f ca="1">IF(INDIRECT("'数据-取费表'!ah"&amp;$G$1)="",INDIRECT("'数据-取费表'!k"&amp;$G$1),INDIRECT("'数据-取费表'!ah"&amp;$G$1))</f>
        <v>114.12</v>
      </c>
      <c r="G7" s="1516"/>
      <c r="H7" s="310"/>
      <c r="I7" s="3558"/>
      <c r="J7" s="312"/>
      <c r="K7" s="313"/>
      <c r="L7" s="308" t="s">
        <v>1130</v>
      </c>
      <c r="M7" s="309">
        <f ca="1">F7</f>
        <v>114.12</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586</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6" t="s">
        <v>1139</v>
      </c>
      <c r="E13" s="322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3" t="s">
        <v>1142</v>
      </c>
      <c r="E14" s="3242"/>
      <c r="F14" s="325"/>
      <c r="G14" s="1516"/>
      <c r="H14" s="1091" t="s">
        <v>822</v>
      </c>
      <c r="I14" s="308" t="s">
        <v>1143</v>
      </c>
      <c r="J14" s="24">
        <f ca="1">C29</f>
        <v>654095</v>
      </c>
      <c r="K14" s="3231"/>
      <c r="L14" s="894"/>
      <c r="M14" s="895"/>
    </row>
    <row r="15" spans="1:37" s="1529" customFormat="1" ht="18" customHeight="1" thickBot="1">
      <c r="A15" s="1091" t="s">
        <v>823</v>
      </c>
      <c r="B15" s="308" t="s">
        <v>1144</v>
      </c>
      <c r="C15" s="24">
        <f ca="1">ROUND(C14*F15,0)</f>
        <v>13010</v>
      </c>
      <c r="D15" s="3227" t="s">
        <v>1145</v>
      </c>
      <c r="E15" s="322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15614</v>
      </c>
      <c r="K16" s="1197" t="s">
        <v>1149</v>
      </c>
      <c r="L16" s="3247"/>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1">
        <f ca="1">ROUND(IF(AND(项目基本情况!B11="自然人",项目基本情况!B10="北京市"),J6*M17/(1+'数据-取费表'!C42),J18+J19+J20),0)</f>
        <v>5803</v>
      </c>
      <c r="K17" s="3243" t="s">
        <v>1154</v>
      </c>
      <c r="L17" s="324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0"/>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0"/>
      <c r="F22" s="26"/>
      <c r="G22" s="1516"/>
      <c r="H22" s="1091" t="s">
        <v>826</v>
      </c>
      <c r="I22" s="308" t="s">
        <v>1173</v>
      </c>
      <c r="J22" s="24">
        <f ca="1">ROUND(J14*M22,0)</f>
        <v>9811</v>
      </c>
      <c r="K22" s="324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0"/>
      <c r="F25" s="26"/>
      <c r="G25" s="1516"/>
      <c r="H25" s="1189" t="s">
        <v>818</v>
      </c>
      <c r="I25" s="1204" t="s">
        <v>1187</v>
      </c>
      <c r="J25" s="316">
        <f ca="1">J5-J16</f>
        <v>-15614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94193</v>
      </c>
      <c r="D30" s="1197" t="s">
        <v>1149</v>
      </c>
      <c r="E30" s="3247"/>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78856</v>
      </c>
      <c r="D31" s="3243" t="s">
        <v>1154</v>
      </c>
      <c r="E31" s="324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24992</v>
      </c>
      <c r="D32" s="324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53555</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309</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12.86</v>
      </c>
      <c r="G35" s="1516"/>
      <c r="H35" s="2870"/>
      <c r="I35" s="1530"/>
      <c r="J35" s="1531"/>
      <c r="K35" s="2874"/>
      <c r="L35" s="2873"/>
      <c r="M35" s="2873"/>
    </row>
    <row r="36" spans="1:18" ht="18" customHeight="1">
      <c r="A36" s="1212" t="s">
        <v>826</v>
      </c>
      <c r="B36" s="308" t="s">
        <v>1173</v>
      </c>
      <c r="C36" s="24">
        <f ca="1">ROUND(C29*F36,0)</f>
        <v>9811</v>
      </c>
      <c r="D36" s="324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834</v>
      </c>
      <c r="D37" s="3246" t="s">
        <v>1178</v>
      </c>
      <c r="E37" s="308" t="s">
        <v>1146</v>
      </c>
      <c r="F37" s="336">
        <f ca="1">INDIRECT("'数据-取费表'!Al"&amp;$G$1)</f>
        <v>1.5E-3</v>
      </c>
      <c r="G37" s="1516"/>
      <c r="H37" s="2873"/>
      <c r="I37" s="1530"/>
      <c r="J37" s="1531"/>
      <c r="K37" s="2714"/>
      <c r="L37" s="2873"/>
      <c r="M37" s="2873"/>
    </row>
    <row r="38" spans="1:18" ht="18" customHeight="1" thickBot="1">
      <c r="A38" s="1199" t="s">
        <v>1116</v>
      </c>
      <c r="B38" s="1200" t="s">
        <v>1163</v>
      </c>
      <c r="C38" s="1201">
        <f ca="1">ROUND(C5*F38,1)</f>
        <v>4691.8999999999996</v>
      </c>
      <c r="D38" s="1202" t="s">
        <v>1183</v>
      </c>
      <c r="E38" s="1200" t="s">
        <v>1146</v>
      </c>
      <c r="F38" s="1196">
        <f ca="1">INDIRECT("'数据-取费表'!Am"&amp;$G$1)</f>
        <v>0.01</v>
      </c>
      <c r="G38" s="1516"/>
      <c r="H38" s="2873"/>
      <c r="I38" s="1530"/>
      <c r="J38" s="1531"/>
      <c r="K38" s="2877"/>
      <c r="L38" s="2873"/>
      <c r="M38" s="2873"/>
    </row>
    <row r="39" spans="1:18" ht="24.6" customHeight="1" thickTop="1">
      <c r="A39" s="1189" t="s">
        <v>818</v>
      </c>
      <c r="B39" s="1204" t="s">
        <v>1187</v>
      </c>
      <c r="C39" s="316">
        <f ca="1">C5-C30</f>
        <v>374998</v>
      </c>
      <c r="D39" s="1205" t="s">
        <v>1188</v>
      </c>
      <c r="E39" s="1206"/>
      <c r="F39" s="1207"/>
      <c r="G39" s="1516"/>
      <c r="H39" s="2873"/>
      <c r="I39" s="1530"/>
      <c r="J39" s="1531"/>
      <c r="K39" s="2877"/>
      <c r="L39" s="2873"/>
      <c r="M39" s="2873"/>
    </row>
    <row r="40" spans="1:18" ht="18" customHeight="1">
      <c r="A40" s="305" t="s">
        <v>819</v>
      </c>
      <c r="B40" s="306" t="s">
        <v>1209</v>
      </c>
      <c r="C40" s="307">
        <f ca="1">ROUND(C39*(1-((1+F42)/(1+F40))^F41)/(F40-F42),0)</f>
        <v>5765002</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21.54</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50517</v>
      </c>
      <c r="D43" s="343" t="s">
        <v>1212</v>
      </c>
      <c r="E43" s="344" t="s">
        <v>1213</v>
      </c>
      <c r="F43" s="345">
        <f ca="1">INDIRECT("'数据-取费表'!k"&amp;$G$1)</f>
        <v>114.12</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-6778080</v>
      </c>
      <c r="D45" s="1605" t="s">
        <v>1328</v>
      </c>
      <c r="E45" s="1532"/>
      <c r="F45" s="1532"/>
      <c r="O45" s="1535" t="s">
        <v>1243</v>
      </c>
      <c r="P45" s="1593"/>
      <c r="Q45" s="1593"/>
      <c r="R45" s="1593"/>
    </row>
    <row r="46" spans="1:18" s="1516" customFormat="1" ht="13.5" thickBot="1">
      <c r="A46" s="1536" t="s">
        <v>1244</v>
      </c>
      <c r="C46" s="1537">
        <f ca="1">ROUND(C45/10000,0)</f>
        <v>-678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5765002</v>
      </c>
      <c r="R47" s="1552" t="s">
        <v>1253</v>
      </c>
    </row>
    <row r="48" spans="1:18" s="1516" customFormat="1" ht="28.5" thickBot="1">
      <c r="A48" s="1220" t="s">
        <v>863</v>
      </c>
      <c r="B48" s="306" t="s">
        <v>1125</v>
      </c>
      <c r="C48" s="3249">
        <f ca="1">C49+C53+C55</f>
        <v>0</v>
      </c>
      <c r="D48" s="1222"/>
      <c r="E48" s="1223"/>
      <c r="F48" s="1071"/>
      <c r="G48" s="728"/>
      <c r="H48" s="729"/>
      <c r="I48" s="1553" t="s">
        <v>1254</v>
      </c>
      <c r="J48" s="1554" t="s">
        <v>3263</v>
      </c>
      <c r="K48" s="1555" t="s">
        <v>1255</v>
      </c>
      <c r="L48" s="1556">
        <f ca="1">INDIRECT("'数据-取费表'!f"&amp;$G$1)</f>
        <v>21.54</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6025106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21.54</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21.54</v>
      </c>
      <c r="K53" s="3555" t="s">
        <v>1272</v>
      </c>
      <c r="L53" s="3556"/>
      <c r="O53" s="1550" t="s">
        <v>833</v>
      </c>
      <c r="P53" s="1551" t="s">
        <v>1273</v>
      </c>
      <c r="Q53" s="1552">
        <f ca="1">Q47+Q48</f>
        <v>5765002</v>
      </c>
      <c r="R53" s="1552" t="s">
        <v>834</v>
      </c>
    </row>
    <row r="54" spans="1:18" s="1516" customFormat="1" ht="13.5" thickBot="1">
      <c r="A54" s="1084"/>
      <c r="B54" s="1606" t="s">
        <v>1327</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5765002</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65898</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55253</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5765002</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9811</v>
      </c>
      <c r="D64" s="1073" t="s">
        <v>1206</v>
      </c>
      <c r="E64" s="1059" t="s">
        <v>1146</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834</v>
      </c>
      <c r="D65" s="1073" t="s">
        <v>1178</v>
      </c>
      <c r="E65" s="1059" t="s">
        <v>1146</v>
      </c>
      <c r="F65" s="336">
        <f t="shared" ca="1" si="0"/>
        <v>1.5E-3</v>
      </c>
      <c r="I65" s="1594" t="s">
        <v>1303</v>
      </c>
      <c r="J65" s="1595">
        <v>40</v>
      </c>
      <c r="K65" s="1595">
        <v>30</v>
      </c>
      <c r="L65" s="1595">
        <v>50</v>
      </c>
      <c r="M65" s="1597">
        <v>0.02</v>
      </c>
      <c r="O65" s="1550" t="s">
        <v>827</v>
      </c>
      <c r="P65" s="1551" t="s">
        <v>1252</v>
      </c>
      <c r="Q65" s="1552">
        <f ca="1">C40+J29</f>
        <v>5765002</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-65898</v>
      </c>
      <c r="D67" s="1072" t="s">
        <v>1188</v>
      </c>
      <c r="E67" s="1077"/>
      <c r="F67" s="1078"/>
      <c r="O67" s="1560" t="s">
        <v>829</v>
      </c>
      <c r="P67" s="1551" t="s">
        <v>1286</v>
      </c>
      <c r="Q67" s="1598">
        <f ca="1">L51</f>
        <v>6025106</v>
      </c>
      <c r="R67" s="1552" t="s">
        <v>1306</v>
      </c>
    </row>
    <row r="68" spans="1:18" s="1516" customFormat="1" ht="16.5" thickBot="1">
      <c r="A68" s="1056" t="s">
        <v>819</v>
      </c>
      <c r="B68" s="1057" t="s">
        <v>1209</v>
      </c>
      <c r="C68" s="307">
        <f ca="1">ROUND(C67*(1-((1+F70)/(1+F68))^F69)/(F68-F70),0)</f>
        <v>-1013078</v>
      </c>
      <c r="D68" s="1074" t="s">
        <v>1193</v>
      </c>
      <c r="E68" s="1059" t="s">
        <v>1194</v>
      </c>
      <c r="F68" s="318">
        <f ca="1">F40</f>
        <v>0.06</v>
      </c>
      <c r="O68" s="1560" t="s">
        <v>830</v>
      </c>
      <c r="P68" s="1599" t="s">
        <v>1307</v>
      </c>
      <c r="Q68" s="1552">
        <f ca="1">ROUND(Q69-Q70*Q71,0)</f>
        <v>333299</v>
      </c>
      <c r="R68" s="1552" t="s">
        <v>838</v>
      </c>
    </row>
    <row r="69" spans="1:18" s="1516" customFormat="1" ht="13.5" thickBot="1">
      <c r="A69" s="1060"/>
      <c r="B69" s="1061"/>
      <c r="C69" s="312"/>
      <c r="D69" s="1079" t="s">
        <v>1197</v>
      </c>
      <c r="E69" s="1059" t="s">
        <v>1198</v>
      </c>
      <c r="F69" s="339">
        <f ca="1">F41</f>
        <v>21.54</v>
      </c>
      <c r="O69" s="1560" t="s">
        <v>835</v>
      </c>
      <c r="P69" s="1599" t="s">
        <v>1308</v>
      </c>
      <c r="Q69" s="1552">
        <f ca="1">C39</f>
        <v>374998</v>
      </c>
      <c r="R69" s="1552" t="s">
        <v>1253</v>
      </c>
    </row>
    <row r="70" spans="1:18" s="1516" customFormat="1" ht="13.5" thickBot="1">
      <c r="A70" s="1063"/>
      <c r="B70" s="1064"/>
      <c r="C70" s="316"/>
      <c r="D70" s="1075"/>
      <c r="E70" s="1059" t="s">
        <v>1201</v>
      </c>
      <c r="F70" s="1163">
        <f ca="1">F42</f>
        <v>0.03</v>
      </c>
      <c r="O70" s="1560" t="s">
        <v>836</v>
      </c>
      <c r="P70" s="1599" t="s">
        <v>1309</v>
      </c>
      <c r="Q70" s="1552">
        <f ca="1">C13</f>
        <v>555981</v>
      </c>
      <c r="R70" s="1552" t="s">
        <v>1253</v>
      </c>
    </row>
    <row r="71" spans="1:18" s="1516" customFormat="1" ht="13.5" thickBot="1">
      <c r="A71" s="1080" t="s">
        <v>820</v>
      </c>
      <c r="B71" s="1081" t="s">
        <v>1211</v>
      </c>
      <c r="C71" s="342">
        <f ca="1">ROUND(C68/F71,0)</f>
        <v>-8877</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5765002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0.88900000000000001</v>
      </c>
    </row>
    <row r="80" spans="1:18">
      <c r="B80" s="346" t="s">
        <v>1235</v>
      </c>
      <c r="C80" s="280">
        <f ca="1">ROUND(C75/C39,3)</f>
        <v>0.111</v>
      </c>
    </row>
    <row r="81" spans="2:3">
      <c r="B81" s="276" t="s">
        <v>1236</v>
      </c>
      <c r="C81" s="244"/>
    </row>
    <row r="82" spans="2:3">
      <c r="B82" s="279" t="s">
        <v>1237</v>
      </c>
      <c r="C82" s="281">
        <f ca="1">1-C83</f>
        <v>0.90400000000000003</v>
      </c>
    </row>
    <row r="83" spans="2:3">
      <c r="B83" s="279" t="s">
        <v>1238</v>
      </c>
      <c r="C83" s="280">
        <f ca="1">ROUND(C13/C40,3)</f>
        <v>9.6000000000000002E-2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V21" sqref="V21"/>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1" t="s">
        <v>3342</v>
      </c>
      <c r="C5" s="1013" t="s">
        <v>3310</v>
      </c>
      <c r="D5" s="1007" t="s">
        <v>3275</v>
      </c>
      <c r="E5" s="1007" t="s">
        <v>3324</v>
      </c>
      <c r="F5" s="1435" t="s">
        <v>3325</v>
      </c>
      <c r="G5" s="1435" t="s">
        <v>3326</v>
      </c>
      <c r="H5" s="1430"/>
      <c r="I5" s="1430"/>
      <c r="J5" s="1430"/>
      <c r="K5" s="1430"/>
      <c r="L5" s="1431"/>
      <c r="M5" s="1432"/>
      <c r="N5" s="1432"/>
      <c r="O5" s="1430"/>
      <c r="P5" s="1430"/>
      <c r="Q5" s="1430"/>
      <c r="R5" s="1430"/>
      <c r="S5" s="1433"/>
      <c r="T5" s="1107">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95</v>
      </c>
      <c r="E6" s="1011">
        <f t="shared" ref="E6:S6" si="2">D6-$T5</f>
        <v>90</v>
      </c>
      <c r="F6" s="1434">
        <f t="shared" si="2"/>
        <v>85</v>
      </c>
      <c r="G6" s="1434">
        <f t="shared" si="2"/>
        <v>80</v>
      </c>
      <c r="H6" s="1434">
        <f t="shared" si="2"/>
        <v>75</v>
      </c>
      <c r="I6" s="1434">
        <f t="shared" si="2"/>
        <v>70</v>
      </c>
      <c r="J6" s="1434">
        <f t="shared" si="2"/>
        <v>65</v>
      </c>
      <c r="K6" s="1434">
        <f t="shared" si="2"/>
        <v>60</v>
      </c>
      <c r="L6" s="1434">
        <f t="shared" si="2"/>
        <v>55</v>
      </c>
      <c r="M6" s="1434">
        <f t="shared" si="2"/>
        <v>50</v>
      </c>
      <c r="N6" s="1434">
        <f t="shared" si="2"/>
        <v>45</v>
      </c>
      <c r="O6" s="1434">
        <f t="shared" si="2"/>
        <v>40</v>
      </c>
      <c r="P6" s="1434">
        <f t="shared" si="2"/>
        <v>35</v>
      </c>
      <c r="Q6" s="1434">
        <f t="shared" si="2"/>
        <v>30</v>
      </c>
      <c r="R6" s="1434">
        <f t="shared" si="2"/>
        <v>25</v>
      </c>
      <c r="S6" s="1434">
        <f t="shared" si="2"/>
        <v>20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1" t="s">
        <v>3343</v>
      </c>
      <c r="C7" s="1013" t="s">
        <v>3344</v>
      </c>
      <c r="D7" s="1007" t="s">
        <v>3345</v>
      </c>
      <c r="E7" s="1007" t="s">
        <v>3324</v>
      </c>
      <c r="F7" s="1435" t="s">
        <v>3346</v>
      </c>
      <c r="G7" s="1435" t="s">
        <v>3347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1" t="s">
        <v>3315</v>
      </c>
      <c r="C9" s="3264" t="s">
        <v>3288</v>
      </c>
      <c r="D9" s="3264" t="s">
        <v>3289</v>
      </c>
      <c r="E9" s="3264" t="s">
        <v>3290</v>
      </c>
      <c r="F9" s="3267" t="s">
        <v>3291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7"/>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3349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35094</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65101</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39" t="s">
        <v>33</v>
      </c>
      <c r="D22" s="3640"/>
      <c r="E22" s="3640"/>
      <c r="F22" s="3640"/>
      <c r="G22" s="3640"/>
      <c r="H22" s="3640"/>
      <c r="I22" s="3640"/>
      <c r="J22" s="3640"/>
      <c r="K22" s="3640"/>
      <c r="L22" s="3640"/>
      <c r="M22" s="3640"/>
      <c r="N22" s="3640"/>
      <c r="O22" s="3640"/>
      <c r="P22" s="3640"/>
      <c r="Q22" s="3641"/>
      <c r="R22" s="669">
        <f ca="1">ROUND(S22*10000/B22,0)</f>
        <v>65101</v>
      </c>
      <c r="S22" s="24">
        <f ca="1">SUM(S24:S10000)</f>
        <v>35094</v>
      </c>
    </row>
    <row r="23" spans="1:45" s="12" customFormat="1" ht="24">
      <c r="A23" s="3225" t="s">
        <v>2598</v>
      </c>
      <c r="B23" s="3225" t="s">
        <v>2599</v>
      </c>
      <c r="C23" s="3225" t="s">
        <v>2600</v>
      </c>
      <c r="D23" s="3225" t="str">
        <f>B5</f>
        <v>可视性</v>
      </c>
      <c r="E23" s="3225" t="s">
        <v>2600</v>
      </c>
      <c r="F23" s="3225" t="str">
        <f>B7</f>
        <v>人流量</v>
      </c>
      <c r="G23" s="3225" t="s">
        <v>2600</v>
      </c>
      <c r="H23" s="3225" t="str">
        <f>B9</f>
        <v>装修情况</v>
      </c>
      <c r="I23" s="3225" t="s">
        <v>2600</v>
      </c>
      <c r="J23" s="3225" t="str">
        <f>B11</f>
        <v>修正项5</v>
      </c>
      <c r="K23" s="3225" t="s">
        <v>2600</v>
      </c>
      <c r="L23" s="3225">
        <f>B13</f>
        <v>0</v>
      </c>
      <c r="M23" s="3225" t="s">
        <v>2600</v>
      </c>
      <c r="N23" s="3225" t="str">
        <f>B15</f>
        <v>修正项7</v>
      </c>
      <c r="O23" s="3225" t="s">
        <v>2600</v>
      </c>
      <c r="P23" s="3225" t="str">
        <f>B17</f>
        <v>楼层</v>
      </c>
      <c r="Q23" s="3225" t="s">
        <v>2600</v>
      </c>
      <c r="R23" s="3229" t="s">
        <v>2601</v>
      </c>
      <c r="S23" s="3225"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5">
        <v>1</v>
      </c>
      <c r="D24" s="3275" t="s">
        <v>3348</v>
      </c>
      <c r="E24" s="2985">
        <v>1</v>
      </c>
      <c r="F24" s="3275" t="s">
        <v>3364</v>
      </c>
      <c r="G24" s="2985">
        <v>1</v>
      </c>
      <c r="H24" s="2986"/>
      <c r="I24" s="2985">
        <v>1</v>
      </c>
      <c r="J24" s="2986"/>
      <c r="K24" s="2985">
        <v>1</v>
      </c>
      <c r="L24" s="2986"/>
      <c r="M24" s="2985">
        <v>1</v>
      </c>
      <c r="N24" s="2986"/>
      <c r="O24" s="2985">
        <v>1</v>
      </c>
      <c r="P24" s="2986" t="s">
        <v>3350</v>
      </c>
      <c r="Q24" s="2985">
        <v>1</v>
      </c>
      <c r="R24" s="674">
        <f ca="1">结果表商!G20</f>
        <v>75753</v>
      </c>
      <c r="S24" s="672">
        <f t="shared" ref="S24:S87" ca="1" si="6">ROUND(R24*B24/10000,0)</f>
        <v>864</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5" t="s">
        <v>3348</v>
      </c>
      <c r="E25" s="24">
        <f>(SUMIF($5:$5,D25,$6:$6)-SUMIF($5:$5,$D$24,$6:$6)+100)/100</f>
        <v>1</v>
      </c>
      <c r="F25" s="3275" t="s">
        <v>3364</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3350</v>
      </c>
      <c r="Q25" s="24">
        <f>(SUMIF($17:$17,P25,$18:$18)-SUMIF($17:$17,$P$24,$18:$18)+100)/100</f>
        <v>1</v>
      </c>
      <c r="R25" s="669">
        <f ca="1">IF(B25="",0,ROUND($R$24*C25*E25*G25*I25*K25*M25*O25*Q25,0))</f>
        <v>74238</v>
      </c>
      <c r="S25" s="322">
        <f t="shared" ca="1" si="6"/>
        <v>3049</v>
      </c>
    </row>
    <row r="26" spans="1:45">
      <c r="A26" s="155" t="str">
        <f>'数据-基础表'!C14</f>
        <v>2单元109</v>
      </c>
      <c r="B26" s="57">
        <f>'数据-基础表'!I14</f>
        <v>891.56</v>
      </c>
      <c r="C26" s="24">
        <f t="shared" ref="C26:C89" si="7">IF(B26="",1,(LOOKUP(B26,$3:$3,$4:$4)-LOOKUP($B$24,$3:$3,$4:$4)+100)/100)</f>
        <v>0.97</v>
      </c>
      <c r="D26" s="3275" t="s">
        <v>3348</v>
      </c>
      <c r="E26" s="24">
        <f t="shared" ref="E26:E89" si="8">(SUMIF($5:$5,D26,$6:$6)-SUMIF($5:$5,$D$24,$6:$6)+100)/100</f>
        <v>1</v>
      </c>
      <c r="F26" s="3275" t="s">
        <v>3364</v>
      </c>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6" t="s">
        <v>3350</v>
      </c>
      <c r="Q26" s="24">
        <f t="shared" ref="Q26:Q89" si="14">(SUMIF($17:$17,P26,$18:$18)-SUMIF($17:$17,$P$24,$18:$18)+100)/100</f>
        <v>1</v>
      </c>
      <c r="R26" s="669">
        <f t="shared" ref="R26:R89" ca="1" si="15">IF(B26="",0,ROUND($R$24*C26*E26*G26*I26*K26*M26*O26*Q26,0))</f>
        <v>73480</v>
      </c>
      <c r="S26" s="322">
        <f t="shared" ca="1" si="6"/>
        <v>6551</v>
      </c>
    </row>
    <row r="27" spans="1:45">
      <c r="A27" s="155" t="str">
        <f>'数据-基础表'!C15</f>
        <v>2单元115</v>
      </c>
      <c r="B27" s="57">
        <f>'数据-基础表'!I15</f>
        <v>820.83</v>
      </c>
      <c r="C27" s="24">
        <f t="shared" si="7"/>
        <v>0.97</v>
      </c>
      <c r="D27" s="3275" t="s">
        <v>3348</v>
      </c>
      <c r="E27" s="24">
        <f t="shared" si="8"/>
        <v>1</v>
      </c>
      <c r="F27" s="3275" t="s">
        <v>3364</v>
      </c>
      <c r="G27" s="24">
        <f t="shared" si="9"/>
        <v>1</v>
      </c>
      <c r="H27" s="673"/>
      <c r="I27" s="24">
        <f t="shared" si="10"/>
        <v>1</v>
      </c>
      <c r="J27" s="673"/>
      <c r="K27" s="24">
        <f t="shared" si="11"/>
        <v>1</v>
      </c>
      <c r="L27" s="673"/>
      <c r="M27" s="24">
        <f t="shared" si="12"/>
        <v>1</v>
      </c>
      <c r="N27" s="673"/>
      <c r="O27" s="24">
        <f t="shared" si="13"/>
        <v>1</v>
      </c>
      <c r="P27" s="2986" t="s">
        <v>3350</v>
      </c>
      <c r="Q27" s="24">
        <f t="shared" si="14"/>
        <v>1</v>
      </c>
      <c r="R27" s="669">
        <f t="shared" ca="1" si="15"/>
        <v>73480</v>
      </c>
      <c r="S27" s="322">
        <f t="shared" ca="1" si="6"/>
        <v>6031</v>
      </c>
    </row>
    <row r="28" spans="1:45">
      <c r="A28" s="155" t="str">
        <f>'数据-基础表'!C17</f>
        <v>2单元120</v>
      </c>
      <c r="B28" s="57">
        <f>'数据-基础表'!I17</f>
        <v>229.57</v>
      </c>
      <c r="C28" s="24">
        <f t="shared" si="7"/>
        <v>0.99</v>
      </c>
      <c r="D28" s="3276" t="s">
        <v>3361</v>
      </c>
      <c r="E28" s="24">
        <f t="shared" si="8"/>
        <v>0.85</v>
      </c>
      <c r="F28" s="3275" t="s">
        <v>3362</v>
      </c>
      <c r="G28" s="24">
        <f t="shared" si="9"/>
        <v>0.9</v>
      </c>
      <c r="H28" s="673"/>
      <c r="I28" s="24">
        <f t="shared" si="10"/>
        <v>1</v>
      </c>
      <c r="J28" s="673"/>
      <c r="K28" s="24">
        <f t="shared" si="11"/>
        <v>1</v>
      </c>
      <c r="L28" s="673"/>
      <c r="M28" s="24">
        <f t="shared" si="12"/>
        <v>1</v>
      </c>
      <c r="N28" s="673"/>
      <c r="O28" s="24">
        <f t="shared" si="13"/>
        <v>1</v>
      </c>
      <c r="P28" s="2986" t="s">
        <v>3350</v>
      </c>
      <c r="Q28" s="24">
        <f t="shared" si="14"/>
        <v>1</v>
      </c>
      <c r="R28" s="669">
        <f t="shared" ca="1" si="15"/>
        <v>57372</v>
      </c>
      <c r="S28" s="322">
        <f t="shared" ca="1" si="6"/>
        <v>1317</v>
      </c>
    </row>
    <row r="29" spans="1:45">
      <c r="A29" s="155" t="str">
        <f>'数据-基础表'!C18</f>
        <v>2单元121</v>
      </c>
      <c r="B29" s="57">
        <f>'数据-基础表'!I18</f>
        <v>174.61</v>
      </c>
      <c r="C29" s="24">
        <f t="shared" si="7"/>
        <v>1</v>
      </c>
      <c r="D29" s="3276" t="s">
        <v>3361</v>
      </c>
      <c r="E29" s="24">
        <f t="shared" si="8"/>
        <v>0.85</v>
      </c>
      <c r="F29" s="3275" t="s">
        <v>3362</v>
      </c>
      <c r="G29" s="24">
        <f t="shared" si="9"/>
        <v>0.9</v>
      </c>
      <c r="H29" s="673"/>
      <c r="I29" s="24">
        <f t="shared" si="10"/>
        <v>1</v>
      </c>
      <c r="J29" s="673"/>
      <c r="K29" s="24">
        <f t="shared" si="11"/>
        <v>1</v>
      </c>
      <c r="L29" s="673"/>
      <c r="M29" s="24">
        <f t="shared" si="12"/>
        <v>1</v>
      </c>
      <c r="N29" s="673"/>
      <c r="O29" s="24">
        <f t="shared" si="13"/>
        <v>1</v>
      </c>
      <c r="P29" s="2986" t="s">
        <v>3350</v>
      </c>
      <c r="Q29" s="24">
        <f t="shared" si="14"/>
        <v>1</v>
      </c>
      <c r="R29" s="669">
        <f t="shared" ca="1" si="15"/>
        <v>57951</v>
      </c>
      <c r="S29" s="322">
        <f t="shared" ca="1" si="6"/>
        <v>1012</v>
      </c>
    </row>
    <row r="30" spans="1:45">
      <c r="A30" s="155" t="str">
        <f>'数据-基础表'!C19</f>
        <v>2单元122</v>
      </c>
      <c r="B30" s="57">
        <f>'数据-基础表'!I19</f>
        <v>579.52</v>
      </c>
      <c r="C30" s="24">
        <f t="shared" si="7"/>
        <v>0.97</v>
      </c>
      <c r="D30" s="3276" t="s">
        <v>3361</v>
      </c>
      <c r="E30" s="24">
        <f t="shared" si="8"/>
        <v>0.85</v>
      </c>
      <c r="F30" s="3275" t="s">
        <v>3362</v>
      </c>
      <c r="G30" s="24">
        <f t="shared" si="9"/>
        <v>0.9</v>
      </c>
      <c r="H30" s="673"/>
      <c r="I30" s="24">
        <f t="shared" si="10"/>
        <v>1</v>
      </c>
      <c r="J30" s="673"/>
      <c r="K30" s="24">
        <f t="shared" si="11"/>
        <v>1</v>
      </c>
      <c r="L30" s="673"/>
      <c r="M30" s="24">
        <f t="shared" si="12"/>
        <v>1</v>
      </c>
      <c r="N30" s="673"/>
      <c r="O30" s="24">
        <f t="shared" si="13"/>
        <v>1</v>
      </c>
      <c r="P30" s="2986" t="s">
        <v>3350</v>
      </c>
      <c r="Q30" s="24">
        <f t="shared" si="14"/>
        <v>1</v>
      </c>
      <c r="R30" s="669">
        <f t="shared" ca="1" si="15"/>
        <v>56213</v>
      </c>
      <c r="S30" s="322">
        <f t="shared" ca="1" si="6"/>
        <v>3258</v>
      </c>
    </row>
    <row r="31" spans="1:45">
      <c r="A31" s="155" t="str">
        <f>'数据-基础表'!C20</f>
        <v>2单元123</v>
      </c>
      <c r="B31" s="57">
        <f>'数据-基础表'!I20</f>
        <v>392.45</v>
      </c>
      <c r="C31" s="24">
        <f t="shared" si="7"/>
        <v>0.98</v>
      </c>
      <c r="D31" s="3276" t="s">
        <v>3361</v>
      </c>
      <c r="E31" s="24">
        <f t="shared" si="8"/>
        <v>0.85</v>
      </c>
      <c r="F31" s="3275" t="s">
        <v>3362</v>
      </c>
      <c r="G31" s="24">
        <f t="shared" si="9"/>
        <v>0.9</v>
      </c>
      <c r="H31" s="673"/>
      <c r="I31" s="24">
        <f t="shared" si="10"/>
        <v>1</v>
      </c>
      <c r="J31" s="673"/>
      <c r="K31" s="24">
        <f t="shared" si="11"/>
        <v>1</v>
      </c>
      <c r="L31" s="673"/>
      <c r="M31" s="24">
        <f t="shared" si="12"/>
        <v>1</v>
      </c>
      <c r="N31" s="673"/>
      <c r="O31" s="24">
        <f t="shared" si="13"/>
        <v>1</v>
      </c>
      <c r="P31" s="2986" t="s">
        <v>3350</v>
      </c>
      <c r="Q31" s="24">
        <f t="shared" si="14"/>
        <v>1</v>
      </c>
      <c r="R31" s="669">
        <f t="shared" ca="1" si="15"/>
        <v>56792</v>
      </c>
      <c r="S31" s="322">
        <f t="shared" ca="1" si="6"/>
        <v>2229</v>
      </c>
    </row>
    <row r="32" spans="1:45">
      <c r="A32" s="155" t="str">
        <f>'数据-基础表'!C21</f>
        <v>2单元126</v>
      </c>
      <c r="B32" s="57">
        <f>'数据-基础表'!I21</f>
        <v>129.91</v>
      </c>
      <c r="C32" s="24">
        <f t="shared" si="7"/>
        <v>1</v>
      </c>
      <c r="D32" s="3276" t="s">
        <v>3361</v>
      </c>
      <c r="E32" s="24">
        <f t="shared" si="8"/>
        <v>0.85</v>
      </c>
      <c r="F32" s="3275" t="s">
        <v>3362</v>
      </c>
      <c r="G32" s="24">
        <f t="shared" si="9"/>
        <v>0.9</v>
      </c>
      <c r="H32" s="673"/>
      <c r="I32" s="24">
        <f t="shared" si="10"/>
        <v>1</v>
      </c>
      <c r="J32" s="673"/>
      <c r="K32" s="24">
        <f t="shared" si="11"/>
        <v>1</v>
      </c>
      <c r="L32" s="673"/>
      <c r="M32" s="24">
        <f t="shared" si="12"/>
        <v>1</v>
      </c>
      <c r="N32" s="673"/>
      <c r="O32" s="24">
        <f t="shared" si="13"/>
        <v>1</v>
      </c>
      <c r="P32" s="2986" t="s">
        <v>3350</v>
      </c>
      <c r="Q32" s="24">
        <f t="shared" si="14"/>
        <v>1</v>
      </c>
      <c r="R32" s="669">
        <f t="shared" ca="1" si="15"/>
        <v>57951</v>
      </c>
      <c r="S32" s="322">
        <f t="shared" ca="1" si="6"/>
        <v>753</v>
      </c>
    </row>
    <row r="33" spans="1:19">
      <c r="A33" s="155" t="str">
        <f>'数据-基础表'!C22</f>
        <v>2单元127</v>
      </c>
      <c r="B33" s="57">
        <f>'数据-基础表'!I22</f>
        <v>130.21</v>
      </c>
      <c r="C33" s="24">
        <f t="shared" si="7"/>
        <v>1</v>
      </c>
      <c r="D33" s="3276" t="s">
        <v>3361</v>
      </c>
      <c r="E33" s="24">
        <f t="shared" si="8"/>
        <v>0.85</v>
      </c>
      <c r="F33" s="3275" t="s">
        <v>3362</v>
      </c>
      <c r="G33" s="24">
        <f t="shared" si="9"/>
        <v>0.9</v>
      </c>
      <c r="H33" s="673"/>
      <c r="I33" s="24">
        <f t="shared" si="10"/>
        <v>1</v>
      </c>
      <c r="J33" s="673"/>
      <c r="K33" s="24">
        <f t="shared" si="11"/>
        <v>1</v>
      </c>
      <c r="L33" s="673"/>
      <c r="M33" s="24">
        <f t="shared" si="12"/>
        <v>1</v>
      </c>
      <c r="N33" s="673"/>
      <c r="O33" s="24">
        <f t="shared" si="13"/>
        <v>1</v>
      </c>
      <c r="P33" s="2986" t="s">
        <v>3350</v>
      </c>
      <c r="Q33" s="24">
        <f t="shared" si="14"/>
        <v>1</v>
      </c>
      <c r="R33" s="669">
        <f t="shared" ca="1" si="15"/>
        <v>57951</v>
      </c>
      <c r="S33" s="322">
        <f t="shared" ca="1" si="6"/>
        <v>755</v>
      </c>
    </row>
    <row r="34" spans="1:19">
      <c r="A34" s="155" t="str">
        <f>'数据-基础表'!C23</f>
        <v>2单元128</v>
      </c>
      <c r="B34" s="57">
        <f>'数据-基础表'!I23</f>
        <v>219.79</v>
      </c>
      <c r="C34" s="24">
        <f t="shared" si="7"/>
        <v>0.99</v>
      </c>
      <c r="D34" s="3276" t="s">
        <v>3361</v>
      </c>
      <c r="E34" s="24">
        <f t="shared" si="8"/>
        <v>0.85</v>
      </c>
      <c r="F34" s="3275" t="s">
        <v>3362</v>
      </c>
      <c r="G34" s="24">
        <f t="shared" si="9"/>
        <v>0.9</v>
      </c>
      <c r="H34" s="673"/>
      <c r="I34" s="24">
        <f t="shared" si="10"/>
        <v>1</v>
      </c>
      <c r="J34" s="673"/>
      <c r="K34" s="24">
        <f t="shared" si="11"/>
        <v>1</v>
      </c>
      <c r="L34" s="673"/>
      <c r="M34" s="24">
        <f t="shared" si="12"/>
        <v>1</v>
      </c>
      <c r="N34" s="673"/>
      <c r="O34" s="24">
        <f t="shared" si="13"/>
        <v>1</v>
      </c>
      <c r="P34" s="2986" t="s">
        <v>3350</v>
      </c>
      <c r="Q34" s="24">
        <f t="shared" si="14"/>
        <v>1</v>
      </c>
      <c r="R34" s="669">
        <f t="shared" ca="1" si="15"/>
        <v>57372</v>
      </c>
      <c r="S34" s="322">
        <f t="shared" ca="1" si="6"/>
        <v>1261</v>
      </c>
    </row>
    <row r="35" spans="1:19">
      <c r="A35" s="155" t="str">
        <f>'数据-基础表'!C24</f>
        <v>2单元129</v>
      </c>
      <c r="B35" s="57">
        <f>'数据-基础表'!I24</f>
        <v>147.19999999999999</v>
      </c>
      <c r="C35" s="24">
        <f t="shared" si="7"/>
        <v>1</v>
      </c>
      <c r="D35" s="3276" t="s">
        <v>3361</v>
      </c>
      <c r="E35" s="24">
        <f t="shared" si="8"/>
        <v>0.85</v>
      </c>
      <c r="F35" s="3275" t="s">
        <v>3362</v>
      </c>
      <c r="G35" s="24">
        <f t="shared" si="9"/>
        <v>0.9</v>
      </c>
      <c r="H35" s="673"/>
      <c r="I35" s="24">
        <f t="shared" si="10"/>
        <v>1</v>
      </c>
      <c r="J35" s="673"/>
      <c r="K35" s="24">
        <f t="shared" si="11"/>
        <v>1</v>
      </c>
      <c r="L35" s="673"/>
      <c r="M35" s="24">
        <f t="shared" si="12"/>
        <v>1</v>
      </c>
      <c r="N35" s="673"/>
      <c r="O35" s="24">
        <f t="shared" si="13"/>
        <v>1</v>
      </c>
      <c r="P35" s="2986" t="s">
        <v>3350</v>
      </c>
      <c r="Q35" s="24">
        <f t="shared" si="14"/>
        <v>1</v>
      </c>
      <c r="R35" s="669">
        <f t="shared" ca="1" si="15"/>
        <v>57951</v>
      </c>
      <c r="S35" s="322">
        <f t="shared" ca="1" si="6"/>
        <v>853</v>
      </c>
    </row>
    <row r="36" spans="1:19">
      <c r="A36" s="155" t="str">
        <f>'数据-基础表'!C25</f>
        <v>2单元130</v>
      </c>
      <c r="B36" s="57">
        <f>'数据-基础表'!I25</f>
        <v>221.24</v>
      </c>
      <c r="C36" s="24">
        <f t="shared" si="7"/>
        <v>0.99</v>
      </c>
      <c r="D36" s="3276" t="s">
        <v>3361</v>
      </c>
      <c r="E36" s="24">
        <f t="shared" si="8"/>
        <v>0.85</v>
      </c>
      <c r="F36" s="3275" t="s">
        <v>3362</v>
      </c>
      <c r="G36" s="24">
        <f t="shared" si="9"/>
        <v>0.9</v>
      </c>
      <c r="H36" s="673"/>
      <c r="I36" s="24">
        <f t="shared" si="10"/>
        <v>1</v>
      </c>
      <c r="J36" s="673"/>
      <c r="K36" s="24">
        <f t="shared" si="11"/>
        <v>1</v>
      </c>
      <c r="L36" s="673"/>
      <c r="M36" s="24">
        <f t="shared" si="12"/>
        <v>1</v>
      </c>
      <c r="N36" s="673"/>
      <c r="O36" s="24">
        <f t="shared" si="13"/>
        <v>1</v>
      </c>
      <c r="P36" s="2986" t="s">
        <v>3350</v>
      </c>
      <c r="Q36" s="24">
        <f t="shared" si="14"/>
        <v>1</v>
      </c>
      <c r="R36" s="669">
        <f t="shared" ca="1" si="15"/>
        <v>57372</v>
      </c>
      <c r="S36" s="322">
        <f t="shared" ca="1" si="6"/>
        <v>1269</v>
      </c>
    </row>
    <row r="37" spans="1:19">
      <c r="A37" s="155" t="str">
        <f>'数据-基础表'!C26</f>
        <v>2单元131</v>
      </c>
      <c r="B37" s="57">
        <f>'数据-基础表'!I26</f>
        <v>341.21</v>
      </c>
      <c r="C37" s="24">
        <f t="shared" si="7"/>
        <v>0.98</v>
      </c>
      <c r="D37" s="3276" t="s">
        <v>3361</v>
      </c>
      <c r="E37" s="24">
        <f t="shared" si="8"/>
        <v>0.85</v>
      </c>
      <c r="F37" s="3275" t="s">
        <v>3362</v>
      </c>
      <c r="G37" s="24">
        <f t="shared" si="9"/>
        <v>0.9</v>
      </c>
      <c r="H37" s="673"/>
      <c r="I37" s="24">
        <f t="shared" si="10"/>
        <v>1</v>
      </c>
      <c r="J37" s="673"/>
      <c r="K37" s="24">
        <f t="shared" si="11"/>
        <v>1</v>
      </c>
      <c r="L37" s="673"/>
      <c r="M37" s="24">
        <f t="shared" si="12"/>
        <v>1</v>
      </c>
      <c r="N37" s="673"/>
      <c r="O37" s="24">
        <f t="shared" si="13"/>
        <v>1</v>
      </c>
      <c r="P37" s="2986" t="s">
        <v>3350</v>
      </c>
      <c r="Q37" s="24">
        <f t="shared" si="14"/>
        <v>1</v>
      </c>
      <c r="R37" s="669">
        <f t="shared" ca="1" si="15"/>
        <v>56792</v>
      </c>
      <c r="S37" s="322">
        <f t="shared" ca="1" si="6"/>
        <v>1938</v>
      </c>
    </row>
    <row r="38" spans="1:19">
      <c r="A38" s="155" t="str">
        <f>'数据-基础表'!C27</f>
        <v>2单元132</v>
      </c>
      <c r="B38" s="57">
        <f>'数据-基础表'!I27</f>
        <v>105.02</v>
      </c>
      <c r="C38" s="24">
        <f t="shared" si="7"/>
        <v>1</v>
      </c>
      <c r="D38" s="3276" t="s">
        <v>3361</v>
      </c>
      <c r="E38" s="24">
        <f t="shared" si="8"/>
        <v>0.85</v>
      </c>
      <c r="F38" s="3275" t="s">
        <v>3362</v>
      </c>
      <c r="G38" s="24">
        <f t="shared" si="9"/>
        <v>0.9</v>
      </c>
      <c r="H38" s="673"/>
      <c r="I38" s="24">
        <f t="shared" si="10"/>
        <v>1</v>
      </c>
      <c r="J38" s="673"/>
      <c r="K38" s="24">
        <f t="shared" si="11"/>
        <v>1</v>
      </c>
      <c r="L38" s="673"/>
      <c r="M38" s="24">
        <f t="shared" si="12"/>
        <v>1</v>
      </c>
      <c r="N38" s="673"/>
      <c r="O38" s="24">
        <f t="shared" si="13"/>
        <v>1</v>
      </c>
      <c r="P38" s="2986" t="s">
        <v>3350</v>
      </c>
      <c r="Q38" s="24">
        <f t="shared" si="14"/>
        <v>1</v>
      </c>
      <c r="R38" s="669">
        <f t="shared" ca="1" si="15"/>
        <v>57951</v>
      </c>
      <c r="S38" s="322">
        <f t="shared" ca="1" si="6"/>
        <v>609</v>
      </c>
    </row>
    <row r="39" spans="1:19">
      <c r="A39" s="155" t="str">
        <f>'数据-基础表'!C28</f>
        <v>2单元133</v>
      </c>
      <c r="B39" s="57">
        <f>'数据-基础表'!I28</f>
        <v>105.26</v>
      </c>
      <c r="C39" s="24">
        <f t="shared" si="7"/>
        <v>1</v>
      </c>
      <c r="D39" s="3276" t="s">
        <v>3361</v>
      </c>
      <c r="E39" s="24">
        <f t="shared" si="8"/>
        <v>0.85</v>
      </c>
      <c r="F39" s="3275" t="s">
        <v>3362</v>
      </c>
      <c r="G39" s="24">
        <f t="shared" si="9"/>
        <v>0.9</v>
      </c>
      <c r="H39" s="673"/>
      <c r="I39" s="24">
        <f t="shared" si="10"/>
        <v>1</v>
      </c>
      <c r="J39" s="673"/>
      <c r="K39" s="24">
        <f t="shared" si="11"/>
        <v>1</v>
      </c>
      <c r="L39" s="673"/>
      <c r="M39" s="24">
        <f t="shared" si="12"/>
        <v>1</v>
      </c>
      <c r="N39" s="673"/>
      <c r="O39" s="24">
        <f t="shared" si="13"/>
        <v>1</v>
      </c>
      <c r="P39" s="2986" t="s">
        <v>3350</v>
      </c>
      <c r="Q39" s="24">
        <f t="shared" si="14"/>
        <v>1</v>
      </c>
      <c r="R39" s="669">
        <f t="shared" ca="1" si="15"/>
        <v>57951</v>
      </c>
      <c r="S39" s="322">
        <f t="shared" ca="1" si="6"/>
        <v>610</v>
      </c>
    </row>
    <row r="40" spans="1:19">
      <c r="A40" s="155" t="str">
        <f>'数据-基础表'!C29</f>
        <v>2单元134</v>
      </c>
      <c r="B40" s="57">
        <f>'数据-基础表'!I29</f>
        <v>56.19</v>
      </c>
      <c r="C40" s="24">
        <f t="shared" si="7"/>
        <v>1.01</v>
      </c>
      <c r="D40" s="3276" t="s">
        <v>3363</v>
      </c>
      <c r="E40" s="24">
        <f t="shared" si="8"/>
        <v>0.9</v>
      </c>
      <c r="F40" s="3275" t="s">
        <v>3365</v>
      </c>
      <c r="G40" s="24">
        <f t="shared" si="9"/>
        <v>0.95</v>
      </c>
      <c r="H40" s="673"/>
      <c r="I40" s="24">
        <f t="shared" si="10"/>
        <v>1</v>
      </c>
      <c r="J40" s="673"/>
      <c r="K40" s="24">
        <f t="shared" si="11"/>
        <v>1</v>
      </c>
      <c r="L40" s="673"/>
      <c r="M40" s="24">
        <f t="shared" si="12"/>
        <v>1</v>
      </c>
      <c r="N40" s="673"/>
      <c r="O40" s="24">
        <f t="shared" si="13"/>
        <v>1</v>
      </c>
      <c r="P40" s="2986" t="s">
        <v>3350</v>
      </c>
      <c r="Q40" s="24">
        <f t="shared" si="14"/>
        <v>1</v>
      </c>
      <c r="R40" s="669">
        <f t="shared" ca="1" si="15"/>
        <v>65417</v>
      </c>
      <c r="S40" s="322">
        <f t="shared" ca="1" si="6"/>
        <v>368</v>
      </c>
    </row>
    <row r="41" spans="1:19">
      <c r="A41" s="155" t="str">
        <f>'数据-基础表'!C30</f>
        <v>2单元150</v>
      </c>
      <c r="B41" s="57">
        <f>'数据-基础表'!I30</f>
        <v>43.73</v>
      </c>
      <c r="C41" s="24">
        <f t="shared" si="7"/>
        <v>1.01</v>
      </c>
      <c r="D41" s="3276" t="s">
        <v>3363</v>
      </c>
      <c r="E41" s="24">
        <f t="shared" si="8"/>
        <v>0.9</v>
      </c>
      <c r="F41" s="3275" t="s">
        <v>3365</v>
      </c>
      <c r="G41" s="24">
        <f t="shared" si="9"/>
        <v>0.95</v>
      </c>
      <c r="H41" s="673"/>
      <c r="I41" s="24">
        <f t="shared" si="10"/>
        <v>1</v>
      </c>
      <c r="J41" s="673"/>
      <c r="K41" s="24">
        <f t="shared" si="11"/>
        <v>1</v>
      </c>
      <c r="L41" s="673"/>
      <c r="M41" s="24">
        <f t="shared" si="12"/>
        <v>1</v>
      </c>
      <c r="N41" s="673"/>
      <c r="O41" s="24">
        <f t="shared" si="13"/>
        <v>1</v>
      </c>
      <c r="P41" s="2986" t="s">
        <v>3350</v>
      </c>
      <c r="Q41" s="24">
        <f t="shared" si="14"/>
        <v>1</v>
      </c>
      <c r="R41" s="669">
        <f t="shared" ca="1" si="15"/>
        <v>65417</v>
      </c>
      <c r="S41" s="322">
        <f t="shared" ca="1" si="6"/>
        <v>286</v>
      </c>
    </row>
    <row r="42" spans="1:19">
      <c r="A42" s="155" t="str">
        <f>'数据-基础表'!C31</f>
        <v>3单元102</v>
      </c>
      <c r="B42" s="57">
        <f>'数据-基础表'!I31</f>
        <v>277.54000000000002</v>
      </c>
      <c r="C42" s="24">
        <f t="shared" si="7"/>
        <v>0.99</v>
      </c>
      <c r="D42" s="3275" t="s">
        <v>3348</v>
      </c>
      <c r="E42" s="24">
        <f t="shared" si="8"/>
        <v>1</v>
      </c>
      <c r="F42" s="3275" t="s">
        <v>3364</v>
      </c>
      <c r="G42" s="24">
        <f t="shared" si="9"/>
        <v>1</v>
      </c>
      <c r="H42" s="673"/>
      <c r="I42" s="24">
        <f t="shared" si="10"/>
        <v>1</v>
      </c>
      <c r="J42" s="673"/>
      <c r="K42" s="24">
        <f t="shared" si="11"/>
        <v>1</v>
      </c>
      <c r="L42" s="673"/>
      <c r="M42" s="24">
        <f t="shared" si="12"/>
        <v>1</v>
      </c>
      <c r="N42" s="673"/>
      <c r="O42" s="24">
        <f t="shared" si="13"/>
        <v>1</v>
      </c>
      <c r="P42" s="2986" t="s">
        <v>3350</v>
      </c>
      <c r="Q42" s="24">
        <f t="shared" si="14"/>
        <v>1</v>
      </c>
      <c r="R42" s="669">
        <f t="shared" ca="1" si="15"/>
        <v>74995</v>
      </c>
      <c r="S42" s="322">
        <f t="shared" ca="1" si="6"/>
        <v>2081</v>
      </c>
    </row>
    <row r="43" spans="1:19">
      <c r="A43" s="155"/>
      <c r="B43" s="57"/>
      <c r="C43" s="24">
        <f t="shared" si="7"/>
        <v>1</v>
      </c>
      <c r="D43" s="673"/>
      <c r="E43" s="24">
        <f t="shared" si="8"/>
        <v>0.05</v>
      </c>
      <c r="F43" s="2986"/>
      <c r="G43" s="24">
        <f t="shared" si="9"/>
        <v>0.1</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0.05</v>
      </c>
      <c r="F44" s="2986"/>
      <c r="G44" s="24">
        <f t="shared" si="9"/>
        <v>0.1</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0.05</v>
      </c>
      <c r="F45" s="2986"/>
      <c r="G45" s="24">
        <f t="shared" si="9"/>
        <v>0.1</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0.05</v>
      </c>
      <c r="F46" s="2986"/>
      <c r="G46" s="24">
        <f t="shared" si="9"/>
        <v>0.1</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0.05</v>
      </c>
      <c r="F47" s="2986"/>
      <c r="G47" s="24">
        <f t="shared" si="9"/>
        <v>0.1</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0.05</v>
      </c>
      <c r="F48" s="2986"/>
      <c r="G48" s="24">
        <f t="shared" si="9"/>
        <v>0.1</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0.05</v>
      </c>
      <c r="F49" s="2986"/>
      <c r="G49" s="24">
        <f t="shared" si="9"/>
        <v>0.1</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0.05</v>
      </c>
      <c r="F50" s="2986"/>
      <c r="G50" s="24">
        <f t="shared" si="9"/>
        <v>0.1</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0.05</v>
      </c>
      <c r="F51" s="2986"/>
      <c r="G51" s="24">
        <f t="shared" si="9"/>
        <v>0.1</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0.05</v>
      </c>
      <c r="F52" s="2986"/>
      <c r="G52" s="24">
        <f t="shared" si="9"/>
        <v>0.1</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0.05</v>
      </c>
      <c r="F53" s="2986"/>
      <c r="G53" s="24">
        <f t="shared" si="9"/>
        <v>0.1</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0.05</v>
      </c>
      <c r="F54" s="2986"/>
      <c r="G54" s="24">
        <f t="shared" si="9"/>
        <v>0.1</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0.05</v>
      </c>
      <c r="F55" s="2986"/>
      <c r="G55" s="24">
        <f t="shared" si="9"/>
        <v>0.1</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0.05</v>
      </c>
      <c r="F56" s="2986"/>
      <c r="G56" s="24">
        <f t="shared" si="9"/>
        <v>0.1</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0.05</v>
      </c>
      <c r="F57" s="2986"/>
      <c r="G57" s="24">
        <f t="shared" si="9"/>
        <v>0.1</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0.05</v>
      </c>
      <c r="F58" s="2986"/>
      <c r="G58" s="24">
        <f t="shared" si="9"/>
        <v>0.1</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0.05</v>
      </c>
      <c r="F59" s="2986"/>
      <c r="G59" s="24">
        <f t="shared" si="9"/>
        <v>0.1</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6"/>
      <c r="E60" s="24">
        <f t="shared" si="8"/>
        <v>0.05</v>
      </c>
      <c r="F60" s="2986"/>
      <c r="G60" s="24">
        <f t="shared" si="9"/>
        <v>0.1</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6"/>
      <c r="E61" s="24">
        <f t="shared" si="8"/>
        <v>0.05</v>
      </c>
      <c r="F61" s="2986"/>
      <c r="G61" s="24">
        <f t="shared" si="9"/>
        <v>0.1</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6"/>
      <c r="E62" s="24">
        <f t="shared" si="8"/>
        <v>0.05</v>
      </c>
      <c r="F62" s="2986"/>
      <c r="G62" s="24">
        <f t="shared" si="9"/>
        <v>0.1</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6"/>
      <c r="E63" s="24">
        <f t="shared" si="8"/>
        <v>0.05</v>
      </c>
      <c r="F63" s="2986"/>
      <c r="G63" s="24">
        <f t="shared" si="9"/>
        <v>0.1</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6"/>
      <c r="E64" s="24">
        <f t="shared" si="8"/>
        <v>0.05</v>
      </c>
      <c r="F64" s="2986"/>
      <c r="G64" s="24">
        <f t="shared" si="9"/>
        <v>0.1</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6"/>
      <c r="E65" s="24">
        <f t="shared" si="8"/>
        <v>0.05</v>
      </c>
      <c r="F65" s="2986"/>
      <c r="G65" s="24">
        <f t="shared" si="9"/>
        <v>0.1</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6"/>
      <c r="E66" s="24">
        <f t="shared" si="8"/>
        <v>0.05</v>
      </c>
      <c r="F66" s="2986"/>
      <c r="G66" s="24">
        <f t="shared" si="9"/>
        <v>0.1</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6"/>
      <c r="E67" s="24">
        <f t="shared" si="8"/>
        <v>0.05</v>
      </c>
      <c r="F67" s="2986"/>
      <c r="G67" s="24">
        <f t="shared" si="9"/>
        <v>0.1</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6"/>
      <c r="E68" s="24">
        <f t="shared" si="8"/>
        <v>0.05</v>
      </c>
      <c r="F68" s="2986"/>
      <c r="G68" s="24">
        <f t="shared" si="9"/>
        <v>0.1</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6"/>
      <c r="E69" s="24">
        <f t="shared" si="8"/>
        <v>0.05</v>
      </c>
      <c r="F69" s="2986"/>
      <c r="G69" s="24">
        <f t="shared" si="9"/>
        <v>0.1</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6"/>
      <c r="E70" s="24">
        <f t="shared" si="8"/>
        <v>0.05</v>
      </c>
      <c r="F70" s="2986"/>
      <c r="G70" s="24">
        <f t="shared" si="9"/>
        <v>0.1</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6"/>
      <c r="E71" s="24">
        <f t="shared" si="8"/>
        <v>0.05</v>
      </c>
      <c r="F71" s="2986"/>
      <c r="G71" s="24">
        <f t="shared" si="9"/>
        <v>0.1</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6"/>
      <c r="E72" s="24">
        <f t="shared" si="8"/>
        <v>0.05</v>
      </c>
      <c r="F72" s="2986"/>
      <c r="G72" s="24">
        <f t="shared" si="9"/>
        <v>0.1</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6"/>
      <c r="E73" s="24">
        <f t="shared" si="8"/>
        <v>0.05</v>
      </c>
      <c r="F73" s="2986"/>
      <c r="G73" s="24">
        <f t="shared" si="9"/>
        <v>0.1</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6"/>
      <c r="E74" s="24">
        <f t="shared" si="8"/>
        <v>0.05</v>
      </c>
      <c r="F74" s="2986"/>
      <c r="G74" s="24">
        <f t="shared" si="9"/>
        <v>0.1</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6"/>
      <c r="E75" s="24">
        <f t="shared" si="8"/>
        <v>0.05</v>
      </c>
      <c r="F75" s="2986"/>
      <c r="G75" s="24">
        <f t="shared" si="9"/>
        <v>0.1</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0.05</v>
      </c>
      <c r="F76" s="673"/>
      <c r="G76" s="24">
        <f t="shared" si="9"/>
        <v>0.1</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0.05</v>
      </c>
      <c r="F77" s="673"/>
      <c r="G77" s="24">
        <f t="shared" si="9"/>
        <v>0.1</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0.05</v>
      </c>
      <c r="F78" s="673"/>
      <c r="G78" s="24">
        <f t="shared" si="9"/>
        <v>0.1</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0.05</v>
      </c>
      <c r="F79" s="673"/>
      <c r="G79" s="24">
        <f t="shared" si="9"/>
        <v>0.1</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0.05</v>
      </c>
      <c r="F80" s="673"/>
      <c r="G80" s="24">
        <f t="shared" si="9"/>
        <v>0.1</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0.05</v>
      </c>
      <c r="F81" s="673"/>
      <c r="G81" s="24">
        <f t="shared" si="9"/>
        <v>0.1</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0.05</v>
      </c>
      <c r="F82" s="673"/>
      <c r="G82" s="24">
        <f t="shared" si="9"/>
        <v>0.1</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0.05</v>
      </c>
      <c r="F83" s="673"/>
      <c r="G83" s="24">
        <f t="shared" si="9"/>
        <v>0.1</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0.05</v>
      </c>
      <c r="F84" s="673"/>
      <c r="G84" s="24">
        <f t="shared" si="9"/>
        <v>0.1</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0.05</v>
      </c>
      <c r="F85" s="673"/>
      <c r="G85" s="24">
        <f t="shared" si="9"/>
        <v>0.1</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0.05</v>
      </c>
      <c r="F86" s="673"/>
      <c r="G86" s="24">
        <f t="shared" si="9"/>
        <v>0.1</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0.05</v>
      </c>
      <c r="F87" s="673"/>
      <c r="G87" s="24">
        <f t="shared" si="9"/>
        <v>0.1</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0.05</v>
      </c>
      <c r="F88" s="673"/>
      <c r="G88" s="24">
        <f t="shared" si="9"/>
        <v>0.1</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0.05</v>
      </c>
      <c r="F89" s="673"/>
      <c r="G89" s="24">
        <f t="shared" si="9"/>
        <v>0.1</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0.05</v>
      </c>
      <c r="F90" s="673"/>
      <c r="G90" s="24">
        <f t="shared" ref="G90:G153" si="19">(SUMIF($7:$7,F90,$8:$8)-SUMIF($7:$7,$F$24,$8:$8)+100)/100</f>
        <v>0.1</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0.05</v>
      </c>
      <c r="F91" s="673"/>
      <c r="G91" s="24">
        <f t="shared" si="19"/>
        <v>0.1</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0.05</v>
      </c>
      <c r="F92" s="673"/>
      <c r="G92" s="24">
        <f t="shared" si="19"/>
        <v>0.1</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0.05</v>
      </c>
      <c r="F93" s="673"/>
      <c r="G93" s="24">
        <f t="shared" si="19"/>
        <v>0.1</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0.05</v>
      </c>
      <c r="F94" s="673"/>
      <c r="G94" s="24">
        <f t="shared" si="19"/>
        <v>0.1</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0.05</v>
      </c>
      <c r="F95" s="673"/>
      <c r="G95" s="24">
        <f t="shared" si="19"/>
        <v>0.1</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0.05</v>
      </c>
      <c r="F96" s="673"/>
      <c r="G96" s="24">
        <f t="shared" si="19"/>
        <v>0.1</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0.05</v>
      </c>
      <c r="F97" s="673"/>
      <c r="G97" s="24">
        <f t="shared" si="19"/>
        <v>0.1</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0.05</v>
      </c>
      <c r="F98" s="673"/>
      <c r="G98" s="24">
        <f t="shared" si="19"/>
        <v>0.1</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0.05</v>
      </c>
      <c r="F99" s="673"/>
      <c r="G99" s="24">
        <f t="shared" si="19"/>
        <v>0.1</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0.05</v>
      </c>
      <c r="F100" s="673"/>
      <c r="G100" s="24">
        <f t="shared" si="19"/>
        <v>0.1</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0.05</v>
      </c>
      <c r="F101" s="673"/>
      <c r="G101" s="24">
        <f t="shared" si="19"/>
        <v>0.1</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0.05</v>
      </c>
      <c r="F102" s="673"/>
      <c r="G102" s="24">
        <f t="shared" si="19"/>
        <v>0.1</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0.05</v>
      </c>
      <c r="F103" s="673"/>
      <c r="G103" s="24">
        <f t="shared" si="19"/>
        <v>0.1</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0.05</v>
      </c>
      <c r="F104" s="673"/>
      <c r="G104" s="24">
        <f t="shared" si="19"/>
        <v>0.1</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0.05</v>
      </c>
      <c r="F105" s="673"/>
      <c r="G105" s="24">
        <f t="shared" si="19"/>
        <v>0.1</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0.05</v>
      </c>
      <c r="F106" s="673"/>
      <c r="G106" s="24">
        <f t="shared" si="19"/>
        <v>0.1</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0.05</v>
      </c>
      <c r="F107" s="673"/>
      <c r="G107" s="24">
        <f t="shared" si="19"/>
        <v>0.1</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0.05</v>
      </c>
      <c r="F108" s="673"/>
      <c r="G108" s="24">
        <f t="shared" si="19"/>
        <v>0.1</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0.05</v>
      </c>
      <c r="F109" s="673"/>
      <c r="G109" s="24">
        <f t="shared" si="19"/>
        <v>0.1</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0.05</v>
      </c>
      <c r="F110" s="673"/>
      <c r="G110" s="24">
        <f t="shared" si="19"/>
        <v>0.1</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0.05</v>
      </c>
      <c r="F111" s="673"/>
      <c r="G111" s="24">
        <f t="shared" si="19"/>
        <v>0.1</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0.05</v>
      </c>
      <c r="F112" s="673"/>
      <c r="G112" s="24">
        <f t="shared" si="19"/>
        <v>0.1</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0.05</v>
      </c>
      <c r="F113" s="673"/>
      <c r="G113" s="24">
        <f t="shared" si="19"/>
        <v>0.1</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0.05</v>
      </c>
      <c r="F114" s="673"/>
      <c r="G114" s="24">
        <f t="shared" si="19"/>
        <v>0.1</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0.05</v>
      </c>
      <c r="F115" s="673"/>
      <c r="G115" s="24">
        <f t="shared" si="19"/>
        <v>0.1</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0.05</v>
      </c>
      <c r="F116" s="673"/>
      <c r="G116" s="24">
        <f t="shared" si="19"/>
        <v>0.1</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0.05</v>
      </c>
      <c r="F117" s="673"/>
      <c r="G117" s="24">
        <f t="shared" si="19"/>
        <v>0.1</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0.05</v>
      </c>
      <c r="F118" s="673"/>
      <c r="G118" s="24">
        <f t="shared" si="19"/>
        <v>0.1</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0.05</v>
      </c>
      <c r="F119" s="673"/>
      <c r="G119" s="24">
        <f t="shared" si="19"/>
        <v>0.1</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0.05</v>
      </c>
      <c r="F120" s="673"/>
      <c r="G120" s="24">
        <f t="shared" si="19"/>
        <v>0.1</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0.05</v>
      </c>
      <c r="F121" s="673"/>
      <c r="G121" s="24">
        <f t="shared" si="19"/>
        <v>0.1</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0.05</v>
      </c>
      <c r="F122" s="673"/>
      <c r="G122" s="24">
        <f t="shared" si="19"/>
        <v>0.1</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0.05</v>
      </c>
      <c r="F123" s="673"/>
      <c r="G123" s="24">
        <f t="shared" si="19"/>
        <v>0.1</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0.05</v>
      </c>
      <c r="F124" s="673"/>
      <c r="G124" s="24">
        <f t="shared" si="19"/>
        <v>0.1</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0.05</v>
      </c>
      <c r="F125" s="673"/>
      <c r="G125" s="24">
        <f t="shared" si="19"/>
        <v>0.1</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0.05</v>
      </c>
      <c r="F126" s="673"/>
      <c r="G126" s="24">
        <f t="shared" si="19"/>
        <v>0.1</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0.05</v>
      </c>
      <c r="F127" s="673"/>
      <c r="G127" s="24">
        <f t="shared" si="19"/>
        <v>0.1</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0.05</v>
      </c>
      <c r="F128" s="673"/>
      <c r="G128" s="24">
        <f t="shared" si="19"/>
        <v>0.1</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0.05</v>
      </c>
      <c r="F129" s="673"/>
      <c r="G129" s="24">
        <f t="shared" si="19"/>
        <v>0.1</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0.05</v>
      </c>
      <c r="F130" s="673"/>
      <c r="G130" s="24">
        <f t="shared" si="19"/>
        <v>0.1</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0.05</v>
      </c>
      <c r="F131" s="673"/>
      <c r="G131" s="24">
        <f t="shared" si="19"/>
        <v>0.1</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0.05</v>
      </c>
      <c r="F132" s="673"/>
      <c r="G132" s="24">
        <f t="shared" si="19"/>
        <v>0.1</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0.05</v>
      </c>
      <c r="F133" s="673"/>
      <c r="G133" s="24">
        <f t="shared" si="19"/>
        <v>0.1</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0.05</v>
      </c>
      <c r="F134" s="673"/>
      <c r="G134" s="24">
        <f t="shared" si="19"/>
        <v>0.1</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0.05</v>
      </c>
      <c r="F135" s="673"/>
      <c r="G135" s="24">
        <f t="shared" si="19"/>
        <v>0.1</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0.05</v>
      </c>
      <c r="F136" s="673"/>
      <c r="G136" s="24">
        <f t="shared" si="19"/>
        <v>0.1</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0.05</v>
      </c>
      <c r="F137" s="673"/>
      <c r="G137" s="24">
        <f t="shared" si="19"/>
        <v>0.1</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0.05</v>
      </c>
      <c r="F138" s="673"/>
      <c r="G138" s="24">
        <f t="shared" si="19"/>
        <v>0.1</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0.05</v>
      </c>
      <c r="F139" s="673"/>
      <c r="G139" s="24">
        <f t="shared" si="19"/>
        <v>0.1</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0.05</v>
      </c>
      <c r="F140" s="673"/>
      <c r="G140" s="24">
        <f t="shared" si="19"/>
        <v>0.1</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0.05</v>
      </c>
      <c r="F141" s="673"/>
      <c r="G141" s="24">
        <f t="shared" si="19"/>
        <v>0.1</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0.05</v>
      </c>
      <c r="F142" s="673"/>
      <c r="G142" s="24">
        <f t="shared" si="19"/>
        <v>0.1</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0.05</v>
      </c>
      <c r="F143" s="673"/>
      <c r="G143" s="24">
        <f t="shared" si="19"/>
        <v>0.1</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0.05</v>
      </c>
      <c r="F144" s="673"/>
      <c r="G144" s="24">
        <f t="shared" si="19"/>
        <v>0.1</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0.05</v>
      </c>
      <c r="F145" s="673"/>
      <c r="G145" s="24">
        <f t="shared" si="19"/>
        <v>0.1</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0.05</v>
      </c>
      <c r="F146" s="673"/>
      <c r="G146" s="24">
        <f t="shared" si="19"/>
        <v>0.1</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0.05</v>
      </c>
      <c r="F147" s="673"/>
      <c r="G147" s="24">
        <f t="shared" si="19"/>
        <v>0.1</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0.05</v>
      </c>
      <c r="F148" s="673"/>
      <c r="G148" s="24">
        <f t="shared" si="19"/>
        <v>0.1</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0.05</v>
      </c>
      <c r="F149" s="673"/>
      <c r="G149" s="24">
        <f t="shared" si="19"/>
        <v>0.1</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0.05</v>
      </c>
      <c r="F150" s="673"/>
      <c r="G150" s="24">
        <f t="shared" si="19"/>
        <v>0.1</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0.05</v>
      </c>
      <c r="F151" s="673"/>
      <c r="G151" s="24">
        <f t="shared" si="19"/>
        <v>0.1</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0.05</v>
      </c>
      <c r="F152" s="673"/>
      <c r="G152" s="24">
        <f t="shared" si="19"/>
        <v>0.1</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0.05</v>
      </c>
      <c r="F153" s="673"/>
      <c r="G153" s="24">
        <f t="shared" si="19"/>
        <v>0.1</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0.05</v>
      </c>
      <c r="F154" s="673"/>
      <c r="G154" s="24">
        <f t="shared" ref="G154:G217" si="29">(SUMIF($7:$7,F154,$8:$8)-SUMIF($7:$7,$F$24,$8:$8)+100)/100</f>
        <v>0.1</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0.05</v>
      </c>
      <c r="F155" s="673"/>
      <c r="G155" s="24">
        <f t="shared" si="29"/>
        <v>0.1</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0.05</v>
      </c>
      <c r="F156" s="673"/>
      <c r="G156" s="24">
        <f t="shared" si="29"/>
        <v>0.1</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0.05</v>
      </c>
      <c r="F157" s="673"/>
      <c r="G157" s="24">
        <f t="shared" si="29"/>
        <v>0.1</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0.05</v>
      </c>
      <c r="F158" s="673"/>
      <c r="G158" s="24">
        <f t="shared" si="29"/>
        <v>0.1</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0.05</v>
      </c>
      <c r="F159" s="673"/>
      <c r="G159" s="24">
        <f t="shared" si="29"/>
        <v>0.1</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0.05</v>
      </c>
      <c r="F160" s="673"/>
      <c r="G160" s="24">
        <f t="shared" si="29"/>
        <v>0.1</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0.05</v>
      </c>
      <c r="F161" s="673"/>
      <c r="G161" s="24">
        <f t="shared" si="29"/>
        <v>0.1</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0.05</v>
      </c>
      <c r="F162" s="673"/>
      <c r="G162" s="24">
        <f t="shared" si="29"/>
        <v>0.1</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0.05</v>
      </c>
      <c r="F163" s="673"/>
      <c r="G163" s="24">
        <f t="shared" si="29"/>
        <v>0.1</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0.05</v>
      </c>
      <c r="F164" s="673"/>
      <c r="G164" s="24">
        <f t="shared" si="29"/>
        <v>0.1</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0.05</v>
      </c>
      <c r="F165" s="673"/>
      <c r="G165" s="24">
        <f t="shared" si="29"/>
        <v>0.1</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0.05</v>
      </c>
      <c r="F166" s="673"/>
      <c r="G166" s="24">
        <f t="shared" si="29"/>
        <v>0.1</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0.05</v>
      </c>
      <c r="F167" s="673"/>
      <c r="G167" s="24">
        <f t="shared" si="29"/>
        <v>0.1</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0.05</v>
      </c>
      <c r="F168" s="673"/>
      <c r="G168" s="24">
        <f t="shared" si="29"/>
        <v>0.1</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0.05</v>
      </c>
      <c r="F169" s="673"/>
      <c r="G169" s="24">
        <f t="shared" si="29"/>
        <v>0.1</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0.05</v>
      </c>
      <c r="F170" s="673"/>
      <c r="G170" s="24">
        <f t="shared" si="29"/>
        <v>0.1</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0.05</v>
      </c>
      <c r="F171" s="673"/>
      <c r="G171" s="24">
        <f t="shared" si="29"/>
        <v>0.1</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0.05</v>
      </c>
      <c r="F172" s="673"/>
      <c r="G172" s="24">
        <f t="shared" si="29"/>
        <v>0.1</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0.05</v>
      </c>
      <c r="F173" s="673"/>
      <c r="G173" s="24">
        <f t="shared" si="29"/>
        <v>0.1</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0.05</v>
      </c>
      <c r="F174" s="673"/>
      <c r="G174" s="24">
        <f t="shared" si="29"/>
        <v>0.1</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0.05</v>
      </c>
      <c r="F175" s="673"/>
      <c r="G175" s="24">
        <f t="shared" si="29"/>
        <v>0.1</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0.05</v>
      </c>
      <c r="F176" s="673"/>
      <c r="G176" s="24">
        <f t="shared" si="29"/>
        <v>0.1</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0.05</v>
      </c>
      <c r="F177" s="673"/>
      <c r="G177" s="24">
        <f t="shared" si="29"/>
        <v>0.1</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0.05</v>
      </c>
      <c r="F178" s="673"/>
      <c r="G178" s="24">
        <f t="shared" si="29"/>
        <v>0.1</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0.05</v>
      </c>
      <c r="F179" s="673"/>
      <c r="G179" s="24">
        <f t="shared" si="29"/>
        <v>0.1</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0.05</v>
      </c>
      <c r="F180" s="673"/>
      <c r="G180" s="24">
        <f t="shared" si="29"/>
        <v>0.1</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0.05</v>
      </c>
      <c r="F181" s="673"/>
      <c r="G181" s="24">
        <f t="shared" si="29"/>
        <v>0.1</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0.05</v>
      </c>
      <c r="F182" s="673"/>
      <c r="G182" s="24">
        <f t="shared" si="29"/>
        <v>0.1</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0.05</v>
      </c>
      <c r="F183" s="673"/>
      <c r="G183" s="24">
        <f t="shared" si="29"/>
        <v>0.1</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0.05</v>
      </c>
      <c r="F184" s="673"/>
      <c r="G184" s="24">
        <f t="shared" si="29"/>
        <v>0.1</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0.05</v>
      </c>
      <c r="F185" s="673"/>
      <c r="G185" s="24">
        <f t="shared" si="29"/>
        <v>0.1</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0.05</v>
      </c>
      <c r="F186" s="673"/>
      <c r="G186" s="24">
        <f t="shared" si="29"/>
        <v>0.1</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0.05</v>
      </c>
      <c r="F187" s="673"/>
      <c r="G187" s="24">
        <f t="shared" si="29"/>
        <v>0.1</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0.05</v>
      </c>
      <c r="F188" s="673"/>
      <c r="G188" s="24">
        <f t="shared" si="29"/>
        <v>0.1</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0.05</v>
      </c>
      <c r="F189" s="673"/>
      <c r="G189" s="24">
        <f t="shared" si="29"/>
        <v>0.1</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0.05</v>
      </c>
      <c r="F190" s="673"/>
      <c r="G190" s="24">
        <f t="shared" si="29"/>
        <v>0.1</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0.05</v>
      </c>
      <c r="F191" s="673"/>
      <c r="G191" s="24">
        <f t="shared" si="29"/>
        <v>0.1</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0.05</v>
      </c>
      <c r="F192" s="673"/>
      <c r="G192" s="24">
        <f t="shared" si="29"/>
        <v>0.1</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0.05</v>
      </c>
      <c r="F193" s="673"/>
      <c r="G193" s="24">
        <f t="shared" si="29"/>
        <v>0.1</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0.05</v>
      </c>
      <c r="F194" s="673"/>
      <c r="G194" s="24">
        <f t="shared" si="29"/>
        <v>0.1</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0.05</v>
      </c>
      <c r="F195" s="673"/>
      <c r="G195" s="24">
        <f t="shared" si="29"/>
        <v>0.1</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0.05</v>
      </c>
      <c r="F196" s="673"/>
      <c r="G196" s="24">
        <f t="shared" si="29"/>
        <v>0.1</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0.05</v>
      </c>
      <c r="F197" s="673"/>
      <c r="G197" s="24">
        <f t="shared" si="29"/>
        <v>0.1</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0.05</v>
      </c>
      <c r="F198" s="673"/>
      <c r="G198" s="24">
        <f t="shared" si="29"/>
        <v>0.1</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0.05</v>
      </c>
      <c r="F199" s="673"/>
      <c r="G199" s="24">
        <f t="shared" si="29"/>
        <v>0.1</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0.05</v>
      </c>
      <c r="F200" s="673"/>
      <c r="G200" s="24">
        <f t="shared" si="29"/>
        <v>0.1</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0.05</v>
      </c>
      <c r="F201" s="673"/>
      <c r="G201" s="24">
        <f t="shared" si="29"/>
        <v>0.1</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0.05</v>
      </c>
      <c r="F202" s="673"/>
      <c r="G202" s="24">
        <f t="shared" si="29"/>
        <v>0.1</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0.05</v>
      </c>
      <c r="F203" s="673"/>
      <c r="G203" s="24">
        <f t="shared" si="29"/>
        <v>0.1</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0.05</v>
      </c>
      <c r="F204" s="673"/>
      <c r="G204" s="24">
        <f t="shared" si="29"/>
        <v>0.1</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0.05</v>
      </c>
      <c r="F205" s="673"/>
      <c r="G205" s="24">
        <f t="shared" si="29"/>
        <v>0.1</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0.05</v>
      </c>
      <c r="F206" s="673"/>
      <c r="G206" s="24">
        <f t="shared" si="29"/>
        <v>0.1</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0.05</v>
      </c>
      <c r="F207" s="673"/>
      <c r="G207" s="24">
        <f t="shared" si="29"/>
        <v>0.1</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0.05</v>
      </c>
      <c r="F208" s="673"/>
      <c r="G208" s="24">
        <f t="shared" si="29"/>
        <v>0.1</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0.05</v>
      </c>
      <c r="F209" s="673"/>
      <c r="G209" s="24">
        <f t="shared" si="29"/>
        <v>0.1</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0.05</v>
      </c>
      <c r="F210" s="673"/>
      <c r="G210" s="24">
        <f t="shared" si="29"/>
        <v>0.1</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0.05</v>
      </c>
      <c r="F211" s="673"/>
      <c r="G211" s="24">
        <f t="shared" si="29"/>
        <v>0.1</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0.05</v>
      </c>
      <c r="F212" s="673"/>
      <c r="G212" s="24">
        <f t="shared" si="29"/>
        <v>0.1</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0.05</v>
      </c>
      <c r="F213" s="673"/>
      <c r="G213" s="24">
        <f t="shared" si="29"/>
        <v>0.1</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0.05</v>
      </c>
      <c r="F214" s="673"/>
      <c r="G214" s="24">
        <f t="shared" si="29"/>
        <v>0.1</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0.05</v>
      </c>
      <c r="F215" s="673"/>
      <c r="G215" s="24">
        <f t="shared" si="29"/>
        <v>0.1</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0.05</v>
      </c>
      <c r="F216" s="673"/>
      <c r="G216" s="24">
        <f t="shared" si="29"/>
        <v>0.1</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0.05</v>
      </c>
      <c r="F217" s="673"/>
      <c r="G217" s="24">
        <f t="shared" si="29"/>
        <v>0.1</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0.05</v>
      </c>
      <c r="F218" s="673"/>
      <c r="G218" s="24">
        <f t="shared" ref="G218:G281" si="39">(SUMIF($7:$7,F218,$8:$8)-SUMIF($7:$7,$F$24,$8:$8)+100)/100</f>
        <v>0.1</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0.05</v>
      </c>
      <c r="F219" s="673"/>
      <c r="G219" s="24">
        <f t="shared" si="39"/>
        <v>0.1</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0.05</v>
      </c>
      <c r="F220" s="673"/>
      <c r="G220" s="24">
        <f t="shared" si="39"/>
        <v>0.1</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0.05</v>
      </c>
      <c r="F221" s="673"/>
      <c r="G221" s="24">
        <f t="shared" si="39"/>
        <v>0.1</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0.05</v>
      </c>
      <c r="F222" s="673"/>
      <c r="G222" s="24">
        <f t="shared" si="39"/>
        <v>0.1</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0.05</v>
      </c>
      <c r="F223" s="673"/>
      <c r="G223" s="24">
        <f t="shared" si="39"/>
        <v>0.1</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0.05</v>
      </c>
      <c r="F224" s="673"/>
      <c r="G224" s="24">
        <f t="shared" si="39"/>
        <v>0.1</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0.05</v>
      </c>
      <c r="F225" s="673"/>
      <c r="G225" s="24">
        <f t="shared" si="39"/>
        <v>0.1</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0.05</v>
      </c>
      <c r="F226" s="673"/>
      <c r="G226" s="24">
        <f t="shared" si="39"/>
        <v>0.1</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0.05</v>
      </c>
      <c r="F227" s="673"/>
      <c r="G227" s="24">
        <f t="shared" si="39"/>
        <v>0.1</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0.05</v>
      </c>
      <c r="F228" s="673"/>
      <c r="G228" s="24">
        <f t="shared" si="39"/>
        <v>0.1</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0.05</v>
      </c>
      <c r="F229" s="673"/>
      <c r="G229" s="24">
        <f t="shared" si="39"/>
        <v>0.1</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0.05</v>
      </c>
      <c r="F230" s="673"/>
      <c r="G230" s="24">
        <f t="shared" si="39"/>
        <v>0.1</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0.05</v>
      </c>
      <c r="F231" s="673"/>
      <c r="G231" s="24">
        <f t="shared" si="39"/>
        <v>0.1</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0.05</v>
      </c>
      <c r="F232" s="673"/>
      <c r="G232" s="24">
        <f t="shared" si="39"/>
        <v>0.1</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0.05</v>
      </c>
      <c r="F233" s="673"/>
      <c r="G233" s="24">
        <f t="shared" si="39"/>
        <v>0.1</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0.05</v>
      </c>
      <c r="F234" s="673"/>
      <c r="G234" s="24">
        <f t="shared" si="39"/>
        <v>0.1</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0.05</v>
      </c>
      <c r="F235" s="673"/>
      <c r="G235" s="24">
        <f t="shared" si="39"/>
        <v>0.1</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0.05</v>
      </c>
      <c r="F236" s="673"/>
      <c r="G236" s="24">
        <f t="shared" si="39"/>
        <v>0.1</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0.05</v>
      </c>
      <c r="F237" s="673"/>
      <c r="G237" s="24">
        <f t="shared" si="39"/>
        <v>0.1</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0.05</v>
      </c>
      <c r="F238" s="673"/>
      <c r="G238" s="24">
        <f t="shared" si="39"/>
        <v>0.1</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0.05</v>
      </c>
      <c r="F239" s="673"/>
      <c r="G239" s="24">
        <f t="shared" si="39"/>
        <v>0.1</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0.05</v>
      </c>
      <c r="F240" s="673"/>
      <c r="G240" s="24">
        <f t="shared" si="39"/>
        <v>0.1</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0.05</v>
      </c>
      <c r="F241" s="673"/>
      <c r="G241" s="24">
        <f t="shared" si="39"/>
        <v>0.1</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0.05</v>
      </c>
      <c r="F242" s="673"/>
      <c r="G242" s="24">
        <f t="shared" si="39"/>
        <v>0.1</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0.05</v>
      </c>
      <c r="F243" s="673"/>
      <c r="G243" s="24">
        <f t="shared" si="39"/>
        <v>0.1</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0.05</v>
      </c>
      <c r="F244" s="673"/>
      <c r="G244" s="24">
        <f t="shared" si="39"/>
        <v>0.1</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0.05</v>
      </c>
      <c r="F245" s="673"/>
      <c r="G245" s="24">
        <f t="shared" si="39"/>
        <v>0.1</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0.05</v>
      </c>
      <c r="F246" s="673"/>
      <c r="G246" s="24">
        <f t="shared" si="39"/>
        <v>0.1</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0.05</v>
      </c>
      <c r="F247" s="673"/>
      <c r="G247" s="24">
        <f t="shared" si="39"/>
        <v>0.1</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0.05</v>
      </c>
      <c r="F248" s="673"/>
      <c r="G248" s="24">
        <f t="shared" si="39"/>
        <v>0.1</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0.05</v>
      </c>
      <c r="F249" s="673"/>
      <c r="G249" s="24">
        <f t="shared" si="39"/>
        <v>0.1</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0.05</v>
      </c>
      <c r="F250" s="673"/>
      <c r="G250" s="24">
        <f t="shared" si="39"/>
        <v>0.1</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0.05</v>
      </c>
      <c r="F251" s="673"/>
      <c r="G251" s="24">
        <f t="shared" si="39"/>
        <v>0.1</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0.05</v>
      </c>
      <c r="F252" s="673"/>
      <c r="G252" s="24">
        <f t="shared" si="39"/>
        <v>0.1</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0.05</v>
      </c>
      <c r="F253" s="673"/>
      <c r="G253" s="24">
        <f t="shared" si="39"/>
        <v>0.1</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0.05</v>
      </c>
      <c r="F254" s="673"/>
      <c r="G254" s="24">
        <f t="shared" si="39"/>
        <v>0.1</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0.05</v>
      </c>
      <c r="F255" s="673"/>
      <c r="G255" s="24">
        <f t="shared" si="39"/>
        <v>0.1</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0.05</v>
      </c>
      <c r="F256" s="673"/>
      <c r="G256" s="24">
        <f t="shared" si="39"/>
        <v>0.1</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0.05</v>
      </c>
      <c r="F257" s="673"/>
      <c r="G257" s="24">
        <f t="shared" si="39"/>
        <v>0.1</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0.05</v>
      </c>
      <c r="F258" s="673"/>
      <c r="G258" s="24">
        <f t="shared" si="39"/>
        <v>0.1</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0.05</v>
      </c>
      <c r="F259" s="673"/>
      <c r="G259" s="24">
        <f t="shared" si="39"/>
        <v>0.1</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0.05</v>
      </c>
      <c r="F260" s="673"/>
      <c r="G260" s="24">
        <f t="shared" si="39"/>
        <v>0.1</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0.05</v>
      </c>
      <c r="F261" s="673"/>
      <c r="G261" s="24">
        <f t="shared" si="39"/>
        <v>0.1</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0.05</v>
      </c>
      <c r="F262" s="673"/>
      <c r="G262" s="24">
        <f t="shared" si="39"/>
        <v>0.1</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0.05</v>
      </c>
      <c r="F263" s="673"/>
      <c r="G263" s="24">
        <f t="shared" si="39"/>
        <v>0.1</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0.05</v>
      </c>
      <c r="F264" s="673"/>
      <c r="G264" s="24">
        <f t="shared" si="39"/>
        <v>0.1</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0.05</v>
      </c>
      <c r="F265" s="673"/>
      <c r="G265" s="24">
        <f t="shared" si="39"/>
        <v>0.1</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0.05</v>
      </c>
      <c r="F266" s="673"/>
      <c r="G266" s="24">
        <f t="shared" si="39"/>
        <v>0.1</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0.05</v>
      </c>
      <c r="F267" s="673"/>
      <c r="G267" s="24">
        <f t="shared" si="39"/>
        <v>0.1</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0.05</v>
      </c>
      <c r="F268" s="673"/>
      <c r="G268" s="24">
        <f t="shared" si="39"/>
        <v>0.1</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0.05</v>
      </c>
      <c r="F269" s="673"/>
      <c r="G269" s="24">
        <f t="shared" si="39"/>
        <v>0.1</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0.05</v>
      </c>
      <c r="F270" s="673"/>
      <c r="G270" s="24">
        <f t="shared" si="39"/>
        <v>0.1</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0.05</v>
      </c>
      <c r="F271" s="673"/>
      <c r="G271" s="24">
        <f t="shared" si="39"/>
        <v>0.1</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0.05</v>
      </c>
      <c r="F272" s="673"/>
      <c r="G272" s="24">
        <f t="shared" si="39"/>
        <v>0.1</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0.05</v>
      </c>
      <c r="F273" s="673"/>
      <c r="G273" s="24">
        <f t="shared" si="39"/>
        <v>0.1</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0.05</v>
      </c>
      <c r="F274" s="673"/>
      <c r="G274" s="24">
        <f t="shared" si="39"/>
        <v>0.1</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0.05</v>
      </c>
      <c r="F275" s="673"/>
      <c r="G275" s="24">
        <f t="shared" si="39"/>
        <v>0.1</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0.05</v>
      </c>
      <c r="F276" s="673"/>
      <c r="G276" s="24">
        <f t="shared" si="39"/>
        <v>0.1</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0.05</v>
      </c>
      <c r="F277" s="673"/>
      <c r="G277" s="24">
        <f t="shared" si="39"/>
        <v>0.1</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0.05</v>
      </c>
      <c r="F278" s="673"/>
      <c r="G278" s="24">
        <f t="shared" si="39"/>
        <v>0.1</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0.05</v>
      </c>
      <c r="F279" s="673"/>
      <c r="G279" s="24">
        <f t="shared" si="39"/>
        <v>0.1</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0.05</v>
      </c>
      <c r="F280" s="673"/>
      <c r="G280" s="24">
        <f t="shared" si="39"/>
        <v>0.1</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0.05</v>
      </c>
      <c r="F281" s="673"/>
      <c r="G281" s="24">
        <f t="shared" si="39"/>
        <v>0.1</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0.05</v>
      </c>
      <c r="F282" s="673"/>
      <c r="G282" s="24">
        <f t="shared" ref="G282:G345" si="49">(SUMIF($7:$7,F282,$8:$8)-SUMIF($7:$7,$F$24,$8:$8)+100)/100</f>
        <v>0.1</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0.05</v>
      </c>
      <c r="F283" s="673"/>
      <c r="G283" s="24">
        <f t="shared" si="49"/>
        <v>0.1</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0.05</v>
      </c>
      <c r="F284" s="673"/>
      <c r="G284" s="24">
        <f t="shared" si="49"/>
        <v>0.1</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0.05</v>
      </c>
      <c r="F285" s="673"/>
      <c r="G285" s="24">
        <f t="shared" si="49"/>
        <v>0.1</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0.05</v>
      </c>
      <c r="F286" s="673"/>
      <c r="G286" s="24">
        <f t="shared" si="49"/>
        <v>0.1</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0.05</v>
      </c>
      <c r="F287" s="673"/>
      <c r="G287" s="24">
        <f t="shared" si="49"/>
        <v>0.1</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0.05</v>
      </c>
      <c r="F288" s="673"/>
      <c r="G288" s="24">
        <f t="shared" si="49"/>
        <v>0.1</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0.05</v>
      </c>
      <c r="F289" s="673"/>
      <c r="G289" s="24">
        <f t="shared" si="49"/>
        <v>0.1</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0.05</v>
      </c>
      <c r="F290" s="673"/>
      <c r="G290" s="24">
        <f t="shared" si="49"/>
        <v>0.1</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0.05</v>
      </c>
      <c r="F291" s="673"/>
      <c r="G291" s="24">
        <f t="shared" si="49"/>
        <v>0.1</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0.05</v>
      </c>
      <c r="F292" s="673"/>
      <c r="G292" s="24">
        <f t="shared" si="49"/>
        <v>0.1</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0.05</v>
      </c>
      <c r="F293" s="673"/>
      <c r="G293" s="24">
        <f t="shared" si="49"/>
        <v>0.1</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0.05</v>
      </c>
      <c r="F294" s="673"/>
      <c r="G294" s="24">
        <f t="shared" si="49"/>
        <v>0.1</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0.05</v>
      </c>
      <c r="F295" s="673"/>
      <c r="G295" s="24">
        <f t="shared" si="49"/>
        <v>0.1</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0.05</v>
      </c>
      <c r="F296" s="673"/>
      <c r="G296" s="24">
        <f t="shared" si="49"/>
        <v>0.1</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0.05</v>
      </c>
      <c r="F297" s="673"/>
      <c r="G297" s="24">
        <f t="shared" si="49"/>
        <v>0.1</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0.05</v>
      </c>
      <c r="F298" s="673"/>
      <c r="G298" s="24">
        <f t="shared" si="49"/>
        <v>0.1</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0.05</v>
      </c>
      <c r="F299" s="673"/>
      <c r="G299" s="24">
        <f t="shared" si="49"/>
        <v>0.1</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0.05</v>
      </c>
      <c r="F300" s="673"/>
      <c r="G300" s="24">
        <f t="shared" si="49"/>
        <v>0.1</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0.05</v>
      </c>
      <c r="F301" s="673"/>
      <c r="G301" s="24">
        <f t="shared" si="49"/>
        <v>0.1</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0.05</v>
      </c>
      <c r="F302" s="673"/>
      <c r="G302" s="24">
        <f t="shared" si="49"/>
        <v>0.1</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0.05</v>
      </c>
      <c r="F303" s="673"/>
      <c r="G303" s="24">
        <f t="shared" si="49"/>
        <v>0.1</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0.05</v>
      </c>
      <c r="F304" s="673"/>
      <c r="G304" s="24">
        <f t="shared" si="49"/>
        <v>0.1</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0.05</v>
      </c>
      <c r="F305" s="673"/>
      <c r="G305" s="24">
        <f t="shared" si="49"/>
        <v>0.1</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0.05</v>
      </c>
      <c r="F306" s="673"/>
      <c r="G306" s="24">
        <f t="shared" si="49"/>
        <v>0.1</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0.05</v>
      </c>
      <c r="F307" s="673"/>
      <c r="G307" s="24">
        <f t="shared" si="49"/>
        <v>0.1</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0.05</v>
      </c>
      <c r="F308" s="673"/>
      <c r="G308" s="24">
        <f t="shared" si="49"/>
        <v>0.1</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0.05</v>
      </c>
      <c r="F309" s="673"/>
      <c r="G309" s="24">
        <f t="shared" si="49"/>
        <v>0.1</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0.05</v>
      </c>
      <c r="F310" s="673"/>
      <c r="G310" s="24">
        <f t="shared" si="49"/>
        <v>0.1</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0.05</v>
      </c>
      <c r="F311" s="673"/>
      <c r="G311" s="24">
        <f t="shared" si="49"/>
        <v>0.1</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0.05</v>
      </c>
      <c r="F312" s="673"/>
      <c r="G312" s="24">
        <f t="shared" si="49"/>
        <v>0.1</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0.05</v>
      </c>
      <c r="F313" s="673"/>
      <c r="G313" s="24">
        <f t="shared" si="49"/>
        <v>0.1</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0.05</v>
      </c>
      <c r="F314" s="673"/>
      <c r="G314" s="24">
        <f t="shared" si="49"/>
        <v>0.1</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0.05</v>
      </c>
      <c r="F315" s="673"/>
      <c r="G315" s="24">
        <f t="shared" si="49"/>
        <v>0.1</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0.05</v>
      </c>
      <c r="F316" s="673"/>
      <c r="G316" s="24">
        <f t="shared" si="49"/>
        <v>0.1</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0.05</v>
      </c>
      <c r="F317" s="673"/>
      <c r="G317" s="24">
        <f t="shared" si="49"/>
        <v>0.1</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0.05</v>
      </c>
      <c r="F318" s="673"/>
      <c r="G318" s="24">
        <f t="shared" si="49"/>
        <v>0.1</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0.05</v>
      </c>
      <c r="F319" s="673"/>
      <c r="G319" s="24">
        <f t="shared" si="49"/>
        <v>0.1</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0.05</v>
      </c>
      <c r="F320" s="673"/>
      <c r="G320" s="24">
        <f t="shared" si="49"/>
        <v>0.1</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0.05</v>
      </c>
      <c r="F321" s="673"/>
      <c r="G321" s="24">
        <f t="shared" si="49"/>
        <v>0.1</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0.05</v>
      </c>
      <c r="F322" s="673"/>
      <c r="G322" s="24">
        <f t="shared" si="49"/>
        <v>0.1</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0.05</v>
      </c>
      <c r="F323" s="673"/>
      <c r="G323" s="24">
        <f t="shared" si="49"/>
        <v>0.1</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0.05</v>
      </c>
      <c r="F324" s="673"/>
      <c r="G324" s="24">
        <f t="shared" si="49"/>
        <v>0.1</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0.05</v>
      </c>
      <c r="F325" s="673"/>
      <c r="G325" s="24">
        <f t="shared" si="49"/>
        <v>0.1</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0.05</v>
      </c>
      <c r="F326" s="673"/>
      <c r="G326" s="24">
        <f t="shared" si="49"/>
        <v>0.1</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0.05</v>
      </c>
      <c r="F327" s="673"/>
      <c r="G327" s="24">
        <f t="shared" si="49"/>
        <v>0.1</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0.05</v>
      </c>
      <c r="F328" s="673"/>
      <c r="G328" s="24">
        <f t="shared" si="49"/>
        <v>0.1</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0.05</v>
      </c>
      <c r="F329" s="673"/>
      <c r="G329" s="24">
        <f t="shared" si="49"/>
        <v>0.1</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0.05</v>
      </c>
      <c r="F330" s="673"/>
      <c r="G330" s="24">
        <f t="shared" si="49"/>
        <v>0.1</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0.05</v>
      </c>
      <c r="F331" s="673"/>
      <c r="G331" s="24">
        <f t="shared" si="49"/>
        <v>0.1</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0.05</v>
      </c>
      <c r="F332" s="673"/>
      <c r="G332" s="24">
        <f t="shared" si="49"/>
        <v>0.1</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0.05</v>
      </c>
      <c r="F333" s="673"/>
      <c r="G333" s="24">
        <f t="shared" si="49"/>
        <v>0.1</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0.05</v>
      </c>
      <c r="F334" s="673"/>
      <c r="G334" s="24">
        <f t="shared" si="49"/>
        <v>0.1</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0.05</v>
      </c>
      <c r="F335" s="673"/>
      <c r="G335" s="24">
        <f t="shared" si="49"/>
        <v>0.1</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0.05</v>
      </c>
      <c r="F336" s="673"/>
      <c r="G336" s="24">
        <f t="shared" si="49"/>
        <v>0.1</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0.05</v>
      </c>
      <c r="F337" s="673"/>
      <c r="G337" s="24">
        <f t="shared" si="49"/>
        <v>0.1</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0.05</v>
      </c>
      <c r="F338" s="673"/>
      <c r="G338" s="24">
        <f t="shared" si="49"/>
        <v>0.1</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0.05</v>
      </c>
      <c r="F339" s="673"/>
      <c r="G339" s="24">
        <f t="shared" si="49"/>
        <v>0.1</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0.05</v>
      </c>
      <c r="F340" s="673"/>
      <c r="G340" s="24">
        <f t="shared" si="49"/>
        <v>0.1</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0.05</v>
      </c>
      <c r="F341" s="673"/>
      <c r="G341" s="24">
        <f t="shared" si="49"/>
        <v>0.1</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0.05</v>
      </c>
      <c r="F342" s="673"/>
      <c r="G342" s="24">
        <f t="shared" si="49"/>
        <v>0.1</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0.05</v>
      </c>
      <c r="F343" s="673"/>
      <c r="G343" s="24">
        <f t="shared" si="49"/>
        <v>0.1</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0.05</v>
      </c>
      <c r="F344" s="673"/>
      <c r="G344" s="24">
        <f t="shared" si="49"/>
        <v>0.1</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0.05</v>
      </c>
      <c r="F345" s="673"/>
      <c r="G345" s="24">
        <f t="shared" si="49"/>
        <v>0.1</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0.05</v>
      </c>
      <c r="F346" s="673"/>
      <c r="G346" s="24">
        <f t="shared" ref="G346:G409" si="59">(SUMIF($7:$7,F346,$8:$8)-SUMIF($7:$7,$F$24,$8:$8)+100)/100</f>
        <v>0.1</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0.05</v>
      </c>
      <c r="F347" s="673"/>
      <c r="G347" s="24">
        <f t="shared" si="59"/>
        <v>0.1</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0.05</v>
      </c>
      <c r="F348" s="673"/>
      <c r="G348" s="24">
        <f t="shared" si="59"/>
        <v>0.1</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0.05</v>
      </c>
      <c r="F349" s="673"/>
      <c r="G349" s="24">
        <f t="shared" si="59"/>
        <v>0.1</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0.05</v>
      </c>
      <c r="F350" s="673"/>
      <c r="G350" s="24">
        <f t="shared" si="59"/>
        <v>0.1</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0.05</v>
      </c>
      <c r="F351" s="673"/>
      <c r="G351" s="24">
        <f t="shared" si="59"/>
        <v>0.1</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0.05</v>
      </c>
      <c r="F352" s="673"/>
      <c r="G352" s="24">
        <f t="shared" si="59"/>
        <v>0.1</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0.05</v>
      </c>
      <c r="F353" s="673"/>
      <c r="G353" s="24">
        <f t="shared" si="59"/>
        <v>0.1</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0.05</v>
      </c>
      <c r="F354" s="673"/>
      <c r="G354" s="24">
        <f t="shared" si="59"/>
        <v>0.1</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0.05</v>
      </c>
      <c r="F355" s="673"/>
      <c r="G355" s="24">
        <f t="shared" si="59"/>
        <v>0.1</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0.05</v>
      </c>
      <c r="F356" s="673"/>
      <c r="G356" s="24">
        <f t="shared" si="59"/>
        <v>0.1</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0.05</v>
      </c>
      <c r="F357" s="673"/>
      <c r="G357" s="24">
        <f t="shared" si="59"/>
        <v>0.1</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0.05</v>
      </c>
      <c r="F358" s="673"/>
      <c r="G358" s="24">
        <f t="shared" si="59"/>
        <v>0.1</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0.05</v>
      </c>
      <c r="F359" s="673"/>
      <c r="G359" s="24">
        <f t="shared" si="59"/>
        <v>0.1</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0.05</v>
      </c>
      <c r="F360" s="673"/>
      <c r="G360" s="24">
        <f t="shared" si="59"/>
        <v>0.1</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0.05</v>
      </c>
      <c r="F361" s="673"/>
      <c r="G361" s="24">
        <f t="shared" si="59"/>
        <v>0.1</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0.05</v>
      </c>
      <c r="F362" s="673"/>
      <c r="G362" s="24">
        <f t="shared" si="59"/>
        <v>0.1</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0.05</v>
      </c>
      <c r="F363" s="673"/>
      <c r="G363" s="24">
        <f t="shared" si="59"/>
        <v>0.1</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0.05</v>
      </c>
      <c r="F364" s="673"/>
      <c r="G364" s="24">
        <f t="shared" si="59"/>
        <v>0.1</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0.05</v>
      </c>
      <c r="F365" s="673"/>
      <c r="G365" s="24">
        <f t="shared" si="59"/>
        <v>0.1</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0.05</v>
      </c>
      <c r="F366" s="673"/>
      <c r="G366" s="24">
        <f t="shared" si="59"/>
        <v>0.1</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0.05</v>
      </c>
      <c r="F367" s="673"/>
      <c r="G367" s="24">
        <f t="shared" si="59"/>
        <v>0.1</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0.05</v>
      </c>
      <c r="F368" s="673"/>
      <c r="G368" s="24">
        <f t="shared" si="59"/>
        <v>0.1</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0.05</v>
      </c>
      <c r="F369" s="673"/>
      <c r="G369" s="24">
        <f t="shared" si="59"/>
        <v>0.1</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0.05</v>
      </c>
      <c r="F370" s="673"/>
      <c r="G370" s="24">
        <f t="shared" si="59"/>
        <v>0.1</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0.05</v>
      </c>
      <c r="F371" s="673"/>
      <c r="G371" s="24">
        <f t="shared" si="59"/>
        <v>0.1</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0.05</v>
      </c>
      <c r="F372" s="673"/>
      <c r="G372" s="24">
        <f t="shared" si="59"/>
        <v>0.1</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0.05</v>
      </c>
      <c r="F373" s="673"/>
      <c r="G373" s="24">
        <f t="shared" si="59"/>
        <v>0.1</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0.05</v>
      </c>
      <c r="F374" s="673"/>
      <c r="G374" s="24">
        <f t="shared" si="59"/>
        <v>0.1</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0.05</v>
      </c>
      <c r="F375" s="673"/>
      <c r="G375" s="24">
        <f t="shared" si="59"/>
        <v>0.1</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0.05</v>
      </c>
      <c r="F376" s="673"/>
      <c r="G376" s="24">
        <f t="shared" si="59"/>
        <v>0.1</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0.05</v>
      </c>
      <c r="F377" s="673"/>
      <c r="G377" s="24">
        <f t="shared" si="59"/>
        <v>0.1</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0.05</v>
      </c>
      <c r="F378" s="673"/>
      <c r="G378" s="24">
        <f t="shared" si="59"/>
        <v>0.1</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0.05</v>
      </c>
      <c r="F379" s="673"/>
      <c r="G379" s="24">
        <f t="shared" si="59"/>
        <v>0.1</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0.05</v>
      </c>
      <c r="F380" s="673"/>
      <c r="G380" s="24">
        <f t="shared" si="59"/>
        <v>0.1</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0.05</v>
      </c>
      <c r="F381" s="673"/>
      <c r="G381" s="24">
        <f t="shared" si="59"/>
        <v>0.1</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0.05</v>
      </c>
      <c r="F382" s="673"/>
      <c r="G382" s="24">
        <f t="shared" si="59"/>
        <v>0.1</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0.05</v>
      </c>
      <c r="F383" s="673"/>
      <c r="G383" s="24">
        <f t="shared" si="59"/>
        <v>0.1</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0.05</v>
      </c>
      <c r="F384" s="673"/>
      <c r="G384" s="24">
        <f t="shared" si="59"/>
        <v>0.1</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0.05</v>
      </c>
      <c r="F385" s="673"/>
      <c r="G385" s="24">
        <f t="shared" si="59"/>
        <v>0.1</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0.05</v>
      </c>
      <c r="F386" s="673"/>
      <c r="G386" s="24">
        <f t="shared" si="59"/>
        <v>0.1</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0.05</v>
      </c>
      <c r="F387" s="673"/>
      <c r="G387" s="24">
        <f t="shared" si="59"/>
        <v>0.1</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0.05</v>
      </c>
      <c r="F388" s="673"/>
      <c r="G388" s="24">
        <f t="shared" si="59"/>
        <v>0.1</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0.05</v>
      </c>
      <c r="F389" s="673"/>
      <c r="G389" s="24">
        <f t="shared" si="59"/>
        <v>0.1</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0.05</v>
      </c>
      <c r="F390" s="673"/>
      <c r="G390" s="24">
        <f t="shared" si="59"/>
        <v>0.1</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0.05</v>
      </c>
      <c r="F391" s="673"/>
      <c r="G391" s="24">
        <f t="shared" si="59"/>
        <v>0.1</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0.05</v>
      </c>
      <c r="F392" s="673"/>
      <c r="G392" s="24">
        <f t="shared" si="59"/>
        <v>0.1</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0.05</v>
      </c>
      <c r="F393" s="673"/>
      <c r="G393" s="24">
        <f t="shared" si="59"/>
        <v>0.1</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0.05</v>
      </c>
      <c r="F394" s="673"/>
      <c r="G394" s="24">
        <f t="shared" si="59"/>
        <v>0.1</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0.05</v>
      </c>
      <c r="F395" s="673"/>
      <c r="G395" s="24">
        <f t="shared" si="59"/>
        <v>0.1</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0.05</v>
      </c>
      <c r="F396" s="673"/>
      <c r="G396" s="24">
        <f t="shared" si="59"/>
        <v>0.1</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0.05</v>
      </c>
      <c r="F397" s="673"/>
      <c r="G397" s="24">
        <f t="shared" si="59"/>
        <v>0.1</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0.05</v>
      </c>
      <c r="F398" s="673"/>
      <c r="G398" s="24">
        <f t="shared" si="59"/>
        <v>0.1</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0.05</v>
      </c>
      <c r="F399" s="673"/>
      <c r="G399" s="24">
        <f t="shared" si="59"/>
        <v>0.1</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0.05</v>
      </c>
      <c r="F400" s="673"/>
      <c r="G400" s="24">
        <f t="shared" si="59"/>
        <v>0.1</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0.05</v>
      </c>
      <c r="F401" s="673"/>
      <c r="G401" s="24">
        <f t="shared" si="59"/>
        <v>0.1</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0.05</v>
      </c>
      <c r="F402" s="673"/>
      <c r="G402" s="24">
        <f t="shared" si="59"/>
        <v>0.1</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0.05</v>
      </c>
      <c r="F403" s="673"/>
      <c r="G403" s="24">
        <f t="shared" si="59"/>
        <v>0.1</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0.05</v>
      </c>
      <c r="F404" s="673"/>
      <c r="G404" s="24">
        <f t="shared" si="59"/>
        <v>0.1</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0.05</v>
      </c>
      <c r="F405" s="673"/>
      <c r="G405" s="24">
        <f t="shared" si="59"/>
        <v>0.1</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0.05</v>
      </c>
      <c r="F406" s="673"/>
      <c r="G406" s="24">
        <f t="shared" si="59"/>
        <v>0.1</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0.05</v>
      </c>
      <c r="F407" s="673"/>
      <c r="G407" s="24">
        <f t="shared" si="59"/>
        <v>0.1</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0.05</v>
      </c>
      <c r="F408" s="673"/>
      <c r="G408" s="24">
        <f t="shared" si="59"/>
        <v>0.1</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0.05</v>
      </c>
      <c r="F409" s="673"/>
      <c r="G409" s="24">
        <f t="shared" si="59"/>
        <v>0.1</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0.05</v>
      </c>
      <c r="F410" s="673"/>
      <c r="G410" s="24">
        <f t="shared" ref="G410:G473" si="69">(SUMIF($7:$7,F410,$8:$8)-SUMIF($7:$7,$F$24,$8:$8)+100)/100</f>
        <v>0.1</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0.05</v>
      </c>
      <c r="F411" s="673"/>
      <c r="G411" s="24">
        <f t="shared" si="69"/>
        <v>0.1</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0.05</v>
      </c>
      <c r="F412" s="673"/>
      <c r="G412" s="24">
        <f t="shared" si="69"/>
        <v>0.1</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0.05</v>
      </c>
      <c r="F413" s="673"/>
      <c r="G413" s="24">
        <f t="shared" si="69"/>
        <v>0.1</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0.05</v>
      </c>
      <c r="F414" s="673"/>
      <c r="G414" s="24">
        <f t="shared" si="69"/>
        <v>0.1</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0.05</v>
      </c>
      <c r="F415" s="673"/>
      <c r="G415" s="24">
        <f t="shared" si="69"/>
        <v>0.1</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0.05</v>
      </c>
      <c r="F416" s="673"/>
      <c r="G416" s="24">
        <f t="shared" si="69"/>
        <v>0.1</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0.05</v>
      </c>
      <c r="F417" s="673"/>
      <c r="G417" s="24">
        <f t="shared" si="69"/>
        <v>0.1</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0.05</v>
      </c>
      <c r="F418" s="673"/>
      <c r="G418" s="24">
        <f t="shared" si="69"/>
        <v>0.1</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0.05</v>
      </c>
      <c r="F419" s="673"/>
      <c r="G419" s="24">
        <f t="shared" si="69"/>
        <v>0.1</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0.05</v>
      </c>
      <c r="F420" s="673"/>
      <c r="G420" s="24">
        <f t="shared" si="69"/>
        <v>0.1</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0.05</v>
      </c>
      <c r="F421" s="673"/>
      <c r="G421" s="24">
        <f t="shared" si="69"/>
        <v>0.1</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0.05</v>
      </c>
      <c r="F422" s="673"/>
      <c r="G422" s="24">
        <f t="shared" si="69"/>
        <v>0.1</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0.05</v>
      </c>
      <c r="F423" s="673"/>
      <c r="G423" s="24">
        <f t="shared" si="69"/>
        <v>0.1</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0.05</v>
      </c>
      <c r="F424" s="673"/>
      <c r="G424" s="24">
        <f t="shared" si="69"/>
        <v>0.1</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0.05</v>
      </c>
      <c r="F425" s="673"/>
      <c r="G425" s="24">
        <f t="shared" si="69"/>
        <v>0.1</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0.05</v>
      </c>
      <c r="F426" s="673"/>
      <c r="G426" s="24">
        <f t="shared" si="69"/>
        <v>0.1</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0.05</v>
      </c>
      <c r="F427" s="673"/>
      <c r="G427" s="24">
        <f t="shared" si="69"/>
        <v>0.1</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0.05</v>
      </c>
      <c r="F428" s="673"/>
      <c r="G428" s="24">
        <f t="shared" si="69"/>
        <v>0.1</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0.05</v>
      </c>
      <c r="F429" s="673"/>
      <c r="G429" s="24">
        <f t="shared" si="69"/>
        <v>0.1</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0.05</v>
      </c>
      <c r="F430" s="673"/>
      <c r="G430" s="24">
        <f t="shared" si="69"/>
        <v>0.1</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0.05</v>
      </c>
      <c r="F431" s="673"/>
      <c r="G431" s="24">
        <f t="shared" si="69"/>
        <v>0.1</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0.05</v>
      </c>
      <c r="F432" s="673"/>
      <c r="G432" s="24">
        <f t="shared" si="69"/>
        <v>0.1</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0.05</v>
      </c>
      <c r="F433" s="673"/>
      <c r="G433" s="24">
        <f t="shared" si="69"/>
        <v>0.1</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0.05</v>
      </c>
      <c r="F434" s="673"/>
      <c r="G434" s="24">
        <f t="shared" si="69"/>
        <v>0.1</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0.05</v>
      </c>
      <c r="F435" s="673"/>
      <c r="G435" s="24">
        <f t="shared" si="69"/>
        <v>0.1</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0.05</v>
      </c>
      <c r="F436" s="673"/>
      <c r="G436" s="24">
        <f t="shared" si="69"/>
        <v>0.1</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0.05</v>
      </c>
      <c r="F437" s="673"/>
      <c r="G437" s="24">
        <f t="shared" si="69"/>
        <v>0.1</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0.05</v>
      </c>
      <c r="F438" s="673"/>
      <c r="G438" s="24">
        <f t="shared" si="69"/>
        <v>0.1</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0.05</v>
      </c>
      <c r="F439" s="673"/>
      <c r="G439" s="24">
        <f t="shared" si="69"/>
        <v>0.1</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0.05</v>
      </c>
      <c r="F440" s="673"/>
      <c r="G440" s="24">
        <f t="shared" si="69"/>
        <v>0.1</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0.05</v>
      </c>
      <c r="F441" s="673"/>
      <c r="G441" s="24">
        <f t="shared" si="69"/>
        <v>0.1</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0.05</v>
      </c>
      <c r="F442" s="673"/>
      <c r="G442" s="24">
        <f t="shared" si="69"/>
        <v>0.1</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0.05</v>
      </c>
      <c r="F443" s="673"/>
      <c r="G443" s="24">
        <f t="shared" si="69"/>
        <v>0.1</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0.05</v>
      </c>
      <c r="F444" s="673"/>
      <c r="G444" s="24">
        <f t="shared" si="69"/>
        <v>0.1</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0.05</v>
      </c>
      <c r="F445" s="673"/>
      <c r="G445" s="24">
        <f t="shared" si="69"/>
        <v>0.1</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0.05</v>
      </c>
      <c r="F446" s="673"/>
      <c r="G446" s="24">
        <f t="shared" si="69"/>
        <v>0.1</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0.05</v>
      </c>
      <c r="F447" s="673"/>
      <c r="G447" s="24">
        <f t="shared" si="69"/>
        <v>0.1</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0.05</v>
      </c>
      <c r="F448" s="673"/>
      <c r="G448" s="24">
        <f t="shared" si="69"/>
        <v>0.1</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0.05</v>
      </c>
      <c r="F449" s="673"/>
      <c r="G449" s="24">
        <f t="shared" si="69"/>
        <v>0.1</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0.05</v>
      </c>
      <c r="F450" s="673"/>
      <c r="G450" s="24">
        <f t="shared" si="69"/>
        <v>0.1</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0.05</v>
      </c>
      <c r="F451" s="673"/>
      <c r="G451" s="24">
        <f t="shared" si="69"/>
        <v>0.1</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0.05</v>
      </c>
      <c r="F452" s="673"/>
      <c r="G452" s="24">
        <f t="shared" si="69"/>
        <v>0.1</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0.05</v>
      </c>
      <c r="F453" s="673"/>
      <c r="G453" s="24">
        <f t="shared" si="69"/>
        <v>0.1</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0.05</v>
      </c>
      <c r="F454" s="673"/>
      <c r="G454" s="24">
        <f t="shared" si="69"/>
        <v>0.1</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0.05</v>
      </c>
      <c r="F455" s="673"/>
      <c r="G455" s="24">
        <f t="shared" si="69"/>
        <v>0.1</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0.05</v>
      </c>
      <c r="F456" s="673"/>
      <c r="G456" s="24">
        <f t="shared" si="69"/>
        <v>0.1</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0.05</v>
      </c>
      <c r="F457" s="673"/>
      <c r="G457" s="24">
        <f t="shared" si="69"/>
        <v>0.1</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0.05</v>
      </c>
      <c r="F458" s="673"/>
      <c r="G458" s="24">
        <f t="shared" si="69"/>
        <v>0.1</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0.05</v>
      </c>
      <c r="F459" s="673"/>
      <c r="G459" s="24">
        <f t="shared" si="69"/>
        <v>0.1</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0.05</v>
      </c>
      <c r="F460" s="673"/>
      <c r="G460" s="24">
        <f t="shared" si="69"/>
        <v>0.1</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0.05</v>
      </c>
      <c r="F461" s="673"/>
      <c r="G461" s="24">
        <f t="shared" si="69"/>
        <v>0.1</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0.05</v>
      </c>
      <c r="F462" s="673"/>
      <c r="G462" s="24">
        <f t="shared" si="69"/>
        <v>0.1</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0.05</v>
      </c>
      <c r="F463" s="673"/>
      <c r="G463" s="24">
        <f t="shared" si="69"/>
        <v>0.1</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0.05</v>
      </c>
      <c r="F464" s="673"/>
      <c r="G464" s="24">
        <f t="shared" si="69"/>
        <v>0.1</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0.05</v>
      </c>
      <c r="F465" s="673"/>
      <c r="G465" s="24">
        <f t="shared" si="69"/>
        <v>0.1</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0.05</v>
      </c>
      <c r="F466" s="673"/>
      <c r="G466" s="24">
        <f t="shared" si="69"/>
        <v>0.1</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0.05</v>
      </c>
      <c r="F467" s="673"/>
      <c r="G467" s="24">
        <f t="shared" si="69"/>
        <v>0.1</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0.05</v>
      </c>
      <c r="F468" s="673"/>
      <c r="G468" s="24">
        <f t="shared" si="69"/>
        <v>0.1</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0.05</v>
      </c>
      <c r="F469" s="673"/>
      <c r="G469" s="24">
        <f t="shared" si="69"/>
        <v>0.1</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0.05</v>
      </c>
      <c r="F470" s="673"/>
      <c r="G470" s="24">
        <f t="shared" si="69"/>
        <v>0.1</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0.05</v>
      </c>
      <c r="F471" s="673"/>
      <c r="G471" s="24">
        <f t="shared" si="69"/>
        <v>0.1</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0.05</v>
      </c>
      <c r="F472" s="673"/>
      <c r="G472" s="24">
        <f t="shared" si="69"/>
        <v>0.1</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0.05</v>
      </c>
      <c r="F473" s="673"/>
      <c r="G473" s="24">
        <f t="shared" si="69"/>
        <v>0.1</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0.05</v>
      </c>
      <c r="F474" s="673"/>
      <c r="G474" s="24">
        <f t="shared" ref="G474:G524" si="79">(SUMIF($7:$7,F474,$8:$8)-SUMIF($7:$7,$F$24,$8:$8)+100)/100</f>
        <v>0.1</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0.05</v>
      </c>
      <c r="F475" s="673"/>
      <c r="G475" s="24">
        <f t="shared" si="79"/>
        <v>0.1</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0.05</v>
      </c>
      <c r="F476" s="673"/>
      <c r="G476" s="24">
        <f t="shared" si="79"/>
        <v>0.1</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0.05</v>
      </c>
      <c r="F477" s="673"/>
      <c r="G477" s="24">
        <f t="shared" si="79"/>
        <v>0.1</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0.05</v>
      </c>
      <c r="F478" s="673"/>
      <c r="G478" s="24">
        <f t="shared" si="79"/>
        <v>0.1</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0.05</v>
      </c>
      <c r="F479" s="673"/>
      <c r="G479" s="24">
        <f t="shared" si="79"/>
        <v>0.1</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0.05</v>
      </c>
      <c r="F480" s="673"/>
      <c r="G480" s="24">
        <f t="shared" si="79"/>
        <v>0.1</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0.05</v>
      </c>
      <c r="F481" s="673"/>
      <c r="G481" s="24">
        <f t="shared" si="79"/>
        <v>0.1</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0.05</v>
      </c>
      <c r="F482" s="673"/>
      <c r="G482" s="24">
        <f t="shared" si="79"/>
        <v>0.1</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0.05</v>
      </c>
      <c r="F483" s="673"/>
      <c r="G483" s="24">
        <f t="shared" si="79"/>
        <v>0.1</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0.05</v>
      </c>
      <c r="F484" s="673"/>
      <c r="G484" s="24">
        <f t="shared" si="79"/>
        <v>0.1</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0.05</v>
      </c>
      <c r="F485" s="673"/>
      <c r="G485" s="24">
        <f t="shared" si="79"/>
        <v>0.1</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0.05</v>
      </c>
      <c r="F486" s="673"/>
      <c r="G486" s="24">
        <f t="shared" si="79"/>
        <v>0.1</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0.05</v>
      </c>
      <c r="F487" s="673"/>
      <c r="G487" s="24">
        <f t="shared" si="79"/>
        <v>0.1</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0.05</v>
      </c>
      <c r="F488" s="673"/>
      <c r="G488" s="24">
        <f t="shared" si="79"/>
        <v>0.1</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0.05</v>
      </c>
      <c r="F489" s="673"/>
      <c r="G489" s="24">
        <f t="shared" si="79"/>
        <v>0.1</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0.05</v>
      </c>
      <c r="F490" s="673"/>
      <c r="G490" s="24">
        <f t="shared" si="79"/>
        <v>0.1</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0.05</v>
      </c>
      <c r="F491" s="673"/>
      <c r="G491" s="24">
        <f t="shared" si="79"/>
        <v>0.1</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0.05</v>
      </c>
      <c r="F492" s="673"/>
      <c r="G492" s="24">
        <f t="shared" si="79"/>
        <v>0.1</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0.05</v>
      </c>
      <c r="F493" s="673"/>
      <c r="G493" s="24">
        <f t="shared" si="79"/>
        <v>0.1</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0.05</v>
      </c>
      <c r="F494" s="673"/>
      <c r="G494" s="24">
        <f t="shared" si="79"/>
        <v>0.1</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0.05</v>
      </c>
      <c r="F495" s="673"/>
      <c r="G495" s="24">
        <f t="shared" si="79"/>
        <v>0.1</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0.05</v>
      </c>
      <c r="F496" s="673"/>
      <c r="G496" s="24">
        <f t="shared" si="79"/>
        <v>0.1</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0.05</v>
      </c>
      <c r="F497" s="673"/>
      <c r="G497" s="24">
        <f t="shared" si="79"/>
        <v>0.1</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0.05</v>
      </c>
      <c r="F498" s="673"/>
      <c r="G498" s="24">
        <f t="shared" si="79"/>
        <v>0.1</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0.05</v>
      </c>
      <c r="F499" s="673"/>
      <c r="G499" s="24">
        <f t="shared" si="79"/>
        <v>0.1</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0.05</v>
      </c>
      <c r="F500" s="673"/>
      <c r="G500" s="24">
        <f t="shared" si="79"/>
        <v>0.1</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0.05</v>
      </c>
      <c r="F501" s="673"/>
      <c r="G501" s="24">
        <f t="shared" si="79"/>
        <v>0.1</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0.05</v>
      </c>
      <c r="F502" s="673"/>
      <c r="G502" s="24">
        <f t="shared" si="79"/>
        <v>0.1</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0.05</v>
      </c>
      <c r="F503" s="673"/>
      <c r="G503" s="24">
        <f t="shared" si="79"/>
        <v>0.1</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0.05</v>
      </c>
      <c r="F504" s="673"/>
      <c r="G504" s="24">
        <f t="shared" si="79"/>
        <v>0.1</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0.05</v>
      </c>
      <c r="F505" s="673"/>
      <c r="G505" s="24">
        <f t="shared" si="79"/>
        <v>0.1</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0.05</v>
      </c>
      <c r="F506" s="673"/>
      <c r="G506" s="24">
        <f t="shared" si="79"/>
        <v>0.1</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0.05</v>
      </c>
      <c r="F507" s="673"/>
      <c r="G507" s="24">
        <f t="shared" si="79"/>
        <v>0.1</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0.05</v>
      </c>
      <c r="F508" s="673"/>
      <c r="G508" s="24">
        <f t="shared" si="79"/>
        <v>0.1</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0.05</v>
      </c>
      <c r="F509" s="673"/>
      <c r="G509" s="24">
        <f t="shared" si="79"/>
        <v>0.1</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0.05</v>
      </c>
      <c r="F510" s="673"/>
      <c r="G510" s="24">
        <f t="shared" si="79"/>
        <v>0.1</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0.05</v>
      </c>
      <c r="F511" s="673"/>
      <c r="G511" s="24">
        <f t="shared" si="79"/>
        <v>0.1</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0.05</v>
      </c>
      <c r="F512" s="673"/>
      <c r="G512" s="24">
        <f t="shared" si="79"/>
        <v>0.1</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0.05</v>
      </c>
      <c r="F513" s="673"/>
      <c r="G513" s="24">
        <f t="shared" si="79"/>
        <v>0.1</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0.05</v>
      </c>
      <c r="F514" s="673"/>
      <c r="G514" s="24">
        <f t="shared" si="79"/>
        <v>0.1</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0.05</v>
      </c>
      <c r="F515" s="673"/>
      <c r="G515" s="24">
        <f t="shared" si="79"/>
        <v>0.1</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0.05</v>
      </c>
      <c r="F516" s="673"/>
      <c r="G516" s="24">
        <f t="shared" si="79"/>
        <v>0.1</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0.05</v>
      </c>
      <c r="F517" s="673"/>
      <c r="G517" s="24">
        <f t="shared" si="79"/>
        <v>0.1</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0.05</v>
      </c>
      <c r="F518" s="673"/>
      <c r="G518" s="24">
        <f t="shared" si="79"/>
        <v>0.1</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0.05</v>
      </c>
      <c r="F519" s="673"/>
      <c r="G519" s="24">
        <f t="shared" si="79"/>
        <v>0.1</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0.05</v>
      </c>
      <c r="F520" s="673"/>
      <c r="G520" s="24">
        <f t="shared" si="79"/>
        <v>0.1</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0.05</v>
      </c>
      <c r="F521" s="673"/>
      <c r="G521" s="24">
        <f t="shared" si="79"/>
        <v>0.1</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0.05</v>
      </c>
      <c r="F522" s="673"/>
      <c r="G522" s="24">
        <f t="shared" si="79"/>
        <v>0.1</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0.05</v>
      </c>
      <c r="F523" s="673"/>
      <c r="G523" s="24">
        <f t="shared" si="79"/>
        <v>0.1</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0.05</v>
      </c>
      <c r="F524" s="673"/>
      <c r="G524" s="24">
        <f t="shared" si="79"/>
        <v>0.1</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50" t="s">
        <v>877</v>
      </c>
      <c r="C1" s="3650"/>
      <c r="D1" s="3650"/>
      <c r="E1" s="3650"/>
      <c r="F1" s="3650"/>
      <c r="G1" s="3646" t="s">
        <v>878</v>
      </c>
      <c r="H1" s="3646"/>
      <c r="I1" s="3646"/>
      <c r="J1" s="3646"/>
      <c r="K1" s="3646"/>
      <c r="L1" s="3646"/>
      <c r="N1" s="3646" t="s">
        <v>879</v>
      </c>
      <c r="O1" s="3646"/>
      <c r="P1" s="3646"/>
      <c r="Q1" s="3646"/>
      <c r="S1" s="3646" t="s">
        <v>880</v>
      </c>
      <c r="T1" s="3646"/>
      <c r="U1" s="3646"/>
      <c r="V1" s="3646"/>
      <c r="X1" s="3645" t="s">
        <v>881</v>
      </c>
      <c r="Y1" s="3646"/>
      <c r="Z1" s="3646"/>
      <c r="AA1" s="3646"/>
      <c r="AB1" s="3646"/>
      <c r="AD1" s="3645" t="s">
        <v>882</v>
      </c>
      <c r="AE1" s="3646"/>
      <c r="AF1" s="3646"/>
      <c r="AG1" s="3646"/>
      <c r="AH1" s="3646"/>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2611</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2935</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0">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2612</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2934</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0">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2811</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5">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2810</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4">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2809</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8">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2807</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7">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2806</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4">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2628</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2626</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2625</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2624</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2622</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2620</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2623</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648">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2618</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648"/>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2617</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648"/>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2610</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55"/>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2608</v>
      </c>
      <c r="B22" s="2385">
        <v>439</v>
      </c>
      <c r="C22" s="2385">
        <v>327</v>
      </c>
      <c r="D22" s="2385">
        <f>C22</f>
        <v>327</v>
      </c>
      <c r="E22" s="2385">
        <v>627</v>
      </c>
      <c r="F22" s="2386">
        <v>283</v>
      </c>
      <c r="G22" s="3651">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2609</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648"/>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648"/>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55"/>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51">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648"/>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648"/>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649"/>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647">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648"/>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648"/>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649"/>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647">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648"/>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648"/>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649"/>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52">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53"/>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53"/>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54"/>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647">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648"/>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648"/>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649"/>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647">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648">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648">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649">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647">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648">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648">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649">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647">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648">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648">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649">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647">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648">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648">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649">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647">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648">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648">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649">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647">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648">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648">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649">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647">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648">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648">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649">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647">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648">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648">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649">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647">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648">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648">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649">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647">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648">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648">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649">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00" t="s">
        <v>121</v>
      </c>
    </row>
    <row r="43" spans="1:7" ht="13.5" customHeight="1">
      <c r="A43" s="866" t="s">
        <v>611</v>
      </c>
      <c r="B43" s="221" t="s">
        <v>851</v>
      </c>
      <c r="C43" s="244">
        <f ca="1">ROUND(IF('数据-取费表'!B22&lt;=1,C39*F22*'数据-取费表'!B21/2,C39*(POWER((1+F22),'数据-取费表'!B21/2)-1)),0)</f>
        <v>0</v>
      </c>
      <c r="D43" s="244"/>
      <c r="E43" s="244"/>
      <c r="F43" s="245"/>
      <c r="G43" s="3501"/>
    </row>
    <row r="44" spans="1:7" ht="13.5" customHeight="1">
      <c r="A44" s="866" t="s">
        <v>612</v>
      </c>
      <c r="B44" s="221" t="s">
        <v>853</v>
      </c>
      <c r="C44" s="244">
        <f ca="1">ROUND(IF('数据-取费表'!B22&lt;=1,C40*F22*'数据-取费表'!B21/2,C40*(POWER((1+F22),'数据-取费表'!B21/2)-1)),4)</f>
        <v>8.0000000000000004E-4</v>
      </c>
      <c r="D44" s="244"/>
      <c r="E44" s="244"/>
      <c r="F44" s="245"/>
      <c r="G44" s="3502"/>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56" t="s">
        <v>156</v>
      </c>
      <c r="B1" s="3656"/>
      <c r="C1" s="3656"/>
      <c r="D1" s="3656"/>
      <c r="E1" s="3656"/>
      <c r="F1" s="365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57" t="s">
        <v>169</v>
      </c>
      <c r="B2" s="3657"/>
      <c r="C2" s="3657"/>
      <c r="D2" s="3657"/>
      <c r="E2" s="3657"/>
      <c r="F2" s="365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58"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59"/>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56" t="s">
        <v>658</v>
      </c>
      <c r="B1" s="3656"/>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44701</v>
      </c>
      <c r="D13" s="2997">
        <v>3.7</v>
      </c>
      <c r="E13" s="2997">
        <f>D13</f>
        <v>3.7</v>
      </c>
      <c r="F13" s="2997">
        <f>D13</f>
        <v>3.7</v>
      </c>
      <c r="G13" s="2997">
        <f>D13</f>
        <v>3.7</v>
      </c>
      <c r="H13" s="2997">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3">
        <v>44581</v>
      </c>
      <c r="D14" s="2992">
        <v>3.7</v>
      </c>
      <c r="E14" s="2992">
        <f>D14</f>
        <v>3.7</v>
      </c>
      <c r="F14" s="2992">
        <f>D14</f>
        <v>3.7</v>
      </c>
      <c r="G14" s="2992">
        <f>D14</f>
        <v>3.7</v>
      </c>
      <c r="H14" s="2992">
        <v>4.5999999999999996</v>
      </c>
      <c r="I14" s="2997"/>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44550</v>
      </c>
      <c r="D15" s="2992">
        <v>3.8</v>
      </c>
      <c r="E15" s="2992">
        <f>D15</f>
        <v>3.8</v>
      </c>
      <c r="F15" s="2992">
        <f>D15</f>
        <v>3.8</v>
      </c>
      <c r="G15" s="2992">
        <f>D15</f>
        <v>3.8</v>
      </c>
      <c r="H15" s="2992">
        <v>4.6500000000000004</v>
      </c>
      <c r="I15" s="2992"/>
      <c r="J15" s="2997"/>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43941</v>
      </c>
      <c r="D16" s="2992">
        <v>3.85</v>
      </c>
      <c r="E16" s="2992">
        <v>3.85</v>
      </c>
      <c r="F16" s="2992">
        <v>3.85</v>
      </c>
      <c r="G16" s="2992">
        <v>3.85</v>
      </c>
      <c r="H16" s="2992">
        <v>4.6500000000000004</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43881</v>
      </c>
      <c r="D17" s="2992">
        <v>4.05</v>
      </c>
      <c r="E17" s="2992">
        <v>4.05</v>
      </c>
      <c r="F17" s="2992">
        <v>4.05</v>
      </c>
      <c r="G17" s="2992">
        <v>4.05</v>
      </c>
      <c r="H17" s="2992">
        <v>4.75</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2"/>
      <c r="C19" s="2993">
        <v>43728</v>
      </c>
      <c r="D19" s="2992">
        <v>4.2</v>
      </c>
      <c r="E19" s="2992">
        <v>4.2</v>
      </c>
      <c r="F19" s="2992">
        <v>4.2</v>
      </c>
      <c r="G19" s="2992">
        <v>4.2</v>
      </c>
      <c r="H19" s="2992">
        <v>4.8499999999999996</v>
      </c>
      <c r="I19" s="2992"/>
      <c r="J19" s="2992"/>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1" t="s">
        <v>2808</v>
      </c>
      <c r="C20" s="2994">
        <v>43697</v>
      </c>
      <c r="D20" s="2995">
        <v>4.25</v>
      </c>
      <c r="E20" s="2995">
        <v>4.25</v>
      </c>
      <c r="F20" s="2995">
        <v>4.25</v>
      </c>
      <c r="G20" s="2995">
        <v>4.25</v>
      </c>
      <c r="H20" s="2995">
        <v>4.8499999999999996</v>
      </c>
      <c r="I20" s="2995"/>
      <c r="J20" s="2995"/>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8"/>
      <c r="B21" s="2999"/>
      <c r="C21" s="3000">
        <v>42301</v>
      </c>
      <c r="D21" s="3001">
        <v>4.3499999999999996</v>
      </c>
      <c r="E21" s="3001">
        <v>4.3499999999999996</v>
      </c>
      <c r="F21" s="3001">
        <v>4.75</v>
      </c>
      <c r="G21" s="3001">
        <v>4.75</v>
      </c>
      <c r="H21" s="3001">
        <v>4.9000000000000004</v>
      </c>
      <c r="I21" s="3001"/>
      <c r="J21" s="3001"/>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04" t="str">
        <f>IF(项目基本情况!B9="房地产市场价值","估价结果一览表","结果表-2")</f>
        <v>结果表-2</v>
      </c>
      <c r="B1" s="3304"/>
      <c r="C1" s="3304"/>
      <c r="D1" s="3304"/>
      <c r="E1" s="3304"/>
      <c r="F1" s="3304"/>
      <c r="G1" s="3304"/>
      <c r="H1" s="3304"/>
      <c r="I1" s="3304"/>
    </row>
    <row r="2" spans="1:9" ht="30" customHeight="1" thickTop="1">
      <c r="A2" s="3305" t="s">
        <v>1365</v>
      </c>
      <c r="B2" s="3305" t="s">
        <v>1366</v>
      </c>
      <c r="C2" s="3305" t="s">
        <v>1367</v>
      </c>
      <c r="D2" s="3305" t="str">
        <f>结果表!D116</f>
        <v>出让国有建设用地使用权价值</v>
      </c>
      <c r="E2" s="3305"/>
      <c r="F2" s="3305" t="str">
        <f>结果表!F116</f>
        <v>在建建筑物价值</v>
      </c>
      <c r="G2" s="3305"/>
      <c r="H2" s="3305" t="str">
        <f>IF(项目基本情况!B9="房地产市场价值","房地产市场价值","房地产价值")</f>
        <v>房地产价值</v>
      </c>
      <c r="I2" s="3305"/>
    </row>
    <row r="3" spans="1:9" ht="15">
      <c r="A3" s="3306"/>
      <c r="B3" s="3306"/>
      <c r="C3" s="3306"/>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06" t="s">
        <v>1364</v>
      </c>
      <c r="B5" s="3306"/>
      <c r="C5" s="3306"/>
      <c r="D5" s="3307" t="e">
        <f ca="1">结果表!D119</f>
        <v>#REF!</v>
      </c>
      <c r="E5" s="3307"/>
      <c r="F5" s="3307" t="e">
        <f ca="1">结果表!F119</f>
        <v>#REF!</v>
      </c>
      <c r="G5" s="3307"/>
      <c r="H5" s="3307" t="e">
        <f ca="1">结果表!H119</f>
        <v>#REF!</v>
      </c>
      <c r="I5" s="3307"/>
    </row>
    <row r="6" spans="1:9" ht="15.75">
      <c r="A6" s="3308" t="str">
        <f>结果表!A120</f>
        <v>估价师知悉的法定优先受偿款</v>
      </c>
      <c r="B6" s="3308"/>
      <c r="C6" s="3308"/>
      <c r="D6" s="3308">
        <f>结果表!D120</f>
        <v>0</v>
      </c>
      <c r="E6" s="3308"/>
      <c r="F6" s="3308"/>
      <c r="G6" s="3308"/>
      <c r="H6" s="3308"/>
      <c r="I6" s="3308"/>
    </row>
    <row r="7" spans="1:9" ht="15">
      <c r="A7" s="3306" t="s">
        <v>1364</v>
      </c>
      <c r="B7" s="3306"/>
      <c r="C7" s="3306"/>
      <c r="D7" s="3309" t="str">
        <f>结果表!D121</f>
        <v>零元整</v>
      </c>
      <c r="E7" s="3310"/>
      <c r="F7" s="3310"/>
      <c r="G7" s="3310"/>
      <c r="H7" s="3310"/>
      <c r="I7" s="3311"/>
    </row>
    <row r="8" spans="1:9" ht="15.75">
      <c r="A8" s="3308" t="str">
        <f>结果表!A122</f>
        <v>房地产抵押价值</v>
      </c>
      <c r="B8" s="3308"/>
      <c r="C8" s="3308"/>
      <c r="D8" s="3308" t="e">
        <f ca="1">结果表!D122</f>
        <v>#REF!</v>
      </c>
      <c r="E8" s="3308"/>
      <c r="F8" s="3308"/>
      <c r="G8" s="3308"/>
      <c r="H8" s="3308"/>
      <c r="I8" s="3308"/>
    </row>
    <row r="9" spans="1:9" ht="15">
      <c r="A9" s="3306" t="s">
        <v>1364</v>
      </c>
      <c r="B9" s="3306"/>
      <c r="C9" s="3306"/>
      <c r="D9" s="3307" t="e">
        <f ca="1">结果表!D123</f>
        <v>#REF!</v>
      </c>
      <c r="E9" s="3307"/>
      <c r="F9" s="3307"/>
      <c r="G9" s="3307"/>
      <c r="H9" s="3307"/>
      <c r="I9" s="3307"/>
    </row>
    <row r="10" spans="1:9" ht="15.75">
      <c r="A10" s="3308" t="str">
        <f>结果表!A124</f>
        <v/>
      </c>
      <c r="B10" s="3308"/>
      <c r="C10" s="3308"/>
      <c r="D10" s="3308" t="str">
        <f>结果表!D124</f>
        <v>——</v>
      </c>
      <c r="E10" s="3308"/>
      <c r="F10" s="3308"/>
      <c r="G10" s="3308"/>
      <c r="H10" s="3308"/>
      <c r="I10" s="3308"/>
    </row>
    <row r="11" spans="1:9" ht="15">
      <c r="A11" s="3306" t="s">
        <v>1364</v>
      </c>
      <c r="B11" s="3306"/>
      <c r="C11" s="3306"/>
      <c r="D11" s="3307" t="e">
        <f>结果表!D125</f>
        <v>#VALUE!</v>
      </c>
      <c r="E11" s="3307"/>
      <c r="F11" s="3307"/>
      <c r="G11" s="3307"/>
      <c r="H11" s="3307"/>
      <c r="I11" s="3307"/>
    </row>
    <row r="12" spans="1:9" ht="15.75">
      <c r="A12" s="3308" t="str">
        <f>结果表!A126</f>
        <v/>
      </c>
      <c r="B12" s="3308"/>
      <c r="C12" s="3308"/>
      <c r="D12" s="3308" t="str">
        <f>结果表!D126</f>
        <v>——</v>
      </c>
      <c r="E12" s="3308"/>
      <c r="F12" s="3308"/>
      <c r="G12" s="3308"/>
      <c r="H12" s="3308"/>
      <c r="I12" s="3308"/>
    </row>
    <row r="13" spans="1:9" ht="15.75" thickBot="1">
      <c r="A13" s="3312" t="s">
        <v>1364</v>
      </c>
      <c r="B13" s="3312"/>
      <c r="C13" s="3312"/>
      <c r="D13" s="3313" t="e">
        <f>结果表!D127</f>
        <v>#VALUE!</v>
      </c>
      <c r="E13" s="3313"/>
      <c r="F13" s="3313"/>
      <c r="G13" s="3313"/>
      <c r="H13" s="3313"/>
      <c r="I13" s="3313"/>
    </row>
    <row r="14" spans="1:9" ht="15" thickTop="1">
      <c r="A14" s="3314" t="s">
        <v>1369</v>
      </c>
      <c r="B14" s="3314"/>
      <c r="C14" s="3314"/>
      <c r="D14" s="3314"/>
      <c r="E14" s="3314"/>
      <c r="F14" s="3314"/>
      <c r="G14" s="3314"/>
      <c r="H14" s="3314"/>
      <c r="I14" s="3314"/>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15" t="s">
        <v>1386</v>
      </c>
      <c r="B1" s="3315"/>
      <c r="C1" s="3315"/>
      <c r="D1" s="3315"/>
    </row>
    <row r="2" spans="1:4" ht="18">
      <c r="A2" s="3316" t="s">
        <v>1370</v>
      </c>
      <c r="B2" s="3316"/>
      <c r="C2" s="3316"/>
      <c r="D2" s="3316"/>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16" t="s">
        <v>1376</v>
      </c>
      <c r="B6" s="3316"/>
      <c r="C6" s="3316"/>
      <c r="D6" s="3316"/>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17" t="s">
        <v>1379</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9"/>
      <c r="C12" s="3319"/>
      <c r="D12" s="3319"/>
    </row>
    <row r="13" spans="1:4" ht="30" customHeight="1">
      <c r="A13" s="3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9"/>
      <c r="C13" s="3319"/>
      <c r="D13" s="3319"/>
    </row>
    <row r="14" spans="1:4" ht="15.75" customHeight="1">
      <c r="A14" s="3318" t="str">
        <f>IF(项目基本情况!B8="抵押","4.本次评估估价师所知悉的法定优先受偿款情况说明如下：","——")</f>
        <v>4.本次评估估价师所知悉的法定优先受偿款情况说明如下：</v>
      </c>
      <c r="B14" s="3319"/>
      <c r="C14" s="3319"/>
      <c r="D14" s="3319"/>
    </row>
    <row r="15" spans="1:4" ht="42" customHeight="1">
      <c r="A15" s="33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8"/>
      <c r="C15" s="3318"/>
      <c r="D15" s="3318"/>
    </row>
    <row r="16" spans="1:4" ht="30" customHeight="1">
      <c r="A16" s="3321" t="s">
        <v>1380</v>
      </c>
      <c r="B16" s="3321"/>
      <c r="C16" s="3321"/>
      <c r="D16" s="3321"/>
    </row>
    <row r="17" spans="1:4" ht="144" customHeight="1">
      <c r="A17" s="3321" t="s">
        <v>1381</v>
      </c>
      <c r="B17" s="3321"/>
      <c r="C17" s="3321"/>
      <c r="D17" s="3321"/>
    </row>
    <row r="18" spans="1:4" ht="15.75" customHeight="1">
      <c r="A18" s="3318" t="str">
        <f>IF(项目基本情况!B8="抵押",结果表!K120,"——")</f>
        <v>故，本次评估不存在估价师知悉的法定优先受偿款</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8"/>
      <c r="C20" s="3318"/>
      <c r="D20" s="3318"/>
    </row>
    <row r="21" spans="1:4" ht="57.75" customHeight="1">
      <c r="A21" s="3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spans="1:4" ht="18.75" customHeight="1">
      <c r="A22" s="3323" t="s">
        <v>1382</v>
      </c>
      <c r="B22" s="3323"/>
      <c r="C22" s="3323"/>
      <c r="D22" s="3323"/>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20">
        <v>42551</v>
      </c>
      <c r="D31" s="33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29" t="s">
        <v>1393</v>
      </c>
      <c r="B15" s="3324" t="s">
        <v>136</v>
      </c>
      <c r="C15" s="3325"/>
    </row>
    <row r="16" spans="1:7" ht="13.5">
      <c r="A16" s="3330"/>
      <c r="B16" s="3324" t="s">
        <v>69</v>
      </c>
      <c r="C16" s="3325"/>
    </row>
    <row r="17" spans="1:3" ht="13.5">
      <c r="A17" s="3330"/>
      <c r="B17" s="3327" t="s">
        <v>1394</v>
      </c>
      <c r="C17" s="1665" t="s">
        <v>1393</v>
      </c>
    </row>
    <row r="18" spans="1:3" ht="13.5">
      <c r="A18" s="3330"/>
      <c r="B18" s="3327"/>
      <c r="C18" s="1665" t="s">
        <v>1395</v>
      </c>
    </row>
    <row r="19" spans="1:3" ht="13.5">
      <c r="A19" s="3330"/>
      <c r="B19" s="3327"/>
      <c r="C19" s="1665" t="s">
        <v>1396</v>
      </c>
    </row>
    <row r="20" spans="1:3" ht="13.5">
      <c r="A20" s="3331"/>
      <c r="B20" s="3326" t="s">
        <v>1397</v>
      </c>
      <c r="C20" s="3325"/>
    </row>
    <row r="21" spans="1:3" ht="13.5">
      <c r="A21" s="1666" t="s">
        <v>1398</v>
      </c>
      <c r="B21" s="1667"/>
      <c r="C21" s="1668"/>
    </row>
    <row r="22" spans="1:3" ht="13.5">
      <c r="A22" s="3328" t="s">
        <v>1399</v>
      </c>
      <c r="B22" s="3326" t="s">
        <v>1400</v>
      </c>
      <c r="C22" s="3325"/>
    </row>
    <row r="23" spans="1:3" ht="13.5">
      <c r="A23" s="3328"/>
      <c r="B23" s="3326" t="s">
        <v>1401</v>
      </c>
      <c r="C23" s="3325"/>
    </row>
    <row r="24" spans="1:3" ht="13.5">
      <c r="A24" s="3328"/>
      <c r="B24" s="3326" t="s">
        <v>1402</v>
      </c>
      <c r="C24" s="3325"/>
    </row>
    <row r="25" spans="1:3" ht="13.5">
      <c r="A25" s="3328"/>
      <c r="B25" s="3327" t="s">
        <v>1403</v>
      </c>
      <c r="C25" s="1665" t="s">
        <v>1404</v>
      </c>
    </row>
    <row r="26" spans="1:3" ht="13.5">
      <c r="A26" s="3328"/>
      <c r="B26" s="3327"/>
      <c r="C26" s="1665" t="s">
        <v>1405</v>
      </c>
    </row>
    <row r="27" spans="1:3" ht="13.5">
      <c r="A27" s="3328"/>
      <c r="B27" s="3327"/>
      <c r="C27" s="1665" t="s">
        <v>1406</v>
      </c>
    </row>
    <row r="28" spans="1:3" ht="13.5">
      <c r="A28" s="3328"/>
      <c r="B28" s="3327"/>
      <c r="C28" s="1665" t="s">
        <v>1407</v>
      </c>
    </row>
    <row r="29" spans="1:3" ht="13.5">
      <c r="A29" s="3328"/>
      <c r="B29" s="3327"/>
      <c r="C29" s="1665" t="s">
        <v>1408</v>
      </c>
    </row>
    <row r="30" spans="1:3" ht="13.5">
      <c r="A30" s="3328"/>
      <c r="B30" s="3327"/>
      <c r="C30" s="1665" t="s">
        <v>1409</v>
      </c>
    </row>
    <row r="31" spans="1:3" ht="13.5">
      <c r="A31" s="3328"/>
      <c r="B31" s="3327"/>
      <c r="C31" s="1665" t="s">
        <v>1410</v>
      </c>
    </row>
    <row r="32" spans="1:3" ht="13.5">
      <c r="A32" s="3328"/>
      <c r="B32" s="3327"/>
      <c r="C32" s="1665" t="s">
        <v>1411</v>
      </c>
    </row>
    <row r="33" spans="1:3" ht="13.5">
      <c r="A33" s="3328"/>
      <c r="B33" s="3327"/>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2637</v>
      </c>
      <c r="B2" s="2509">
        <f ca="1">TODAY()</f>
        <v>44819</v>
      </c>
      <c r="C2" s="2510" t="s">
        <v>2638</v>
      </c>
      <c r="D2" s="2510"/>
      <c r="E2" s="2510"/>
      <c r="F2" s="2506"/>
      <c r="G2" s="2506"/>
      <c r="H2" s="2506"/>
    </row>
    <row r="3" spans="1:8" ht="24" customHeight="1">
      <c r="A3" s="2511" t="s">
        <v>2639</v>
      </c>
      <c r="B3" s="2512" t="s">
        <v>2640</v>
      </c>
      <c r="C3" s="2512" t="s">
        <v>2641</v>
      </c>
      <c r="D3" s="2513" t="s">
        <v>2642</v>
      </c>
      <c r="E3" s="2514" t="s">
        <v>2643</v>
      </c>
      <c r="F3" s="1422" t="s">
        <v>2644</v>
      </c>
      <c r="G3" s="2512" t="s">
        <v>2641</v>
      </c>
      <c r="H3" s="2513" t="s">
        <v>2645</v>
      </c>
    </row>
    <row r="4" spans="1:8" ht="24" customHeight="1">
      <c r="A4" s="1422" t="s">
        <v>2646</v>
      </c>
      <c r="B4" s="1422">
        <f ca="1">IF(C4&lt;B2,"已过期",1119970066)</f>
        <v>1119970066</v>
      </c>
      <c r="C4" s="2515">
        <v>44876</v>
      </c>
      <c r="D4" s="2516" t="str">
        <f ca="1">A4&amp;"（注册号："&amp;B4&amp;"）"</f>
        <v>梁津（注册号：1119970066）</v>
      </c>
      <c r="E4" s="2517" t="s">
        <v>2646</v>
      </c>
      <c r="F4" s="1422">
        <f ca="1">IF(G4&lt;B2,"已过期",96010014)</f>
        <v>96010014</v>
      </c>
      <c r="G4" s="2518">
        <v>47118</v>
      </c>
      <c r="H4" s="2519" t="str">
        <f ca="1">E4&amp;"（注册号："&amp;F4&amp;"）"</f>
        <v>梁津（注册号：96010014）</v>
      </c>
    </row>
    <row r="5" spans="1:8" ht="24" customHeight="1">
      <c r="A5" s="1422" t="s">
        <v>2647</v>
      </c>
      <c r="B5" s="1422">
        <f ca="1">IF(C5&lt;B2,"已过期",1119970111)</f>
        <v>1119970111</v>
      </c>
      <c r="C5" s="2515">
        <v>44876</v>
      </c>
      <c r="D5" s="2516" t="str">
        <f t="shared" ref="D5:D15" ca="1" si="0">A5&amp;"（注册号："&amp;B5&amp;"）"</f>
        <v>叶凌（注册号：1119970111）</v>
      </c>
      <c r="E5" s="2517" t="s">
        <v>2647</v>
      </c>
      <c r="F5" s="1422">
        <f ca="1">IF(G5&lt;B2,"已过期",94010078)</f>
        <v>94010078</v>
      </c>
      <c r="G5" s="2518">
        <v>46387</v>
      </c>
      <c r="H5" s="2519" t="str">
        <f t="shared" ref="H5:H16" ca="1" si="1">E5&amp;"（注册号："&amp;F5&amp;"）"</f>
        <v>叶凌（注册号：94010078）</v>
      </c>
    </row>
    <row r="6" spans="1:8" ht="24" customHeight="1">
      <c r="A6" s="1422" t="s">
        <v>2648</v>
      </c>
      <c r="B6" s="1422">
        <f ca="1">IF(C6&lt;B2,"已过期",1120050019)</f>
        <v>1120050019</v>
      </c>
      <c r="C6" s="2515">
        <v>45410</v>
      </c>
      <c r="D6" s="2516" t="str">
        <f t="shared" ca="1" si="0"/>
        <v>王鹏（注册号：1120050019）</v>
      </c>
      <c r="E6" s="2517" t="s">
        <v>2648</v>
      </c>
      <c r="F6" s="1422">
        <f ca="1">IF(G6&lt;B2,"已过期",2002110030)</f>
        <v>2002110030</v>
      </c>
      <c r="G6" s="2518">
        <v>46387</v>
      </c>
      <c r="H6" s="2519" t="str">
        <f t="shared" ca="1" si="1"/>
        <v>王鹏（注册号：2002110030）</v>
      </c>
    </row>
    <row r="7" spans="1:8" ht="24" customHeight="1">
      <c r="A7" s="1422" t="s">
        <v>2649</v>
      </c>
      <c r="B7" s="1422">
        <f ca="1">IF(C7&lt;B2,"已过期",1120000080)</f>
        <v>1120000080</v>
      </c>
      <c r="C7" s="2515">
        <v>44876</v>
      </c>
      <c r="D7" s="2516" t="str">
        <f t="shared" ca="1" si="0"/>
        <v>欧红伟（注册号：1120000080）</v>
      </c>
      <c r="E7" s="2517" t="s">
        <v>2649</v>
      </c>
      <c r="F7" s="1422">
        <f ca="1">IF(G7&lt;B2,"已过期",2000110082)</f>
        <v>2000110082</v>
      </c>
      <c r="G7" s="2518">
        <v>46387</v>
      </c>
      <c r="H7" s="2519" t="str">
        <f t="shared" ca="1" si="1"/>
        <v>欧红伟（注册号：2000110082）</v>
      </c>
    </row>
    <row r="8" spans="1:8" ht="24" customHeight="1">
      <c r="A8" s="1422" t="s">
        <v>2650</v>
      </c>
      <c r="B8" s="1422">
        <f ca="1">IF(C8&lt;B2,"已过期",1419970001)</f>
        <v>1419970001</v>
      </c>
      <c r="C8" s="2515">
        <v>44899</v>
      </c>
      <c r="D8" s="2516" t="str">
        <f t="shared" ca="1" si="0"/>
        <v>吴薇（注册号：1419970001）</v>
      </c>
      <c r="E8" s="2517" t="s">
        <v>2650</v>
      </c>
      <c r="F8" s="1422">
        <f ca="1">IF(G8&lt;B2,"已过期",2002110125)</f>
        <v>2002110125</v>
      </c>
      <c r="G8" s="2518">
        <v>47118</v>
      </c>
      <c r="H8" s="2519" t="str">
        <f t="shared" ca="1" si="1"/>
        <v>吴薇（注册号：2002110125）</v>
      </c>
    </row>
    <row r="9" spans="1:8" ht="24" customHeight="1">
      <c r="A9" s="1422" t="s">
        <v>2651</v>
      </c>
      <c r="B9" s="1422">
        <f ca="1">IF(C9&lt;B2,"已过期",1120060040)</f>
        <v>1120060040</v>
      </c>
      <c r="C9" s="2520">
        <v>45592</v>
      </c>
      <c r="D9" s="2516" t="str">
        <f t="shared" ca="1" si="0"/>
        <v>陈颖（注册号：1120060040）</v>
      </c>
      <c r="E9" s="2517" t="s">
        <v>2651</v>
      </c>
      <c r="F9" s="1422">
        <f ca="1">IF(G9&lt;B2,"已过期",2004110096)</f>
        <v>2004110096</v>
      </c>
      <c r="G9" s="2518">
        <v>47118</v>
      </c>
      <c r="H9" s="2519" t="str">
        <f t="shared" ca="1" si="1"/>
        <v>陈颖（注册号：2004110096）</v>
      </c>
    </row>
    <row r="10" spans="1:8" ht="24" customHeight="1">
      <c r="A10" s="1422" t="s">
        <v>2652</v>
      </c>
      <c r="B10" s="1422" t="str">
        <f ca="1">IF(C10&lt;B2,"已过期",1120100036)</f>
        <v>已过期</v>
      </c>
      <c r="C10" s="2520">
        <v>44675</v>
      </c>
      <c r="D10" s="2516" t="str">
        <f t="shared" ca="1" si="0"/>
        <v>崔锴（注册号：已过期）</v>
      </c>
      <c r="E10" s="2517" t="s">
        <v>2652</v>
      </c>
      <c r="F10" s="1422">
        <f ca="1">IF(G10&lt;B2,"已过期",2010110070)</f>
        <v>2010110070</v>
      </c>
      <c r="G10" s="2518">
        <v>47907</v>
      </c>
      <c r="H10" s="2519" t="str">
        <f t="shared" ca="1" si="1"/>
        <v>崔锴（注册号：2010110070）</v>
      </c>
    </row>
    <row r="11" spans="1:8" ht="24" customHeight="1">
      <c r="A11" s="1422" t="s">
        <v>2653</v>
      </c>
      <c r="B11" s="1422">
        <f ca="1">IF(C11&lt;B2,"已过期",1120070131)</f>
        <v>1120070131</v>
      </c>
      <c r="C11" s="2515">
        <v>44849</v>
      </c>
      <c r="D11" s="2516" t="str">
        <f t="shared" ca="1" si="0"/>
        <v>郑燚（注册号：1120070131）</v>
      </c>
      <c r="E11" s="2517" t="s">
        <v>2653</v>
      </c>
      <c r="F11" s="1422">
        <f ca="1">IF(G11&lt;B2,"已过期",2014110011)</f>
        <v>2014110011</v>
      </c>
      <c r="G11" s="2518">
        <v>49302</v>
      </c>
      <c r="H11" s="2519" t="str">
        <f t="shared" ca="1" si="1"/>
        <v>郑燚（注册号：2014110011）</v>
      </c>
    </row>
    <row r="12" spans="1:8" ht="24" customHeight="1">
      <c r="A12" s="1422" t="s">
        <v>2654</v>
      </c>
      <c r="B12" s="1422">
        <f ca="1">IF(C12&lt;B2,"已过期",1120040230)</f>
        <v>1120040230</v>
      </c>
      <c r="C12" s="2520">
        <v>44864</v>
      </c>
      <c r="D12" s="2516" t="str">
        <f t="shared" ca="1" si="0"/>
        <v>苏海（注册号：1120040230）</v>
      </c>
      <c r="E12" s="2517" t="s">
        <v>2654</v>
      </c>
      <c r="F12" s="1422">
        <f ca="1">IF(G12&lt;B2,"已过期",98030020)</f>
        <v>98030020</v>
      </c>
      <c r="G12" s="2518">
        <v>47118</v>
      </c>
      <c r="H12" s="2519" t="str">
        <f t="shared" ca="1" si="1"/>
        <v>苏海（注册号：98030020）</v>
      </c>
    </row>
    <row r="13" spans="1:8" ht="24" customHeight="1">
      <c r="A13" s="1422" t="s">
        <v>2655</v>
      </c>
      <c r="B13" s="1422" t="str">
        <f ca="1">IF(C13&lt;B2,"已过期",1120020033)</f>
        <v>已过期</v>
      </c>
      <c r="C13" s="2515">
        <v>44339</v>
      </c>
      <c r="D13" s="2516" t="str">
        <f t="shared" ca="1" si="0"/>
        <v>刘敬东（注册号：已过期）</v>
      </c>
      <c r="E13" s="2517" t="s">
        <v>2655</v>
      </c>
      <c r="F13" s="1422">
        <f ca="1">IF(G13&lt;B2,"已过期",2000110137)</f>
        <v>2000110137</v>
      </c>
      <c r="G13" s="2518">
        <v>46387</v>
      </c>
      <c r="H13" s="2519" t="str">
        <f t="shared" ca="1" si="1"/>
        <v>刘敬东（注册号：2000110137）</v>
      </c>
    </row>
    <row r="14" spans="1:8" ht="24" customHeight="1">
      <c r="A14" s="1422" t="s">
        <v>2656</v>
      </c>
      <c r="B14" s="1422">
        <f ca="1">IF(C14&lt;B2,"已过期",1119980106)</f>
        <v>1119980106</v>
      </c>
      <c r="C14" s="2520">
        <v>44969</v>
      </c>
      <c r="D14" s="2516" t="str">
        <f t="shared" ca="1" si="0"/>
        <v>刘俊财（注册号：1119980106）</v>
      </c>
      <c r="E14" s="2517" t="s">
        <v>2656</v>
      </c>
      <c r="F14" s="1422">
        <f ca="1">IF(G14&lt;B2,"已过期",96010063)</f>
        <v>96010063</v>
      </c>
      <c r="G14" s="2518">
        <v>47483</v>
      </c>
      <c r="H14" s="2519" t="str">
        <f t="shared" ca="1" si="1"/>
        <v>刘俊财（注册号：96010063）</v>
      </c>
    </row>
    <row r="15" spans="1:8" ht="24" customHeight="1">
      <c r="A15" s="1422" t="s">
        <v>2936</v>
      </c>
      <c r="B15" s="1422">
        <v>1120210056</v>
      </c>
      <c r="C15" s="2520">
        <v>45410</v>
      </c>
      <c r="D15" s="2516" t="str">
        <f t="shared" si="0"/>
        <v>宁小鳗（注册号：1120210056）</v>
      </c>
      <c r="E15" s="2517" t="s">
        <v>2657</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32" t="s">
        <v>2658</v>
      </c>
      <c r="B17" s="3332"/>
      <c r="C17" s="3332"/>
      <c r="D17" s="3332"/>
      <c r="E17" s="3332"/>
      <c r="F17" s="3332"/>
      <c r="G17" s="3332"/>
      <c r="H17" s="3332"/>
    </row>
    <row r="18" spans="1:8" ht="24" customHeight="1">
      <c r="A18" s="3333" t="s">
        <v>2659</v>
      </c>
      <c r="B18" s="3333"/>
      <c r="C18" s="3333"/>
      <c r="D18" s="2513"/>
      <c r="E18" s="3334" t="s">
        <v>2660</v>
      </c>
      <c r="F18" s="3333"/>
      <c r="G18" s="3333"/>
    </row>
    <row r="19" spans="1:8" s="2524" customFormat="1" ht="24" customHeight="1">
      <c r="A19" s="2523" t="s">
        <v>2661</v>
      </c>
      <c r="B19" s="2512" t="s">
        <v>2662</v>
      </c>
      <c r="C19" s="2512" t="s">
        <v>2641</v>
      </c>
      <c r="D19" s="2513"/>
      <c r="E19" s="2517" t="s">
        <v>2661</v>
      </c>
      <c r="F19" s="2512" t="s">
        <v>2662</v>
      </c>
      <c r="G19" s="2512" t="s">
        <v>2641</v>
      </c>
    </row>
    <row r="20" spans="1:8" s="2524" customFormat="1" ht="24" customHeight="1">
      <c r="A20" s="2525" t="s">
        <v>2663</v>
      </c>
      <c r="B20" s="2525" t="s">
        <v>2664</v>
      </c>
      <c r="C20" s="2518">
        <v>44820</v>
      </c>
      <c r="D20" s="2526"/>
      <c r="E20" s="2527" t="s">
        <v>2665</v>
      </c>
      <c r="F20" s="2530" t="s">
        <v>2937</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2022-09-15T02:18:03Z</dcterms:modified>
</cp:coreProperties>
</file>