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8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土地" sheetId="78" r:id="rId45"/>
    <sheet name="土地案例（延吉）" sheetId="79" r:id="rId46"/>
    <sheet name="资料"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'比较法-土地'!$A$1:$L$50</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'比较法-土地'!$A$1:$K$67,'比较法-土地'!$A$71:$N$134</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O34" i="79"/>
  <c r="S33" i="79"/>
  <c r="S32" i="79"/>
  <c r="S31" i="79"/>
  <c r="O31" i="79"/>
  <c r="S30" i="79"/>
  <c r="S29" i="79"/>
  <c r="S28" i="79"/>
  <c r="S27" i="79"/>
  <c r="S26" i="79"/>
  <c r="O26" i="79"/>
  <c r="S25" i="79"/>
  <c r="S24" i="79"/>
  <c r="S23" i="79"/>
  <c r="S22" i="79"/>
  <c r="S21" i="79"/>
  <c r="S20" i="79"/>
  <c r="S19" i="79"/>
  <c r="S18" i="79"/>
  <c r="O18" i="79"/>
  <c r="S17" i="79"/>
  <c r="S16" i="79"/>
  <c r="S15" i="79"/>
  <c r="S14" i="79"/>
  <c r="S13" i="79"/>
  <c r="S12" i="79"/>
  <c r="S11" i="79"/>
  <c r="O11" i="79"/>
  <c r="S10" i="79"/>
  <c r="O10" i="79"/>
  <c r="S9" i="79"/>
  <c r="O9" i="79"/>
  <c r="S8" i="79"/>
  <c r="O8" i="79"/>
  <c r="S7" i="79"/>
  <c r="O7" i="79"/>
  <c r="S6" i="79"/>
  <c r="O6" i="79"/>
  <c r="S5" i="79"/>
  <c r="O5" i="79"/>
  <c r="S4" i="79"/>
  <c r="O4" i="79"/>
  <c r="S3" i="79"/>
  <c r="O3" i="79"/>
  <c r="S2" i="79"/>
  <c r="O2" i="79"/>
  <c r="B133" i="78"/>
  <c r="B131" i="78"/>
  <c r="B129" i="78"/>
  <c r="E128" i="78"/>
  <c r="F128" i="78" s="1"/>
  <c r="G128" i="78" s="1"/>
  <c r="H128" i="78" s="1"/>
  <c r="I128" i="78" s="1"/>
  <c r="J128" i="78" s="1"/>
  <c r="K128" i="78" s="1"/>
  <c r="L128" i="78" s="1"/>
  <c r="M128" i="78" s="1"/>
  <c r="D128" i="78"/>
  <c r="E126" i="78"/>
  <c r="F126" i="78" s="1"/>
  <c r="G126" i="78" s="1"/>
  <c r="H126" i="78" s="1"/>
  <c r="I126" i="78" s="1"/>
  <c r="J126" i="78" s="1"/>
  <c r="K126" i="78" s="1"/>
  <c r="L126" i="78" s="1"/>
  <c r="M126" i="78" s="1"/>
  <c r="D126" i="78"/>
  <c r="E124" i="78"/>
  <c r="F124" i="78" s="1"/>
  <c r="G124" i="78" s="1"/>
  <c r="H124" i="78" s="1"/>
  <c r="I124" i="78" s="1"/>
  <c r="J124" i="78" s="1"/>
  <c r="K124" i="78" s="1"/>
  <c r="L124" i="78" s="1"/>
  <c r="M124" i="78" s="1"/>
  <c r="D124" i="78"/>
  <c r="E122" i="78"/>
  <c r="F122" i="78" s="1"/>
  <c r="G122" i="78" s="1"/>
  <c r="H122" i="78" s="1"/>
  <c r="I122" i="78" s="1"/>
  <c r="J122" i="78" s="1"/>
  <c r="K122" i="78" s="1"/>
  <c r="L122" i="78" s="1"/>
  <c r="M122" i="78" s="1"/>
  <c r="D122" i="78"/>
  <c r="M118" i="78"/>
  <c r="L118" i="78"/>
  <c r="K118" i="78"/>
  <c r="J118" i="78"/>
  <c r="I118" i="78"/>
  <c r="H118" i="78"/>
  <c r="G118" i="78"/>
  <c r="F118" i="78"/>
  <c r="E118" i="78"/>
  <c r="D118" i="78"/>
  <c r="C118" i="78"/>
  <c r="B116" i="78"/>
  <c r="B114" i="78"/>
  <c r="B112" i="78"/>
  <c r="G111" i="78"/>
  <c r="H111" i="78" s="1"/>
  <c r="I111" i="78" s="1"/>
  <c r="J111" i="78" s="1"/>
  <c r="K111" i="78" s="1"/>
  <c r="L111" i="78" s="1"/>
  <c r="M111" i="78" s="1"/>
  <c r="F111" i="78"/>
  <c r="E111" i="78"/>
  <c r="D111" i="78"/>
  <c r="G109" i="78"/>
  <c r="H109" i="78" s="1"/>
  <c r="I109" i="78" s="1"/>
  <c r="J109" i="78" s="1"/>
  <c r="K109" i="78" s="1"/>
  <c r="L109" i="78" s="1"/>
  <c r="M109" i="78" s="1"/>
  <c r="F109" i="78"/>
  <c r="E109" i="78"/>
  <c r="D109" i="78"/>
  <c r="E107" i="78"/>
  <c r="F107" i="78" s="1"/>
  <c r="G107" i="78" s="1"/>
  <c r="H107" i="78" s="1"/>
  <c r="I107" i="78" s="1"/>
  <c r="J107" i="78" s="1"/>
  <c r="K107" i="78" s="1"/>
  <c r="L107" i="78" s="1"/>
  <c r="M107" i="78" s="1"/>
  <c r="D107" i="78"/>
  <c r="B106" i="78"/>
  <c r="F105" i="78"/>
  <c r="G105" i="78" s="1"/>
  <c r="E105" i="78"/>
  <c r="D105" i="78"/>
  <c r="E103" i="78"/>
  <c r="F103" i="78" s="1"/>
  <c r="G103" i="78" s="1"/>
  <c r="D103" i="78"/>
  <c r="E101" i="78"/>
  <c r="F101" i="78" s="1"/>
  <c r="G101" i="78" s="1"/>
  <c r="D101" i="78"/>
  <c r="E99" i="78"/>
  <c r="F99" i="78" s="1"/>
  <c r="G99" i="78" s="1"/>
  <c r="D99" i="78"/>
  <c r="E97" i="78"/>
  <c r="F97" i="78" s="1"/>
  <c r="G97" i="78" s="1"/>
  <c r="D97" i="78"/>
  <c r="E95" i="78"/>
  <c r="F95" i="78" s="1"/>
  <c r="G95" i="78" s="1"/>
  <c r="D95" i="78"/>
  <c r="E93" i="78"/>
  <c r="F93" i="78" s="1"/>
  <c r="G93" i="78" s="1"/>
  <c r="D93" i="78"/>
  <c r="E91" i="78"/>
  <c r="F91" i="78" s="1"/>
  <c r="G91" i="78" s="1"/>
  <c r="D91" i="78"/>
  <c r="B88" i="78"/>
  <c r="B86" i="78"/>
  <c r="B84" i="78"/>
  <c r="F83" i="78"/>
  <c r="G83" i="78" s="1"/>
  <c r="H83" i="78" s="1"/>
  <c r="I83" i="78" s="1"/>
  <c r="J83" i="78" s="1"/>
  <c r="K83" i="78" s="1"/>
  <c r="L83" i="78" s="1"/>
  <c r="M83" i="78" s="1"/>
  <c r="E83" i="78"/>
  <c r="D83" i="78"/>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I61" i="78"/>
  <c r="C61" i="78" s="1"/>
  <c r="H61" i="78"/>
  <c r="H60" i="78"/>
  <c r="I60" i="78" s="1"/>
  <c r="C60" i="78" s="1"/>
  <c r="I59" i="78"/>
  <c r="C59" i="78" s="1"/>
  <c r="H59" i="78"/>
  <c r="E58" i="78"/>
  <c r="J57" i="78"/>
  <c r="I55" i="78"/>
  <c r="J55" i="78" s="1"/>
  <c r="P50" i="78"/>
  <c r="P49" i="78"/>
  <c r="K49" i="78"/>
  <c r="P48" i="78"/>
  <c r="I48" i="78"/>
  <c r="V48" i="78" s="1"/>
  <c r="G48" i="78"/>
  <c r="G55" i="78" s="1"/>
  <c r="H55" i="78" s="1"/>
  <c r="E48" i="78"/>
  <c r="R48" i="78" s="1"/>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AC43" i="78"/>
  <c r="W43" i="78"/>
  <c r="Q43" i="78"/>
  <c r="Z43" i="78" s="1"/>
  <c r="J43" i="78"/>
  <c r="H43" i="78"/>
  <c r="AB43" i="78" s="1"/>
  <c r="F43" i="78"/>
  <c r="AA43" i="78" s="1"/>
  <c r="AB42" i="78"/>
  <c r="U42" i="78"/>
  <c r="Q42" i="78"/>
  <c r="Z42" i="78" s="1"/>
  <c r="J42" i="78"/>
  <c r="AC42" i="78" s="1"/>
  <c r="H42" i="78"/>
  <c r="F42" i="78"/>
  <c r="AA42" i="78" s="1"/>
  <c r="Q41" i="78"/>
  <c r="Z41" i="78" s="1"/>
  <c r="J41" i="78"/>
  <c r="AC41" i="78" s="1"/>
  <c r="H41" i="78"/>
  <c r="AB41" i="78" s="1"/>
  <c r="F41" i="78"/>
  <c r="AA41" i="78" s="1"/>
  <c r="Q40" i="78"/>
  <c r="Z40" i="78" s="1"/>
  <c r="I40" i="78"/>
  <c r="J40" i="78" s="1"/>
  <c r="G40" i="78"/>
  <c r="H40" i="78" s="1"/>
  <c r="AB40" i="78" s="1"/>
  <c r="E40" i="78"/>
  <c r="F40" i="78" s="1"/>
  <c r="C40" i="78"/>
  <c r="Q39" i="78"/>
  <c r="Z39" i="78" s="1"/>
  <c r="J39" i="78"/>
  <c r="AC39" i="78" s="1"/>
  <c r="H39" i="78"/>
  <c r="AB39" i="78" s="1"/>
  <c r="F39" i="78"/>
  <c r="AA39" i="78" s="1"/>
  <c r="Q38" i="78"/>
  <c r="Z38" i="78" s="1"/>
  <c r="J38" i="78"/>
  <c r="AC38" i="78" s="1"/>
  <c r="H38" i="78"/>
  <c r="AB38" i="78" s="1"/>
  <c r="F38" i="78"/>
  <c r="AA38" i="78" s="1"/>
  <c r="AC37" i="78"/>
  <c r="W37" i="78"/>
  <c r="Q37" i="78"/>
  <c r="Z37" i="78" s="1"/>
  <c r="J37" i="78"/>
  <c r="H37" i="78"/>
  <c r="AB37" i="78" s="1"/>
  <c r="F37" i="78"/>
  <c r="AA37" i="78" s="1"/>
  <c r="AB36" i="78"/>
  <c r="U36" i="78"/>
  <c r="Q36" i="78"/>
  <c r="Z36" i="78" s="1"/>
  <c r="J36" i="78"/>
  <c r="AC36" i="78" s="1"/>
  <c r="H36" i="78"/>
  <c r="F36" i="78"/>
  <c r="Q34" i="78"/>
  <c r="Z34" i="78" s="1"/>
  <c r="J34" i="78"/>
  <c r="AC34" i="78" s="1"/>
  <c r="H34" i="78"/>
  <c r="AB34" i="78" s="1"/>
  <c r="F34" i="78"/>
  <c r="AA34" i="78" s="1"/>
  <c r="Q33" i="78"/>
  <c r="Z33" i="78" s="1"/>
  <c r="J33" i="78"/>
  <c r="AC33" i="78" s="1"/>
  <c r="H33" i="78"/>
  <c r="AB33" i="78" s="1"/>
  <c r="F33" i="78"/>
  <c r="AA33" i="78" s="1"/>
  <c r="Q31" i="78"/>
  <c r="Z31" i="78" s="1"/>
  <c r="J31" i="78"/>
  <c r="AC31" i="78" s="1"/>
  <c r="H31" i="78"/>
  <c r="AB31" i="78" s="1"/>
  <c r="F31" i="78"/>
  <c r="AA31" i="78" s="1"/>
  <c r="C31" i="78"/>
  <c r="Q29" i="78"/>
  <c r="Z29" i="78" s="1"/>
  <c r="J29" i="78"/>
  <c r="AC29" i="78" s="1"/>
  <c r="H29" i="78"/>
  <c r="AB29" i="78" s="1"/>
  <c r="F29" i="78"/>
  <c r="AA29" i="78" s="1"/>
  <c r="C29" i="78"/>
  <c r="Q27" i="78"/>
  <c r="Z27" i="78" s="1"/>
  <c r="J27" i="78"/>
  <c r="AC27" i="78" s="1"/>
  <c r="H27" i="78"/>
  <c r="AB27" i="78" s="1"/>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F13" i="78"/>
  <c r="AA13" i="78" s="1"/>
  <c r="C13" i="78"/>
  <c r="H13" i="78" s="1"/>
  <c r="Q12" i="78"/>
  <c r="Z12" i="78" s="1"/>
  <c r="J12" i="78"/>
  <c r="AC12" i="78" s="1"/>
  <c r="H12" i="78"/>
  <c r="AB12" i="78" s="1"/>
  <c r="F12" i="78"/>
  <c r="AA12" i="78" s="1"/>
  <c r="Q11" i="78"/>
  <c r="Z11" i="78" s="1"/>
  <c r="J11" i="78"/>
  <c r="AC11" i="78" s="1"/>
  <c r="H11" i="78"/>
  <c r="AB11" i="78" s="1"/>
  <c r="F11" i="78"/>
  <c r="AA11" i="78" s="1"/>
  <c r="U10" i="78"/>
  <c r="J10" i="78"/>
  <c r="W10" i="78" s="1"/>
  <c r="H10" i="78"/>
  <c r="AB10" i="78" s="1"/>
  <c r="F10" i="78"/>
  <c r="S10" i="78" s="1"/>
  <c r="I9" i="78"/>
  <c r="G9" i="78"/>
  <c r="E9" i="78"/>
  <c r="C9" i="78"/>
  <c r="C70" i="78" s="1"/>
  <c r="I7" i="78"/>
  <c r="G7" i="78"/>
  <c r="E7" i="78"/>
  <c r="C7" i="78"/>
  <c r="AB13" i="78" l="1"/>
  <c r="U13" i="78"/>
  <c r="AA10" i="78"/>
  <c r="AC10" i="78"/>
  <c r="C72" i="78"/>
  <c r="D70" i="78"/>
  <c r="S11" i="78"/>
  <c r="W11" i="78"/>
  <c r="U12" i="78"/>
  <c r="S14" i="78"/>
  <c r="W14" i="78"/>
  <c r="U15" i="78"/>
  <c r="S16" i="78"/>
  <c r="W16" i="78"/>
  <c r="S17" i="78"/>
  <c r="W17" i="78"/>
  <c r="S19" i="78"/>
  <c r="W19" i="78"/>
  <c r="S21" i="78"/>
  <c r="W21" i="78"/>
  <c r="S23" i="78"/>
  <c r="W23" i="78"/>
  <c r="S25" i="78"/>
  <c r="W25" i="78"/>
  <c r="S27" i="78"/>
  <c r="W27" i="78"/>
  <c r="S29" i="78"/>
  <c r="W29" i="78"/>
  <c r="S31" i="78"/>
  <c r="W31" i="78"/>
  <c r="U33" i="78"/>
  <c r="S34" i="78"/>
  <c r="W34" i="78"/>
  <c r="S37" i="78"/>
  <c r="U38" i="78"/>
  <c r="W39" i="78"/>
  <c r="AA40" i="78"/>
  <c r="S40" i="78"/>
  <c r="AC40" i="78"/>
  <c r="W40" i="78"/>
  <c r="U40" i="78"/>
  <c r="W41" i="78"/>
  <c r="S43" i="78"/>
  <c r="U44" i="78"/>
  <c r="U11" i="78"/>
  <c r="S12" i="78"/>
  <c r="W12" i="78"/>
  <c r="S13" i="78"/>
  <c r="W13" i="78"/>
  <c r="U14" i="78"/>
  <c r="S15" i="78"/>
  <c r="W15" i="78"/>
  <c r="U16" i="78"/>
  <c r="U17" i="78"/>
  <c r="U19" i="78"/>
  <c r="U21" i="78"/>
  <c r="U23" i="78"/>
  <c r="U25" i="78"/>
  <c r="U27" i="78"/>
  <c r="U29" i="78"/>
  <c r="U31" i="78"/>
  <c r="S33" i="78"/>
  <c r="W33" i="78"/>
  <c r="U34" i="78"/>
  <c r="AA36" i="78"/>
  <c r="S36" i="78"/>
  <c r="S39" i="78"/>
  <c r="S41" i="78"/>
  <c r="W36" i="78"/>
  <c r="U37" i="78"/>
  <c r="S38" i="78"/>
  <c r="W38" i="78"/>
  <c r="U39" i="78"/>
  <c r="U41" i="78"/>
  <c r="S42" i="78"/>
  <c r="W42" i="78"/>
  <c r="U43" i="78"/>
  <c r="S44" i="78"/>
  <c r="W44" i="78"/>
  <c r="U45" i="78"/>
  <c r="S46" i="78"/>
  <c r="W46" i="78"/>
  <c r="U47" i="78"/>
  <c r="S45" i="78"/>
  <c r="W45" i="78"/>
  <c r="U46" i="78"/>
  <c r="S47" i="78"/>
  <c r="W47" i="78"/>
  <c r="T48" i="78"/>
  <c r="E55" i="78"/>
  <c r="F55" i="78" s="1"/>
  <c r="D14" i="9"/>
  <c r="Z6" i="1"/>
  <c r="C6" i="69"/>
  <c r="C19" i="6"/>
  <c r="F19" i="6"/>
  <c r="B3" i="4"/>
  <c r="E70" i="78" l="1"/>
  <c r="D72" i="78"/>
  <c r="V6" i="71"/>
  <c r="U6" i="71"/>
  <c r="T6" i="71"/>
  <c r="S6" i="71"/>
  <c r="E72" i="78" l="1"/>
  <c r="F70" i="78"/>
  <c r="E20" i="43"/>
  <c r="G70" i="78" l="1"/>
  <c r="F72" i="78"/>
  <c r="AH5" i="71"/>
  <c r="AG5" i="71"/>
  <c r="AE5" i="71"/>
  <c r="AF5" i="71" s="1"/>
  <c r="AD5" i="71"/>
  <c r="Q5" i="71"/>
  <c r="P5" i="71"/>
  <c r="O5" i="71"/>
  <c r="N5" i="71"/>
  <c r="G72" i="78" l="1"/>
  <c r="H70" i="78"/>
  <c r="AH6" i="71"/>
  <c r="AG6" i="71"/>
  <c r="AE6" i="71"/>
  <c r="AF6" i="71" s="1"/>
  <c r="AD6" i="71"/>
  <c r="Q6" i="71"/>
  <c r="P6" i="71"/>
  <c r="O6" i="71"/>
  <c r="N6" i="71"/>
  <c r="I70" i="78" l="1"/>
  <c r="H72" i="78"/>
  <c r="AH7" i="71"/>
  <c r="AG7" i="71"/>
  <c r="AE7" i="71"/>
  <c r="AF7" i="71" s="1"/>
  <c r="AD7" i="71"/>
  <c r="Q7" i="71"/>
  <c r="AB6" i="71" s="1"/>
  <c r="P7" i="71"/>
  <c r="AA6" i="71" s="1"/>
  <c r="O7" i="71"/>
  <c r="Y6" i="71" s="1"/>
  <c r="Z6" i="71" s="1"/>
  <c r="N7" i="71"/>
  <c r="X6" i="71" s="1"/>
  <c r="I72" i="78" l="1"/>
  <c r="J70" i="78"/>
  <c r="AB5" i="71"/>
  <c r="AA5" i="71"/>
  <c r="Y5" i="71"/>
  <c r="Z5" i="71" s="1"/>
  <c r="X5" i="71"/>
  <c r="C31" i="66"/>
  <c r="K70" i="78" l="1"/>
  <c r="J72" i="78"/>
  <c r="H16" i="49"/>
  <c r="D16" i="49"/>
  <c r="D15" i="49"/>
  <c r="B2" i="49"/>
  <c r="F15" i="49" s="1"/>
  <c r="H15" i="49" s="1"/>
  <c r="K72" i="78" l="1"/>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AB7" i="71" s="1"/>
  <c r="P8" i="71"/>
  <c r="AA7" i="71" s="1"/>
  <c r="O8" i="71"/>
  <c r="Y7" i="71" s="1"/>
  <c r="Z7" i="71" s="1"/>
  <c r="N8" i="71"/>
  <c r="X7" i="71" s="1"/>
  <c r="AB9" i="78" l="1"/>
  <c r="T49" i="78" s="1"/>
  <c r="G49" i="78" s="1"/>
  <c r="U9" i="78"/>
  <c r="W9" i="78"/>
  <c r="AC9" i="78"/>
  <c r="V49" i="78" s="1"/>
  <c r="I49" i="78" s="1"/>
  <c r="S9" i="78"/>
  <c r="AA9" i="78"/>
  <c r="R49" i="78" s="1"/>
  <c r="V10" i="71"/>
  <c r="U10" i="71"/>
  <c r="T10" i="71"/>
  <c r="S10" i="71"/>
  <c r="R50" i="78" l="1"/>
  <c r="E49" i="78"/>
  <c r="I54" i="78"/>
  <c r="J54" i="78" s="1"/>
  <c r="I53" i="78"/>
  <c r="J53" i="78" s="1"/>
  <c r="G54" i="78"/>
  <c r="H54" i="78" s="1"/>
  <c r="G53" i="78"/>
  <c r="H53" i="78" s="1"/>
  <c r="AH9" i="71"/>
  <c r="AG9" i="71"/>
  <c r="AE9" i="71"/>
  <c r="AF9" i="71" s="1"/>
  <c r="AD9" i="71"/>
  <c r="Q9" i="71"/>
  <c r="AB8" i="71" s="1"/>
  <c r="P9" i="71"/>
  <c r="AA8" i="71" s="1"/>
  <c r="O9" i="71"/>
  <c r="Y8" i="71" s="1"/>
  <c r="Z8" i="71" s="1"/>
  <c r="N9" i="71"/>
  <c r="X8" i="71" s="1"/>
  <c r="E54" i="78" l="1"/>
  <c r="F54" i="78" s="1"/>
  <c r="E53" i="78"/>
  <c r="F53" i="78" s="1"/>
  <c r="C49" i="78"/>
  <c r="C50" i="78"/>
  <c r="AB12" i="7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AF6" i="1" s="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K20" i="6" s="1"/>
  <c r="E11" i="6"/>
  <c r="E61" i="39" s="1"/>
  <c r="BL17" i="3"/>
  <c r="AZ17" i="3"/>
  <c r="BL13" i="3"/>
  <c r="G30" i="6"/>
  <c r="G31" i="6"/>
  <c r="J56" i="9"/>
  <c r="J57" i="9" s="1"/>
  <c r="J59" i="9" s="1"/>
  <c r="J61" i="9" s="1"/>
  <c r="A24" i="51"/>
  <c r="B18" i="72" s="1"/>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19" i="12"/>
  <c r="C19" i="12" s="1"/>
  <c r="AQ9" i="1"/>
  <c r="AR11" i="1"/>
  <c r="E59" i="40"/>
  <c r="T9" i="1"/>
  <c r="T13"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24" i="6"/>
  <c r="M24" i="6" s="1"/>
  <c r="I24" i="6" s="1"/>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M20" i="6"/>
  <c r="I20" i="6" s="1"/>
  <c r="AP7" i="1"/>
  <c r="AB45" i="21"/>
  <c r="AC33" i="21"/>
  <c r="W33" i="21"/>
  <c r="S33" i="21"/>
  <c r="AA33" i="21"/>
  <c r="W32" i="21"/>
  <c r="AC32" i="21"/>
  <c r="AB9" i="21"/>
  <c r="U9" i="21"/>
  <c r="AA32" i="21"/>
  <c r="S32" i="21"/>
  <c r="W9" i="21"/>
  <c r="AC9" i="21"/>
  <c r="AB32" i="21"/>
  <c r="U32" i="21"/>
  <c r="AA10" i="21"/>
  <c r="S10" i="21"/>
  <c r="AR7" i="1"/>
  <c r="E6" i="70"/>
  <c r="E2" i="70" s="1"/>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37" i="11"/>
  <c r="D14" i="12"/>
  <c r="D17" i="12" s="1"/>
  <c r="C17" i="12" s="1"/>
  <c r="M18" i="9"/>
  <c r="B118" i="9" s="1"/>
  <c r="B14" i="74" s="1"/>
  <c r="B1" i="74" s="1"/>
  <c r="S20" i="6"/>
  <c r="AC11" i="37"/>
  <c r="W11" i="37"/>
  <c r="W11" i="34"/>
  <c r="AC11" i="34"/>
  <c r="D10" i="11"/>
  <c r="C10" i="11" s="1"/>
  <c r="D20" i="12"/>
  <c r="C20" i="12" s="1"/>
  <c r="R7" i="1"/>
  <c r="F34" i="11"/>
  <c r="C37" i="11" s="1"/>
  <c r="F11" i="12"/>
  <c r="C23" i="12" s="1"/>
  <c r="R8" i="1"/>
  <c r="S16" i="1"/>
  <c r="AE7" i="1"/>
  <c r="AE8"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s="1"/>
  <c r="E68" i="39"/>
  <c r="F68" i="39" s="1"/>
  <c r="V14" i="71"/>
  <c r="C14" i="71"/>
  <c r="D15" i="71"/>
  <c r="E41" i="43"/>
  <c r="C41" i="43"/>
  <c r="C20" i="43"/>
  <c r="I59" i="34"/>
  <c r="J59" i="34" s="1"/>
  <c r="D12" i="71"/>
  <c r="T14" i="71"/>
  <c r="D13" i="71"/>
  <c r="D14" i="71"/>
  <c r="U14" i="71"/>
  <c r="F34" i="68"/>
  <c r="D9" i="69"/>
  <c r="D9" i="68"/>
  <c r="M29" i="15"/>
  <c r="F13" i="15"/>
  <c r="F3" i="73"/>
  <c r="M9" i="15"/>
  <c r="M6" i="67"/>
  <c r="D7" i="73"/>
  <c r="F26" i="15"/>
  <c r="B12" i="76"/>
  <c r="D2" i="34"/>
  <c r="M28" i="15"/>
  <c r="M9" i="67"/>
  <c r="E9" i="76"/>
  <c r="F7" i="73"/>
  <c r="M24" i="15"/>
  <c r="F9" i="67"/>
  <c r="F6" i="73"/>
  <c r="J15" i="15"/>
  <c r="F38" i="15"/>
  <c r="F43" i="15"/>
  <c r="D2" i="21"/>
  <c r="F37" i="15"/>
  <c r="M23" i="15"/>
  <c r="F40" i="67"/>
  <c r="J15" i="67"/>
  <c r="D10" i="69"/>
  <c r="D10" i="68"/>
  <c r="D3" i="73"/>
  <c r="AO11" i="1"/>
  <c r="F41" i="67"/>
  <c r="F7" i="67"/>
  <c r="F38" i="67"/>
  <c r="B10" i="76"/>
  <c r="F9" i="15"/>
  <c r="E11" i="76"/>
  <c r="M24" i="67"/>
  <c r="D2" i="36"/>
  <c r="F6" i="67"/>
  <c r="C76" i="67"/>
  <c r="F8" i="15"/>
  <c r="F36" i="15"/>
  <c r="F40" i="15"/>
  <c r="F20" i="31"/>
  <c r="L47" i="67"/>
  <c r="F36" i="67"/>
  <c r="F4" i="73"/>
  <c r="B11" i="76"/>
  <c r="AO7" i="1"/>
  <c r="M8" i="15"/>
  <c r="C34" i="69"/>
  <c r="AO12" i="1"/>
  <c r="B7" i="76"/>
  <c r="L48" i="15"/>
  <c r="M22" i="15"/>
  <c r="F16" i="15"/>
  <c r="D5" i="73"/>
  <c r="D2" i="33"/>
  <c r="L48" i="67"/>
  <c r="F6" i="15"/>
  <c r="F43" i="67"/>
  <c r="E7" i="76"/>
  <c r="B8" i="76"/>
  <c r="AO10" i="1"/>
  <c r="AO9" i="1"/>
  <c r="F13" i="67"/>
  <c r="E8" i="76"/>
  <c r="B13" i="76"/>
  <c r="E10" i="76"/>
  <c r="D2" i="37"/>
  <c r="E13" i="76"/>
  <c r="F16" i="67"/>
  <c r="F26" i="67"/>
  <c r="E2" i="69"/>
  <c r="F5" i="73"/>
  <c r="M22" i="67"/>
  <c r="C36" i="69"/>
  <c r="F8" i="67"/>
  <c r="D4" i="73"/>
  <c r="AO8" i="1"/>
  <c r="C76" i="15"/>
  <c r="M23" i="67"/>
  <c r="D6" i="73"/>
  <c r="M26" i="67"/>
  <c r="F37" i="67"/>
  <c r="F42" i="15"/>
  <c r="L47" i="15"/>
  <c r="M28" i="67"/>
  <c r="M6" i="15"/>
  <c r="F42" i="67"/>
  <c r="M29" i="67"/>
  <c r="E2" i="68"/>
  <c r="F41" i="15"/>
  <c r="B9" i="76"/>
  <c r="D2" i="35"/>
  <c r="M26" i="15"/>
  <c r="AO13" i="1"/>
  <c r="M8" i="67"/>
  <c r="E12" i="76"/>
  <c r="F7" i="15"/>
  <c r="D5" i="43" l="1"/>
  <c r="C5" i="43"/>
  <c r="B67" i="78"/>
  <c r="F67" i="78" s="1"/>
  <c r="B66" i="78"/>
  <c r="F66" i="78" s="1"/>
  <c r="B65" i="78"/>
  <c r="F65" i="78" s="1"/>
  <c r="B64" i="78"/>
  <c r="F64" i="78" s="1"/>
  <c r="B63" i="78"/>
  <c r="F63" i="78" s="1"/>
  <c r="B61" i="78"/>
  <c r="F61" i="78" s="1"/>
  <c r="B59" i="78"/>
  <c r="F59" i="78" s="1"/>
  <c r="F68" i="78"/>
  <c r="B2" i="78" s="1"/>
  <c r="B62" i="78"/>
  <c r="F62" i="78" s="1"/>
  <c r="B60" i="78"/>
  <c r="F60" i="78" s="1"/>
  <c r="B58" i="78"/>
  <c r="F58" i="78" s="1"/>
  <c r="B4" i="78"/>
  <c r="C35" i="69"/>
  <c r="C9" i="69"/>
  <c r="C10" i="69"/>
  <c r="C92" i="9"/>
  <c r="C94" i="9"/>
  <c r="F30" i="69"/>
  <c r="F52" i="9"/>
  <c r="D68" i="9"/>
  <c r="F28" i="15"/>
  <c r="F32" i="67"/>
  <c r="F60" i="67" s="1"/>
  <c r="F28" i="67"/>
  <c r="C28" i="67" s="1"/>
  <c r="C77" i="9"/>
  <c r="C74" i="9" s="1"/>
  <c r="C13" i="12"/>
  <c r="C30" i="11"/>
  <c r="F54" i="9"/>
  <c r="M18" i="15"/>
  <c r="F32" i="15"/>
  <c r="F60" i="15" s="1"/>
  <c r="M18" i="67"/>
  <c r="F31" i="12"/>
  <c r="C31" i="12" s="1"/>
  <c r="F30" i="68"/>
  <c r="F53" i="9"/>
  <c r="C21" i="68"/>
  <c r="C40" i="69"/>
  <c r="C21" i="69"/>
  <c r="C36" i="11"/>
  <c r="D22" i="67"/>
  <c r="C10" i="68"/>
  <c r="B29" i="1" s="1"/>
  <c r="C18" i="12" s="1"/>
  <c r="C9" i="68"/>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6" i="40"/>
  <c r="S25" i="6"/>
  <c r="O7" i="1"/>
  <c r="P7" i="1" s="1"/>
  <c r="E16" i="6"/>
  <c r="M16" i="1"/>
  <c r="L16" i="1" s="1"/>
  <c r="T6" i="1"/>
  <c r="AR6" i="1"/>
  <c r="S26" i="6"/>
  <c r="S24" i="6"/>
  <c r="AQ7" i="1"/>
  <c r="T7" i="1"/>
  <c r="O11" i="1"/>
  <c r="P11" i="1" s="1"/>
  <c r="O9" i="1"/>
  <c r="P9" i="1" s="1"/>
  <c r="E60" i="40"/>
  <c r="E65" i="39"/>
  <c r="E66" i="39" s="1"/>
  <c r="O8" i="1"/>
  <c r="P8" i="1" s="1"/>
  <c r="C34" i="11"/>
  <c r="C38" i="11" s="1"/>
  <c r="D3" i="21"/>
  <c r="D19" i="11"/>
  <c r="C19" i="11" s="1"/>
  <c r="C17" i="4"/>
  <c r="L18" i="9"/>
  <c r="D3" i="37"/>
  <c r="M19" i="6"/>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O12" i="1"/>
  <c r="P12" i="1" s="1"/>
  <c r="F30" i="6"/>
  <c r="F31" i="6" s="1"/>
  <c r="E29" i="6"/>
  <c r="H16" i="1"/>
  <c r="Q16" i="1"/>
  <c r="K22" i="6"/>
  <c r="M22" i="6" s="1"/>
  <c r="I22" i="6" s="1"/>
  <c r="K21" i="6"/>
  <c r="M21" i="6" s="1"/>
  <c r="I21" i="6"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E70" i="39"/>
  <c r="C28" i="15"/>
  <c r="C48" i="6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AA10" i="71"/>
  <c r="AB3" i="71"/>
  <c r="C35" i="43"/>
  <c r="E35" i="43" s="1"/>
  <c r="C36" i="43"/>
  <c r="E36" i="43" s="1"/>
  <c r="T9" i="43"/>
  <c r="V9" i="43" s="1"/>
  <c r="C39" i="43"/>
  <c r="D19" i="68"/>
  <c r="C19" i="68" s="1"/>
  <c r="C37" i="43"/>
  <c r="E37" i="43" s="1"/>
  <c r="B10" i="71"/>
  <c r="B9" i="71" s="1"/>
  <c r="B8" i="71" s="1"/>
  <c r="B7" i="71" s="1"/>
  <c r="B6" i="71" s="1"/>
  <c r="B5" i="71" s="1"/>
  <c r="X10" i="71"/>
  <c r="AB10" i="71"/>
  <c r="T15" i="43"/>
  <c r="V15" i="43" s="1"/>
  <c r="Z9" i="71"/>
  <c r="Y3" i="71"/>
  <c r="Z3" i="71" s="1"/>
  <c r="D10" i="71"/>
  <c r="F10" i="71"/>
  <c r="F9" i="71" s="1"/>
  <c r="F8" i="71" s="1"/>
  <c r="F7" i="71" s="1"/>
  <c r="F6" i="71" s="1"/>
  <c r="F5" i="71" s="1"/>
  <c r="C14" i="12"/>
  <c r="AF3" i="71"/>
  <c r="P22" i="43" s="1"/>
  <c r="C38" i="69"/>
  <c r="C34" i="43"/>
  <c r="T10" i="43"/>
  <c r="V10" i="43" s="1"/>
  <c r="C33" i="43"/>
  <c r="T16" i="43"/>
  <c r="V16" i="43" s="1"/>
  <c r="T13" i="43"/>
  <c r="V13" i="43" s="1"/>
  <c r="T8" i="43"/>
  <c r="V8" i="43" s="1"/>
  <c r="C38" i="43"/>
  <c r="C8" i="69"/>
  <c r="C5" i="69" s="1"/>
  <c r="G36" i="43"/>
  <c r="I36" i="43" s="1"/>
  <c r="D19" i="69"/>
  <c r="C19" i="69"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C16" i="15"/>
  <c r="C14" i="67"/>
  <c r="C17" i="67"/>
  <c r="C17" i="15"/>
  <c r="C14" i="15"/>
  <c r="G1" i="73"/>
  <c r="C36" i="68"/>
  <c r="C34" i="68"/>
  <c r="B5" i="78" l="1"/>
  <c r="B3" i="78"/>
  <c r="C35" i="11"/>
  <c r="N16" i="1"/>
  <c r="F48" i="69"/>
  <c r="C30" i="69"/>
  <c r="C33" i="11"/>
  <c r="F48" i="68"/>
  <c r="C30" i="68"/>
  <c r="C48" i="68"/>
  <c r="C38" i="68"/>
  <c r="C35" i="68"/>
  <c r="K27" i="6"/>
  <c r="AY103" i="3"/>
  <c r="AY67" i="3"/>
  <c r="AY50" i="3"/>
  <c r="AY196" i="3"/>
  <c r="AY160" i="3"/>
  <c r="AY139" i="3"/>
  <c r="AY289" i="3"/>
  <c r="AY74" i="3"/>
  <c r="AY183" i="3"/>
  <c r="AY123" i="3"/>
  <c r="AY261" i="3"/>
  <c r="AY204" i="3"/>
  <c r="AY284" i="3"/>
  <c r="AY252" i="3"/>
  <c r="AY209" i="3"/>
  <c r="AY363" i="3"/>
  <c r="AY319" i="3"/>
  <c r="AY489" i="3"/>
  <c r="AY455"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98" i="3"/>
  <c r="AY18" i="3"/>
  <c r="AY171" i="3"/>
  <c r="AY90" i="3"/>
  <c r="AY163" i="3"/>
  <c r="AY75"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51"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T16" i="1"/>
  <c r="H6" i="3"/>
  <c r="E6" i="3" s="1"/>
  <c r="C18" i="15"/>
  <c r="C15" i="15"/>
  <c r="F50" i="69"/>
  <c r="F50" i="68"/>
  <c r="F50" i="11"/>
  <c r="P16" i="1"/>
  <c r="C11" i="12" s="1"/>
  <c r="S22" i="6"/>
  <c r="H22" i="6"/>
  <c r="I19" i="6"/>
  <c r="M27" i="6"/>
  <c r="C20" i="11"/>
  <c r="S21" i="6"/>
  <c r="H21" i="6"/>
  <c r="F28" i="12"/>
  <c r="C29" i="12" s="1"/>
  <c r="D28" i="12" s="1"/>
  <c r="F27" i="11"/>
  <c r="E30" i="6"/>
  <c r="E31" i="6" s="1"/>
  <c r="K15" i="1"/>
  <c r="K16" i="1" s="1"/>
  <c r="D29" i="6"/>
  <c r="B4" i="52"/>
  <c r="B43" i="72"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D37" i="69"/>
  <c r="C37" i="69" s="1"/>
  <c r="C33" i="69" s="1"/>
  <c r="C39" i="69" s="1"/>
  <c r="G70" i="39"/>
  <c r="H68" i="39"/>
  <c r="H7" i="37"/>
  <c r="AB7" i="37" s="1"/>
  <c r="T42" i="37" s="1"/>
  <c r="G42" i="37" s="1"/>
  <c r="B40" i="1"/>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8" i="71"/>
  <c r="C7" i="71"/>
  <c r="C39" i="11"/>
  <c r="C46" i="11" s="1"/>
  <c r="C45" i="11" s="1"/>
  <c r="M17" i="67"/>
  <c r="M17" i="15"/>
  <c r="F59" i="15"/>
  <c r="P24" i="43"/>
  <c r="B66" i="40" s="1"/>
  <c r="P21" i="43"/>
  <c r="D37" i="68"/>
  <c r="C37" i="68" s="1"/>
  <c r="C20" i="69"/>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AE6" i="1"/>
  <c r="F27" i="69"/>
  <c r="F27" i="68"/>
  <c r="C19" i="15" l="1"/>
  <c r="C20" i="15" s="1"/>
  <c r="C26" i="15" s="1"/>
  <c r="AG6" i="1"/>
  <c r="C28" i="69"/>
  <c r="C27" i="69" s="1"/>
  <c r="C33" i="68"/>
  <c r="C39" i="68" s="1"/>
  <c r="C46" i="68" s="1"/>
  <c r="C45" i="68" s="1"/>
  <c r="AA10" i="40"/>
  <c r="U10" i="40"/>
  <c r="M19" i="9"/>
  <c r="C118" i="9" s="1"/>
  <c r="C14" i="74" s="1"/>
  <c r="B2" i="74" s="1"/>
  <c r="D8" i="74" s="1"/>
  <c r="D25" i="6"/>
  <c r="D15" i="6"/>
  <c r="D22" i="6"/>
  <c r="R22" i="6" s="1"/>
  <c r="D21" i="6"/>
  <c r="R21" i="6" s="1"/>
  <c r="D24" i="6"/>
  <c r="D20" i="6"/>
  <c r="R20" i="6" s="1"/>
  <c r="D5" i="6"/>
  <c r="D12" i="6"/>
  <c r="D11" i="6"/>
  <c r="D13" i="6"/>
  <c r="D28" i="6"/>
  <c r="D30" i="6" s="1"/>
  <c r="H23" i="6"/>
  <c r="H20" i="6"/>
  <c r="D19" i="6"/>
  <c r="D26" i="6"/>
  <c r="C18" i="4"/>
  <c r="D8" i="6"/>
  <c r="D23" i="6"/>
  <c r="D14" i="6"/>
  <c r="D6" i="6"/>
  <c r="D9" i="6"/>
  <c r="D10" i="6"/>
  <c r="L19" i="9"/>
  <c r="E61" i="40"/>
  <c r="H26" i="6"/>
  <c r="R26" i="6" s="1"/>
  <c r="H24" i="6"/>
  <c r="R24" i="6" s="1"/>
  <c r="H25" i="6"/>
  <c r="R25" i="6" s="1"/>
  <c r="W10" i="40"/>
  <c r="C28" i="11"/>
  <c r="C27" i="11" s="1"/>
  <c r="F45" i="69"/>
  <c r="C29" i="69"/>
  <c r="D27" i="69" s="1"/>
  <c r="C47" i="69"/>
  <c r="D45" i="69" s="1"/>
  <c r="S19" i="6"/>
  <c r="S27" i="6" s="1"/>
  <c r="I27" i="6"/>
  <c r="H19" i="6"/>
  <c r="F45" i="68"/>
  <c r="C47" i="68"/>
  <c r="D45" i="68" s="1"/>
  <c r="C29" i="68"/>
  <c r="D27" i="68" s="1"/>
  <c r="C47" i="11"/>
  <c r="D45" i="11" s="1"/>
  <c r="C29" i="11"/>
  <c r="D27" i="11" s="1"/>
  <c r="C15" i="12"/>
  <c r="C12" i="12"/>
  <c r="D113" i="43"/>
  <c r="C115" i="43"/>
  <c r="S5" i="43"/>
  <c r="T5" i="43" s="1"/>
  <c r="V5" i="43" s="1"/>
  <c r="S4" i="43"/>
  <c r="T4" i="43" s="1"/>
  <c r="V4" i="43" s="1"/>
  <c r="S2" i="43"/>
  <c r="T2" i="43" s="1"/>
  <c r="V2" i="43" s="1"/>
  <c r="C26" i="43" s="1"/>
  <c r="S6" i="43"/>
  <c r="T6" i="43" s="1"/>
  <c r="V6" i="43" s="1"/>
  <c r="C23" i="43"/>
  <c r="C21" i="43" s="1"/>
  <c r="C29" i="43" s="1"/>
  <c r="S7" i="43"/>
  <c r="T7" i="43" s="1"/>
  <c r="V7" i="43" s="1"/>
  <c r="S3" i="43"/>
  <c r="T3" i="43" s="1"/>
  <c r="V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4" i="67"/>
  <c r="J24" i="15"/>
  <c r="C53" i="67"/>
  <c r="C48" i="67" s="1"/>
  <c r="C10" i="67"/>
  <c r="C5" i="67" s="1"/>
  <c r="C53" i="15"/>
  <c r="C48" i="15" s="1"/>
  <c r="C10" i="15"/>
  <c r="C5" i="15" s="1"/>
  <c r="F25" i="12"/>
  <c r="F22" i="69"/>
  <c r="F41" i="69" s="1"/>
  <c r="F24" i="67"/>
  <c r="C24" i="67" s="1"/>
  <c r="F22" i="11"/>
  <c r="F22" i="68"/>
  <c r="F24" i="15"/>
  <c r="C24" i="15" s="1"/>
  <c r="C28" i="68"/>
  <c r="C27" i="68" s="1"/>
  <c r="C46" i="69"/>
  <c r="C45" i="69" s="1"/>
  <c r="M27" i="15"/>
  <c r="M27" i="67"/>
  <c r="C16" i="12" l="1"/>
  <c r="C21" i="12" s="1"/>
  <c r="C4" i="52"/>
  <c r="B45" i="72" s="1"/>
  <c r="A10" i="51"/>
  <c r="B9" i="72" s="1"/>
  <c r="A7" i="51"/>
  <c r="B7" i="72" s="1"/>
  <c r="D27" i="6"/>
  <c r="D31" i="6" s="1"/>
  <c r="R23" i="6"/>
  <c r="D16" i="6"/>
  <c r="H27" i="6"/>
  <c r="R19" i="6"/>
  <c r="C30" i="43"/>
  <c r="E30" i="43" s="1"/>
  <c r="C27"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25" i="68"/>
  <c r="F41" i="68"/>
  <c r="B2" i="43"/>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43" i="11"/>
  <c r="C25" i="11"/>
  <c r="C26" i="11"/>
  <c r="D22" i="11" s="1"/>
  <c r="C42" i="11"/>
  <c r="C43" i="69"/>
  <c r="C38" i="67"/>
  <c r="C38" i="15"/>
  <c r="C66" i="67"/>
  <c r="C60" i="67"/>
  <c r="C23" i="67"/>
  <c r="C29" i="67" s="1"/>
  <c r="B6" i="76"/>
  <c r="E6" i="76"/>
  <c r="C22" i="12" l="1"/>
  <c r="C27" i="12" s="1"/>
  <c r="C25" i="12" s="1"/>
  <c r="R27" i="6"/>
  <c r="R6" i="1"/>
  <c r="I6" i="6"/>
  <c r="I5"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76" s="1"/>
  <c r="B3" i="43"/>
  <c r="J14" i="15"/>
  <c r="C57" i="15"/>
  <c r="C61" i="15" s="1"/>
  <c r="C36" i="15"/>
  <c r="C33" i="15"/>
  <c r="C13" i="15"/>
  <c r="Q49" i="15"/>
  <c r="J19" i="15"/>
  <c r="J59" i="15"/>
  <c r="J60" i="15" s="1"/>
  <c r="C41" i="11"/>
  <c r="C49" i="11" s="1"/>
  <c r="C51" i="11" s="1"/>
  <c r="C22" i="69"/>
  <c r="C31" i="69" s="1"/>
  <c r="C22" i="11"/>
  <c r="C31" i="11" s="1"/>
  <c r="C41" i="69"/>
  <c r="C49" i="69" s="1"/>
  <c r="C51" i="69" s="1"/>
  <c r="C36" i="67"/>
  <c r="C33" i="67"/>
  <c r="J14" i="67"/>
  <c r="C13" i="67"/>
  <c r="J19" i="67"/>
  <c r="C57" i="67"/>
  <c r="C61" i="67" s="1"/>
  <c r="Q49" i="67"/>
  <c r="J59" i="67"/>
  <c r="J60" i="67" s="1"/>
  <c r="F35" i="15"/>
  <c r="F35" i="67"/>
  <c r="M21" i="15"/>
  <c r="M21" i="67"/>
  <c r="J20" i="15" l="1"/>
  <c r="J17" i="15" s="1"/>
  <c r="C34" i="15"/>
  <c r="F63" i="15"/>
  <c r="C62" i="15" s="1"/>
  <c r="C59" i="15" s="1"/>
  <c r="C31" i="15"/>
  <c r="F63" i="67"/>
  <c r="C62" i="67" s="1"/>
  <c r="C59" i="67" s="1"/>
  <c r="C34" i="67"/>
  <c r="J20" i="67"/>
  <c r="C31" i="67"/>
  <c r="J17" i="67"/>
  <c r="R16" i="1"/>
  <c r="C30" i="12"/>
  <c r="C28" i="12" s="1"/>
  <c r="C32" i="12" s="1"/>
  <c r="B2" i="12" s="1"/>
  <c r="B3" i="12" s="1"/>
  <c r="K70" i="39"/>
  <c r="L68" i="39"/>
  <c r="I63" i="40"/>
  <c r="H65" i="40"/>
  <c r="I58" i="21"/>
  <c r="J58" i="21" s="1"/>
  <c r="K58" i="21" s="1"/>
  <c r="L58" i="21" s="1"/>
  <c r="M58" i="21" s="1"/>
  <c r="N58" i="21" s="1"/>
  <c r="O58" i="21" s="1"/>
  <c r="H7" i="21" s="1"/>
  <c r="J7" i="21"/>
  <c r="F7" i="21"/>
  <c r="J48" i="35"/>
  <c r="C52" i="68"/>
  <c r="B2" i="68" s="1"/>
  <c r="C52" i="11"/>
  <c r="B2" i="11" s="1"/>
  <c r="B3" i="11" s="1"/>
  <c r="Q48" i="15"/>
  <c r="J13" i="67"/>
  <c r="J23" i="67" s="1"/>
  <c r="J22" i="67"/>
  <c r="C64" i="67"/>
  <c r="C52" i="69"/>
  <c r="B2" i="69" s="1"/>
  <c r="C64" i="15"/>
  <c r="Q48" i="67"/>
  <c r="C56" i="67"/>
  <c r="C65" i="67" s="1"/>
  <c r="C75" i="67"/>
  <c r="Q70" i="67"/>
  <c r="C37" i="67"/>
  <c r="C56" i="15"/>
  <c r="C65" i="15" s="1"/>
  <c r="Q70" i="15"/>
  <c r="C37" i="15"/>
  <c r="C75" i="15"/>
  <c r="J22" i="15"/>
  <c r="J13" i="15"/>
  <c r="J23" i="15" s="1"/>
  <c r="C19" i="9"/>
  <c r="B3" i="68"/>
  <c r="B3" i="69"/>
  <c r="C30" i="15" l="1"/>
  <c r="C39" i="15" s="1"/>
  <c r="C40" i="15" s="1"/>
  <c r="C30" i="67"/>
  <c r="C39" i="67" s="1"/>
  <c r="C80" i="67" s="1"/>
  <c r="C79" i="67" s="1"/>
  <c r="C102" i="9"/>
  <c r="C21" i="9"/>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26" i="15" s="1"/>
  <c r="J29" i="15" s="1"/>
  <c r="J16" i="67"/>
  <c r="J25" i="67" s="1"/>
  <c r="J26" i="67" s="1"/>
  <c r="J29" i="67" s="1"/>
  <c r="C80" i="15"/>
  <c r="C79" i="15" s="1"/>
  <c r="C58" i="67"/>
  <c r="C67" i="67" s="1"/>
  <c r="C68" i="67" s="1"/>
  <c r="Q69" i="15"/>
  <c r="Q68" i="15" s="1"/>
  <c r="C57" i="69"/>
  <c r="C20" i="9"/>
  <c r="L51" i="15"/>
  <c r="C103" i="9" l="1"/>
  <c r="Q69" i="67"/>
  <c r="Q68" i="67" s="1"/>
  <c r="C40" i="67"/>
  <c r="C45" i="67" s="1"/>
  <c r="C46" i="67" s="1"/>
  <c r="C56" i="69"/>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B3" i="15" s="1"/>
  <c r="L57" i="67"/>
  <c r="L60" i="67" s="1"/>
  <c r="L46" i="67" s="1"/>
  <c r="D2" i="67" s="1"/>
  <c r="C71" i="67"/>
  <c r="Q56" i="15"/>
  <c r="Q65" i="15"/>
  <c r="C43" i="15"/>
  <c r="Q47" i="15"/>
  <c r="Q53" i="15" s="1"/>
  <c r="C83" i="15"/>
  <c r="C82" i="15" s="1"/>
  <c r="C43" i="67"/>
  <c r="Q56" i="67"/>
  <c r="C83" i="67"/>
  <c r="C82" i="67" s="1"/>
  <c r="C46" i="15"/>
  <c r="L51" i="67"/>
  <c r="Q65" i="67" l="1"/>
  <c r="Q47" i="67"/>
  <c r="Q53" i="67" s="1"/>
  <c r="Q67" i="67"/>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20" i="9"/>
  <c r="D19" i="9"/>
  <c r="D102" i="9" l="1"/>
  <c r="D21" i="9"/>
  <c r="G19" i="9"/>
  <c r="G21" i="9" s="1"/>
  <c r="D22" i="9"/>
  <c r="D103" i="9"/>
  <c r="G20" i="9"/>
  <c r="C32" i="9" s="1"/>
  <c r="B6" i="70"/>
  <c r="B2" i="70" s="1"/>
  <c r="B3" i="70" s="1"/>
  <c r="H7" i="39"/>
  <c r="J7" i="39"/>
  <c r="AA7" i="39"/>
  <c r="R47" i="39" s="1"/>
  <c r="S7" i="39"/>
  <c r="R39" i="35"/>
  <c r="E38" i="35"/>
  <c r="M63" i="40"/>
  <c r="L65" i="40"/>
  <c r="D35" i="9"/>
  <c r="C35" i="9" l="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l="1"/>
  <c r="D122" i="9" s="1"/>
  <c r="G14" i="74" l="1"/>
  <c r="B6" i="74" s="1"/>
  <c r="D8" i="52"/>
  <c r="D123" i="9"/>
  <c r="D9" i="52" s="1"/>
  <c r="D13" i="53"/>
  <c r="H108" i="9"/>
  <c r="D15" i="53" s="1"/>
  <c r="B31" i="72" s="1"/>
  <c r="D14" i="53" l="1"/>
  <c r="B32" i="72" s="1"/>
  <c r="B30" i="72"/>
  <c r="C6" i="74"/>
  <c r="D6" i="74"/>
  <c r="I118" i="9"/>
  <c r="H118" i="9" s="1"/>
  <c r="G118" i="9"/>
  <c r="F118" i="9" s="1"/>
  <c r="F119" i="9" s="1"/>
  <c r="F5" i="52" s="1"/>
  <c r="B53" i="72" s="1"/>
  <c r="I4" i="52"/>
  <c r="G4" i="52" l="1"/>
  <c r="B52" i="72" s="1"/>
  <c r="H102" i="9"/>
  <c r="D7" i="53" s="1"/>
  <c r="B21" i="72" s="1"/>
  <c r="C105" i="9"/>
  <c r="H101" i="9"/>
  <c r="H119" i="9"/>
  <c r="H5" i="52" s="1"/>
  <c r="H4" i="52"/>
  <c r="D14" i="74"/>
  <c r="C104" i="9"/>
  <c r="F4" i="52"/>
  <c r="B51" i="72" s="1"/>
  <c r="B5" i="74" l="1"/>
  <c r="F14" i="74"/>
  <c r="E14" i="74"/>
  <c r="H109" i="9"/>
  <c r="D45" i="9"/>
  <c r="D5" i="53"/>
  <c r="M48" i="9"/>
  <c r="D6" i="53" l="1"/>
  <c r="B22" i="72" s="1"/>
  <c r="B20" i="72"/>
  <c r="M49" i="9"/>
  <c r="D124" i="9"/>
  <c r="H110" i="9"/>
  <c r="D18" i="53" s="1"/>
  <c r="B35" i="72" s="1"/>
  <c r="D16" i="53"/>
  <c r="D55" i="9"/>
  <c r="M53" i="9" s="1"/>
  <c r="C85" i="9"/>
  <c r="C78" i="9"/>
  <c r="C73" i="9" s="1"/>
  <c r="D52" i="9"/>
  <c r="C93" i="9"/>
  <c r="C86" i="9" s="1"/>
  <c r="C64" i="9"/>
  <c r="C63" i="9" s="1"/>
  <c r="C67" i="9" s="1"/>
  <c r="C72" i="9"/>
  <c r="C79" i="9" s="1"/>
  <c r="D53" i="9"/>
  <c r="D5" i="74"/>
  <c r="C5" i="74"/>
  <c r="L63" i="9" l="1"/>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C80" i="9"/>
  <c r="E80" i="9" s="1"/>
  <c r="E81" i="9" s="1"/>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<sst xmlns="http://schemas.openxmlformats.org/spreadsheetml/2006/main" count="8146" uniqueCount="3405">
  <si>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</si>
  <si>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</si>
  <si>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</si>
  <si>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</si>
  <si>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</si>
  <si>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</si>
  <si>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</si>
  <si>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</si>
  <si>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</si>
  <si>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</si>
  <si>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</si>
  <si>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</si>
  <si>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</si>
  <si>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</si>
  <si>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</si>
  <si>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</si>
  <si>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</si>
  <si>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</si>
  <si>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</si>
  <si>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</si>
  <si>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</si>
  <si>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</si>
  <si>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</si>
  <si>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</si>
  <si>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</si>
  <si>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</si>
  <si>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</si>
  <si>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</si>
  <si>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</si>
  <si>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</si>
  <si>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</si>
  <si>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</si>
  <si>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</si>
  <si>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</si>
  <si>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</si>
  <si>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</si>
  <si>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</si>
  <si>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</si>
  <si>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</si>
  <si>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</si>
  <si>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</si>
  <si>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</si>
  <si>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</si>
  <si>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</si>
  <si>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</si>
  <si>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</si>
  <si>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</si>
  <si>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</si>
  <si>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</si>
  <si>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</si>
  <si>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</si>
  <si>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</si>
  <si>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</si>
  <si>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</si>
  <si>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</si>
  <si>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</si>
  <si>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</si>
  <si>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</si>
  <si>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</si>
  <si>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</si>
  <si>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</si>
  <si>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</si>
  <si>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</si>
  <si>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</si>
  <si>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</si>
  <si>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</si>
  <si>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</si>
  <si>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</si>
  <si>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</si>
  <si>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</si>
  <si>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</si>
  <si>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</si>
  <si>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</si>
  <si>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</si>
  <si>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</si>
  <si>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</si>
  <si>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</si>
  <si>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</si>
  <si>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</si>
  <si>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</si>
  <si>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</si>
  <si>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</si>
  <si>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</si>
  <si>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</si>
  <si>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</si>
  <si>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</si>
  <si>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</si>
  <si>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</si>
  <si>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</si>
  <si>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</si>
  <si>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</si>
  <si>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</si>
  <si>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</si>
  <si>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</si>
  <si>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</si>
  <si>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</si>
  <si>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</si>
  <si>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</si>
  <si>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</si>
  <si>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</si>
  <si>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</si>
  <si>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</si>
  <si>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</si>
  <si>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</si>
  <si>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</si>
  <si>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</si>
  <si>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</si>
  <si>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</si>
  <si>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</si>
  <si>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</si>
  <si>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</si>
  <si>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</si>
  <si>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</si>
  <si>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</si>
  <si>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</si>
  <si>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</si>
  <si>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</si>
  <si>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</si>
  <si>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</si>
  <si>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</si>
  <si>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</si>
  <si>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</si>
  <si>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</si>
  <si>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</si>
  <si>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</si>
  <si>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</si>
  <si>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</si>
  <si>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</si>
  <si>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</si>
  <si>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</si>
  <si>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</si>
  <si>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</si>
  <si>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</si>
  <si>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</si>
  <si>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</si>
  <si>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</si>
  <si>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</si>
  <si>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</si>
  <si>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</si>
  <si>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</si>
  <si>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</si>
  <si>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</si>
  <si>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</si>
  <si>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</si>
  <si>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</si>
  <si>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</si>
  <si>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</si>
  <si>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</si>
  <si>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</si>
  <si>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</si>
  <si>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</si>
  <si>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</si>
  <si>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</si>
  <si>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</si>
  <si>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</si>
  <si>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</si>
  <si>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</si>
  <si>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</si>
  <si>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</si>
  <si>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</si>
  <si>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</si>
  <si>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</si>
  <si>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</si>
  <si>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</si>
  <si>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</si>
  <si>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</si>
  <si>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</si>
  <si>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</si>
  <si>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</si>
  <si>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</si>
  <si>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</si>
  <si>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</si>
  <si>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</si>
  <si>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</si>
  <si>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</si>
  <si>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</si>
  <si>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</si>
  <si>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</si>
  <si>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</si>
  <si>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</si>
  <si>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</si>
  <si>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</si>
  <si>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</si>
  <si>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</si>
  <si>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</si>
  <si>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</si>
  <si>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</si>
  <si>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</si>
  <si>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</si>
  <si>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</si>
  <si>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</si>
  <si>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</si>
  <si>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</si>
  <si>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</si>
  <si>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</si>
  <si>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</si>
  <si>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</si>
  <si>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</si>
  <si>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</si>
  <si>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</si>
  <si>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</si>
  <si>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</si>
  <si>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</si>
  <si>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</si>
  <si>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</si>
  <si>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</si>
  <si>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</si>
  <si>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</si>
  <si>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</si>
  <si>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</si>
  <si>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</si>
  <si>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</si>
  <si>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</si>
  <si>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</si>
  <si>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</si>
  <si>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</si>
  <si>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</si>
  <si>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</si>
  <si>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</si>
  <si>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</si>
  <si>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</si>
  <si>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</si>
  <si>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</si>
  <si>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</si>
  <si>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</si>
  <si>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</si>
  <si>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</si>
  <si>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</si>
  <si>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</si>
  <si>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</si>
  <si>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</si>
  <si>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</si>
  <si>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</si>
  <si>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</si>
  <si>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</si>
  <si>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</si>
  <si>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</si>
  <si>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</si>
  <si>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</si>
  <si>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</si>
  <si>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</si>
  <si>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</si>
  <si>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</si>
  <si>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</si>
  <si>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</si>
  <si>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</si>
  <si>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</si>
  <si>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</si>
  <si>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</si>
  <si>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</si>
  <si>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</si>
  <si>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</si>
  <si>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</si>
  <si>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</si>
  <si>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</si>
  <si>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</si>
  <si>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</si>
  <si>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</si>
  <si>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</si>
  <si>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</si>
  <si>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</si>
  <si>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</si>
  <si>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</si>
  <si>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</si>
  <si>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</si>
  <si>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</si>
  <si>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</si>
  <si>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</si>
  <si>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</si>
  <si>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</si>
  <si>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</si>
  <si>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</si>
  <si>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</si>
  <si>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</si>
  <si>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</si>
  <si>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</si>
  <si>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</si>
  <si>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</si>
  <si>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</si>
  <si>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</si>
  <si>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</si>
  <si>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</si>
  <si>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</si>
  <si>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</si>
  <si>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</si>
  <si>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</si>
  <si>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</si>
  <si>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</si>
  <si>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</si>
  <si>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</si>
  <si>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</si>
  <si>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</si>
  <si>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</si>
  <si>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</si>
  <si>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</si>
  <si>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</si>
  <si>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</si>
  <si>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</si>
  <si>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</si>
  <si>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</si>
  <si>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</si>
  <si>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</si>
  <si>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</si>
  <si>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</si>
  <si>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</si>
  <si>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</si>
  <si>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</si>
  <si>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</si>
  <si>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</si>
  <si>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</si>
  <si>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</si>
  <si>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</si>
  <si>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</si>
  <si>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</si>
  <si>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</si>
  <si>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</si>
  <si>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</si>
  <si>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</si>
  <si>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</si>
  <si>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</si>
  <si>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</si>
  <si>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</si>
  <si>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</si>
  <si>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</si>
  <si>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</si>
  <si>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</si>
  <si>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</si>
  <si>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</si>
  <si>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</si>
  <si>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</si>
  <si>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</si>
  <si>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</si>
  <si>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</si>
  <si>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</si>
  <si>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</si>
  <si>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</si>
  <si>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</si>
  <si>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</si>
  <si>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</si>
  <si>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</si>
  <si>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</si>
  <si>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</si>
  <si>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</si>
  <si>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</si>
  <si>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</si>
  <si>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</si>
  <si>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</si>
  <si>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</si>
  <si>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</si>
  <si>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</si>
  <si>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</si>
  <si>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</si>
  <si>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</si>
  <si>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</si>
  <si>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</si>
  <si>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</si>
  <si>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</si>
  <si>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</si>
  <si>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</si>
  <si>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</si>
  <si>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</si>
  <si>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</si>
  <si>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</si>
  <si>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</si>
  <si>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</si>
  <si>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</si>
  <si>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</si>
  <si>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</si>
  <si>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</si>
  <si>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</si>
  <si>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</si>
  <si>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</si>
  <si>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</si>
  <si>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</si>
  <si>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</si>
  <si>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</si>
  <si>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</si>
  <si>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</si>
  <si>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</si>
  <si>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</si>
  <si>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</si>
  <si>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</si>
  <si>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</si>
  <si>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</si>
  <si>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</si>
  <si>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</si>
  <si>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</si>
  <si>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</si>
  <si>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</si>
  <si>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</si>
  <si>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</si>
  <si>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</si>
  <si>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</si>
  <si>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</si>
  <si>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</si>
  <si>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</si>
  <si>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</si>
  <si>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</si>
  <si>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</si>
  <si>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</si>
  <si>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</si>
  <si>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</si>
  <si>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</si>
  <si>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</si>
  <si>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</si>
  <si>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</si>
  <si>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</si>
  <si>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</si>
  <si>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</si>
  <si>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</si>
  <si>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</si>
  <si>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</si>
  <si>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</si>
  <si>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</si>
  <si>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</si>
  <si>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</si>
  <si>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</si>
  <si>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</si>
  <si>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</si>
  <si>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</si>
  <si>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</si>
  <si>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</si>
  <si>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</si>
  <si>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</si>
  <si>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</si>
  <si>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</si>
  <si>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</si>
  <si>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</si>
  <si>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</si>
  <si>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</si>
  <si>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</si>
  <si>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</si>
  <si>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</si>
  <si>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</si>
  <si>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</si>
  <si>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</si>
  <si>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</si>
  <si>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</si>
  <si>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</si>
  <si>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</si>
  <si>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</si>
  <si>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</si>
  <si>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</si>
  <si>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</si>
  <si>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</si>
  <si>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</si>
  <si>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</si>
  <si>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</si>
  <si>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</si>
  <si>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</si>
  <si>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</si>
  <si>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</si>
  <si>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</si>
  <si>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</si>
  <si>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</si>
  <si>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</si>
  <si>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</si>
  <si>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</si>
  <si>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</si>
  <si>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</si>
  <si>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</si>
  <si>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</si>
  <si>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</si>
  <si>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</si>
  <si>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</si>
  <si>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</si>
  <si>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</si>
  <si>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</si>
  <si>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</si>
  <si>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</si>
  <si>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</si>
  <si>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</si>
  <si>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</si>
  <si>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</si>
  <si>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</si>
  <si>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</si>
  <si>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</si>
  <si>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</si>
  <si>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</si>
  <si>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</si>
  <si>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</si>
  <si>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</si>
  <si>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</si>
  <si>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</si>
  <si>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</si>
  <si>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</si>
  <si>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</si>
  <si>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</si>
  <si>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</si>
  <si>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</si>
  <si>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</si>
  <si>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</si>
  <si>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</si>
  <si>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</si>
  <si>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</si>
  <si>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</si>
  <si>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</si>
  <si>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</si>
  <si>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</si>
  <si>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</si>
  <si>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</si>
  <si>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</si>
  <si>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</si>
  <si>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</si>
  <si>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</si>
  <si>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</si>
  <si>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</si>
  <si>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</si>
  <si>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</si>
  <si>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</si>
  <si>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</si>
  <si>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</si>
  <si>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</si>
  <si>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</si>
  <si>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</si>
  <si>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</si>
  <si>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</si>
  <si>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</si>
  <si>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</si>
  <si>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</si>
  <si>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</si>
  <si>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</si>
  <si>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</si>
  <si>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</si>
  <si>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</si>
  <si>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</si>
  <si>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</si>
  <si>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</si>
  <si>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</si>
  <si>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</si>
  <si>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</si>
  <si>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</si>
  <si>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</si>
  <si>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</si>
  <si>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</si>
  <si>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</si>
  <si>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</si>
  <si>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</si>
  <si>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</si>
  <si>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</si>
  <si>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</si>
  <si>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</si>
  <si>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</si>
  <si>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</si>
  <si>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</si>
  <si>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</si>
  <si>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</si>
  <si>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</si>
  <si>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</si>
  <si>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</si>
  <si>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</si>
  <si>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</si>
  <si>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</si>
  <si>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</si>
  <si>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</si>
  <si>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</si>
  <si>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</si>
  <si>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</si>
  <si>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</si>
  <si>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</si>
  <si>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</si>
  <si>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</si>
  <si>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</si>
  <si>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</si>
  <si>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</si>
  <si>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</si>
  <si>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</si>
  <si>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</si>
  <si>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</si>
  <si>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</si>
  <si>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</si>
  <si>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</si>
  <si>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</si>
  <si>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</si>
  <si>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</si>
  <si>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</si>
  <si>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</si>
  <si>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</si>
  <si>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</si>
  <si>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</si>
  <si>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</si>
  <si>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</si>
  <si>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</si>
  <si>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</si>
  <si>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</si>
  <si>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</si>
  <si>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</si>
  <si>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</si>
  <si>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</si>
  <si>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</si>
  <si>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</si>
  <si>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</si>
  <si>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</si>
  <si>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</si>
  <si>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</si>
  <si>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</si>
  <si>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</si>
  <si>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</si>
  <si>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</si>
  <si>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</si>
  <si>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</si>
  <si>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</si>
  <si>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</si>
  <si>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</si>
  <si>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</si>
  <si>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</si>
  <si>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</si>
  <si>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</si>
  <si>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</si>
  <si>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</si>
  <si>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</si>
  <si>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</si>
  <si>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</si>
  <si>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</si>
  <si>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</si>
  <si>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</si>
  <si>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</si>
  <si>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</si>
  <si>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</si>
  <si>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</si>
  <si>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</si>
  <si>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</si>
  <si>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</si>
  <si>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</si>
  <si>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</si>
  <si>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</si>
  <si>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</si>
  <si>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</si>
  <si>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</si>
  <si>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</si>
  <si>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</si>
  <si>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</si>
  <si>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</si>
  <si>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</si>
  <si>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</si>
  <si>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</si>
  <si>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</si>
  <si>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</si>
  <si>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</si>
  <si>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</si>
  <si>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</si>
  <si>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</si>
  <si>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</si>
  <si>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</si>
  <si>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</si>
  <si>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</si>
  <si>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</si>
  <si>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</si>
  <si>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</si>
  <si>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</si>
  <si>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</si>
  <si>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</si>
  <si>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</si>
  <si>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</si>
  <si>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</si>
  <si>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</si>
  <si>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</si>
  <si>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</si>
  <si>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</si>
  <si>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</si>
  <si>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</si>
  <si>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</si>
  <si>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</si>
  <si>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</si>
  <si>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</si>
  <si>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</si>
  <si>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</si>
  <si>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</si>
  <si>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</si>
  <si>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</si>
  <si>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</si>
  <si>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</si>
  <si>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</si>
  <si>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</si>
  <si>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</si>
  <si>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</si>
  <si>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</si>
  <si>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</si>
  <si>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</si>
  <si>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</si>
  <si>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</si>
  <si>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</si>
  <si>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</si>
  <si>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</si>
  <si>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</si>
  <si>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</si>
  <si>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</si>
  <si>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</si>
  <si>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</si>
  <si>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</si>
  <si>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</si>
  <si>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</si>
  <si>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</si>
  <si>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</si>
  <si>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</si>
  <si>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</si>
  <si>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</si>
  <si>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</si>
  <si>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</si>
  <si>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</si>
  <si>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</si>
  <si>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</si>
  <si>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</si>
  <si>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</si>
  <si>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</si>
  <si>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</si>
  <si>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</si>
  <si>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</si>
  <si>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</si>
  <si>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</si>
  <si>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</si>
  <si>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</si>
  <si>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</si>
  <si>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</si>
  <si>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</si>
  <si>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</si>
  <si>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</si>
  <si>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</si>
  <si>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</si>
  <si>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</si>
  <si>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</si>
  <si>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</si>
  <si>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</si>
  <si>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</si>
  <si>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</si>
  <si>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</si>
  <si>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</si>
  <si>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</si>
  <si>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</si>
  <si>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</si>
  <si>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</si>
  <si>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</si>
  <si>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</si>
  <si>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</si>
  <si>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</si>
  <si>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</si>
  <si>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</si>
  <si>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</si>
  <si>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</si>
  <si>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</si>
  <si>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</si>
  <si>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</si>
  <si>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</si>
  <si>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</si>
  <si>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</si>
  <si>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</si>
  <si>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</si>
  <si>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</si>
  <si>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</si>
  <si>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</si>
  <si>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</si>
  <si>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</si>
  <si>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</si>
  <si>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</si>
  <si>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</si>
  <si>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</si>
  <si>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</si>
  <si>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</si>
  <si>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</si>
  <si>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</si>
  <si>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</si>
  <si>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</si>
  <si>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</si>
  <si>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</si>
  <si>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</si>
  <si>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</si>
  <si>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</si>
  <si>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</si>
  <si>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</si>
  <si>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</si>
  <si>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</si>
  <si>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</si>
  <si>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</si>
  <si>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</si>
  <si>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</si>
  <si>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</si>
  <si>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</si>
  <si>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</si>
  <si>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</si>
  <si>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</si>
  <si>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</si>
  <si>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</si>
  <si>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</si>
  <si>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</si>
  <si>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</si>
  <si>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</si>
  <si>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</si>
  <si>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</si>
  <si>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</si>
  <si>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</si>
  <si>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</si>
  <si>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</si>
  <si>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</si>
  <si>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</si>
  <si>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</si>
  <si>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</si>
  <si>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</si>
  <si>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</si>
  <si>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</si>
  <si>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</si>
  <si>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</si>
  <si>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</si>
  <si>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</si>
  <si>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</si>
  <si>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</si>
  <si>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</si>
  <si>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</si>
  <si>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</si>
  <si>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</si>
  <si>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</si>
  <si>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</si>
  <si>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</si>
  <si>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</si>
  <si>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</si>
  <si>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</si>
  <si>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</si>
  <si>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</si>
  <si>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</si>
  <si>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</si>
  <si>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</si>
  <si>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</si>
  <si>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</si>
  <si>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</si>
  <si>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</si>
  <si>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</si>
  <si>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</si>
  <si>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</si>
  <si>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</si>
  <si>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</si>
  <si>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</si>
  <si>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</si>
  <si>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</si>
  <si>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</si>
  <si>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</si>
  <si>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</si>
  <si>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</si>
  <si>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</si>
  <si>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</si>
  <si>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</si>
  <si>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</si>
  <si>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</si>
  <si>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</si>
  <si>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</si>
  <si>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</si>
  <si>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</si>
  <si>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</si>
  <si>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</si>
  <si>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</si>
  <si>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</si>
  <si>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</si>
  <si>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</si>
  <si>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</si>
  <si>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</si>
  <si>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</si>
  <si>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</si>
  <si>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</si>
  <si>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</si>
  <si>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</si>
  <si>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</si>
  <si>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</si>
  <si>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</si>
  <si>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</si>
  <si>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</si>
  <si>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</si>
  <si>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</si>
  <si>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</si>
  <si>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</si>
  <si>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</si>
  <si>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</si>
  <si>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</si>
  <si>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</si>
  <si>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</si>
  <si>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</si>
  <si>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</si>
  <si>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</si>
  <si>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</si>
  <si>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</si>
  <si>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</si>
  <si>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</si>
  <si>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</si>
  <si>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</si>
  <si>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</si>
  <si>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</si>
  <si>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</si>
  <si>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</si>
  <si>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</si>
  <si>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</si>
  <si>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</si>
  <si>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</si>
  <si>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</si>
  <si>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</si>
  <si>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</si>
  <si>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</si>
  <si>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</si>
  <si>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</si>
  <si>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</si>
  <si>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</si>
  <si>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</si>
  <si>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</si>
  <si>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</si>
  <si>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</si>
  <si>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</si>
  <si>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</si>
  <si>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</si>
  <si>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</si>
  <si>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</si>
  <si>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</si>
  <si>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</si>
  <si>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</si>
  <si>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</si>
  <si>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</si>
  <si>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</si>
  <si>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</si>
  <si>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</si>
  <si>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</si>
  <si>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</si>
  <si>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</si>
  <si>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</si>
  <si>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</si>
  <si>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</si>
  <si>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</si>
  <si>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</si>
  <si>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</si>
  <si>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</si>
  <si>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</si>
  <si>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</si>
  <si>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</si>
  <si>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</si>
  <si>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</si>
  <si>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</si>
  <si>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</si>
  <si>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</si>
  <si>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</si>
  <si>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</si>
  <si>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</si>
  <si>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</si>
  <si>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</si>
  <si>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</si>
  <si>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</si>
  <si>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</si>
  <si>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</si>
  <si>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</si>
  <si>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</si>
  <si>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</si>
  <si>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</si>
  <si>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</si>
  <si>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</si>
  <si>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</si>
  <si>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</si>
  <si>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</si>
  <si>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</si>
  <si>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</si>
  <si>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</si>
  <si>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</si>
  <si>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</si>
  <si>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</si>
  <si>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</si>
  <si>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</si>
  <si>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</si>
  <si>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</si>
  <si>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</si>
  <si>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</si>
  <si>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</si>
  <si>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</si>
  <si>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</si>
  <si>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</si>
  <si>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</si>
  <si>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</si>
  <si>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</si>
  <si>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</si>
  <si>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</si>
  <si>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</si>
  <si>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</si>
  <si>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</si>
  <si>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</si>
  <si>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</si>
  <si>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</si>
  <si>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</si>
  <si>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</si>
  <si>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</si>
  <si>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</si>
  <si>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</si>
  <si>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</si>
  <si>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</si>
  <si>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</si>
  <si>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</si>
  <si>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</si>
  <si>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</si>
  <si>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</si>
  <si>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</si>
  <si>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</si>
  <si>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</si>
  <si>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</si>
  <si>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</si>
  <si>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</si>
  <si>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</si>
  <si>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</si>
  <si>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</si>
  <si>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</si>
  <si>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</si>
  <si>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</si>
  <si>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</si>
  <si>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</si>
  <si>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</si>
  <si>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</si>
  <si>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</si>
  <si>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</si>
  <si>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</si>
  <si>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</si>
  <si>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</si>
  <si>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</si>
  <si>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</si>
  <si>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</si>
  <si>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</si>
  <si>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</si>
  <si>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</si>
  <si>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</si>
  <si>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</si>
  <si>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</si>
  <si>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</si>
  <si>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</si>
  <si>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</si>
  <si>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</si>
  <si>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</si>
  <si>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</si>
  <si>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</si>
  <si>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</si>
  <si>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</si>
  <si>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</si>
  <si>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</si>
  <si>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</si>
  <si>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</si>
  <si>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</si>
  <si>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</si>
  <si>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</si>
  <si>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</si>
  <si>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</si>
  <si>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</si>
  <si>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</si>
  <si>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</si>
  <si>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</si>
  <si>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</si>
  <si>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</si>
  <si>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</si>
  <si>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</si>
  <si>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</si>
  <si>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</si>
  <si>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</si>
  <si>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</si>
  <si>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</si>
  <si>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</si>
  <si>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</si>
  <si>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</si>
  <si>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</si>
  <si>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</si>
  <si>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</si>
  <si>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</si>
  <si>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</si>
  <si>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</si>
  <si>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</si>
  <si>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</si>
  <si>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</si>
  <si>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</si>
  <si>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</si>
  <si>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</si>
  <si>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</si>
  <si>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</si>
  <si>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</si>
  <si>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</si>
  <si>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</si>
  <si>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</si>
  <si>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</si>
  <si>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</si>
  <si>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</si>
  <si>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</si>
  <si>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</si>
  <si>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</si>
  <si>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</si>
  <si>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</si>
  <si>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</si>
  <si>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</si>
  <si>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</si>
  <si>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</si>
  <si>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</si>
  <si>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</si>
  <si>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</si>
  <si>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</si>
  <si>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</si>
  <si>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</si>
  <si>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</si>
  <si>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</si>
  <si>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</si>
  <si>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</si>
  <si>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</si>
  <si>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</si>
  <si>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</si>
  <si>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</si>
  <si>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</si>
  <si>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</si>
  <si>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</si>
  <si>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</si>
  <si>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</si>
  <si>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</si>
  <si>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</si>
  <si>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</si>
  <si>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</si>
  <si>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</si>
  <si>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</si>
  <si>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</si>
  <si>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</si>
  <si>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</si>
  <si>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</si>
  <si>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</si>
  <si>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</si>
  <si>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</si>
  <si>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</si>
  <si>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</si>
  <si>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</si>
  <si>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</si>
  <si>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</si>
  <si>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</si>
  <si>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</si>
  <si>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</si>
  <si>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</si>
  <si>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</si>
  <si>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</si>
  <si>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</si>
  <si>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</si>
  <si>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</si>
  <si>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</si>
  <si>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</si>
  <si>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</si>
  <si>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</si>
  <si>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</si>
  <si>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</si>
  <si>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</si>
  <si>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</si>
  <si>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</si>
  <si>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</si>
  <si>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</si>
  <si>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</si>
  <si>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</si>
  <si>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</si>
  <si>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</si>
  <si>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</si>
  <si>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</si>
  <si>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</si>
  <si>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</si>
  <si>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</si>
  <si>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</si>
  <si>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</si>
  <si>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</si>
  <si>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</si>
  <si>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</si>
  <si>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</si>
  <si>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</si>
  <si>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</si>
  <si>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</si>
  <si>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</si>
  <si>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</si>
  <si>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</si>
  <si>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</si>
  <si>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</si>
  <si>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</si>
  <si>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</si>
  <si>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</si>
  <si>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</si>
  <si>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</si>
  <si>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</si>
  <si>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</si>
  <si>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</si>
  <si>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</si>
  <si>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</si>
  <si>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</si>
  <si>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</si>
  <si>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</si>
  <si>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</si>
  <si>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</si>
  <si>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</si>
  <si>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</si>
  <si>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</si>
  <si>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</si>
  <si>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</si>
  <si>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</si>
  <si>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</si>
  <si>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</si>
  <si>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</si>
  <si>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</si>
  <si>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</si>
  <si>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</si>
  <si>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</si>
  <si>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</si>
  <si>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</si>
  <si>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</si>
  <si>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</si>
  <si>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</si>
  <si>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</si>
  <si>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</si>
  <si>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</si>
  <si>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</si>
  <si>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</si>
  <si>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</si>
  <si>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</si>
  <si>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</si>
  <si>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</si>
  <si>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</si>
  <si>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</si>
  <si>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</si>
  <si>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</si>
  <si>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</si>
  <si>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</si>
  <si>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</si>
  <si>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</si>
  <si>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</si>
  <si>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</si>
  <si>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</si>
  <si>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</si>
  <si>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</si>
  <si>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</si>
  <si>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</si>
  <si>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</si>
  <si>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</si>
  <si>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</si>
  <si>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</si>
  <si>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</si>
  <si>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</si>
  <si>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</si>
  <si>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</si>
  <si>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</si>
  <si>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</si>
  <si>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</si>
  <si>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</si>
  <si>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</si>
  <si>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</si>
  <si>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</si>
  <si>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</si>
  <si>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</si>
  <si>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</si>
  <si>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</si>
  <si>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</si>
  <si>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</si>
  <si>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</si>
  <si>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</si>
  <si>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</si>
  <si>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</si>
  <si>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</si>
  <si>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</si>
  <si>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</si>
  <si>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</si>
  <si>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</si>
  <si>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</si>
  <si>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</si>
  <si>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</si>
  <si>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</si>
  <si>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</si>
  <si>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</si>
  <si>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</si>
  <si>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</si>
  <si>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</si>
  <si>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</si>
  <si>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</si>
  <si>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</si>
  <si>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</si>
  <si>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</si>
  <si>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</si>
  <si>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</si>
  <si>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</si>
  <si>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</si>
  <si>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</si>
  <si>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</si>
  <si>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</si>
  <si>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</si>
  <si>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</si>
  <si>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</si>
  <si>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</si>
  <si>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</si>
  <si>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</si>
  <si>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</si>
  <si>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</si>
  <si>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</si>
  <si>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</si>
  <si>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</si>
  <si>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</si>
  <si>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</si>
  <si>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</si>
  <si>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</si>
  <si>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</si>
  <si>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</si>
  <si>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</si>
  <si>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</si>
  <si>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</si>
  <si>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</si>
  <si>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</si>
  <si>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</si>
  <si>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</si>
  <si>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</si>
  <si>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</si>
  <si>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</si>
  <si>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</si>
  <si>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</si>
  <si>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</si>
  <si>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</si>
  <si>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</si>
  <si>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</si>
  <si>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</si>
  <si>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</si>
  <si>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</si>
  <si>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</si>
  <si>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</si>
  <si>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</si>
  <si>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</si>
  <si>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</si>
  <si>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</si>
  <si>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</si>
  <si>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</si>
  <si>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</si>
  <si>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</si>
  <si>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</si>
  <si>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</si>
  <si>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</si>
  <si>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</si>
  <si>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</si>
  <si>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</si>
  <si>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</si>
  <si>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</si>
  <si>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</si>
  <si>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</si>
  <si>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</si>
  <si>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</si>
  <si>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</si>
  <si>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</si>
  <si>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</si>
  <si>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</si>
  <si>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</si>
  <si>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</si>
  <si>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</si>
  <si>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</si>
  <si>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</si>
  <si>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</si>
  <si>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</si>
  <si>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</si>
  <si>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</si>
  <si>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</si>
  <si>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</si>
  <si>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</si>
  <si>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</si>
  <si>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</si>
  <si>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</si>
  <si>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</si>
  <si>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</si>
  <si>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</si>
  <si>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</si>
  <si>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</si>
  <si>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</si>
  <si>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</si>
  <si>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</si>
  <si>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</si>
  <si>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</si>
  <si>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</si>
  <si>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</si>
  <si>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</si>
  <si>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</si>
  <si>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</si>
  <si>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</si>
  <si>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</si>
  <si>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</si>
  <si>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</si>
  <si>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</si>
  <si>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</si>
  <si>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</si>
  <si>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</si>
  <si>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</si>
  <si>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</si>
  <si>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</si>
  <si>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</si>
  <si>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</si>
  <si>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</si>
  <si>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</si>
  <si>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</si>
  <si>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</si>
  <si>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</si>
  <si>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</si>
  <si>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</si>
  <si>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</si>
  <si>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</si>
  <si>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</si>
  <si>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</si>
  <si>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</si>
  <si>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</si>
  <si>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</si>
  <si>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</si>
  <si>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</si>
  <si>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</si>
  <si>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</si>
  <si>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</si>
  <si>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</si>
  <si>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</si>
  <si>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</si>
  <si>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</si>
  <si>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</si>
  <si>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</si>
  <si>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</si>
  <si>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</si>
  <si>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</si>
  <si>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</si>
  <si>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</si>
  <si>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</si>
  <si>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</si>
  <si>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</si>
  <si>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</si>
  <si>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</si>
  <si>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</si>
  <si>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</si>
  <si>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</si>
  <si>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</si>
  <si>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</si>
  <si>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</si>
  <si>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</si>
  <si>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</si>
  <si>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</si>
  <si>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</si>
  <si>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</si>
  <si>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</si>
  <si>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</si>
  <si>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</si>
  <si>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</si>
  <si>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</si>
  <si>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</si>
  <si>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</si>
  <si>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</si>
  <si>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</si>
  <si>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</si>
  <si>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</si>
  <si>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</si>
  <si>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</si>
  <si>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</si>
  <si>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</si>
  <si>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</si>
  <si>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</si>
  <si>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</si>
  <si>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</si>
  <si>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</si>
  <si>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</si>
  <si>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</si>
  <si>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</si>
  <si>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</si>
  <si>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</si>
  <si>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</si>
  <si>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</si>
  <si>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</si>
  <si>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</si>
  <si>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</si>
  <si>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</si>
  <si>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</si>
  <si>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</si>
  <si>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</si>
  <si>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</si>
  <si>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</si>
  <si>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</si>
  <si>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</si>
  <si>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</si>
  <si>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</si>
  <si>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</si>
  <si>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</si>
  <si>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</si>
  <si>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</si>
  <si>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</si>
  <si>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</si>
  <si>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</si>
  <si>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</si>
  <si>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</si>
  <si>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</si>
  <si>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</si>
  <si>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</si>
  <si>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</si>
  <si>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</si>
  <si>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</si>
  <si>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</si>
  <si>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</si>
  <si>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</si>
  <si>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</si>
  <si>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</si>
  <si>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</si>
  <si>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</si>
  <si>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</si>
  <si>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</si>
  <si>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</si>
  <si>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</si>
  <si>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</si>
  <si>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</si>
  <si>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</si>
  <si>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</si>
  <si>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</si>
  <si>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</si>
  <si>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</si>
  <si>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</si>
  <si>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</si>
  <si>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</si>
  <si>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</si>
  <si>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</si>
  <si>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</si>
  <si>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</si>
  <si>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</si>
  <si>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</si>
  <si>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</si>
  <si>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</si>
  <si>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</si>
  <si>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</si>
  <si>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</si>
  <si>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</si>
  <si>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</si>
  <si>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</si>
  <si>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</si>
  <si>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</si>
  <si>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</si>
  <si>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</si>
  <si>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</si>
  <si>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</si>
  <si>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</si>
  <si>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</si>
  <si>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</si>
  <si>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</si>
  <si>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</si>
  <si>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</si>
  <si>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</si>
  <si>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</si>
  <si>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</si>
  <si>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</si>
  <si>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</si>
  <si>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</si>
  <si>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</si>
  <si>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</si>
  <si>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</si>
  <si>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</si>
  <si>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</si>
  <si>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</si>
  <si>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</si>
  <si>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</si>
  <si>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</si>
  <si>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</si>
  <si>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</si>
  <si>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</si>
  <si>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</si>
  <si>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</si>
  <si>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</si>
  <si>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</si>
  <si>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</si>
  <si>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</si>
  <si>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</si>
  <si>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</si>
  <si>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</si>
  <si>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</si>
  <si>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</si>
  <si>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</si>
  <si>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</si>
  <si>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</si>
  <si>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</si>
  <si>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</si>
  <si>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</si>
  <si>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</si>
  <si>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</si>
  <si>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</si>
  <si>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</si>
  <si>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</si>
  <si>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</si>
  <si>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</si>
  <si>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</si>
  <si>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</si>
  <si>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</si>
  <si>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</si>
  <si>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</si>
  <si>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</si>
  <si>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</si>
  <si>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</si>
  <si>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</si>
  <si>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</si>
  <si>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</si>
  <si>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</si>
  <si>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</si>
  <si>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</si>
  <si>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</si>
  <si>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</si>
  <si>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</si>
  <si>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</si>
  <si>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</si>
  <si>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</si>
  <si>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</si>
  <si>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</si>
  <si>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</si>
  <si>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</si>
  <si>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</si>
  <si>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</si>
  <si>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</si>
  <si>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</si>
  <si>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</si>
  <si>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</si>
  <si>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</si>
  <si>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</si>
  <si>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</si>
  <si>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</si>
  <si>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</si>
  <si>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</si>
  <si>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</si>
  <si>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</si>
  <si>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</si>
  <si>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</si>
  <si>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</si>
  <si>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</si>
  <si>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</si>
  <si>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</si>
  <si>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</si>
  <si>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</si>
  <si>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</si>
  <si>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</si>
  <si>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</si>
  <si>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</si>
  <si>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</si>
  <si>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</si>
  <si>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</si>
  <si>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</si>
  <si>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</si>
  <si>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</si>
  <si>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</si>
  <si>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</si>
  <si>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</si>
  <si>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</si>
  <si>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</si>
  <si>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</si>
  <si>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</si>
  <si>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</si>
  <si>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</si>
  <si>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</si>
  <si>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</si>
  <si>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</si>
  <si>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</si>
  <si>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</si>
  <si>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</si>
  <si>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</si>
  <si>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</si>
  <si>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</si>
  <si>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</si>
  <si>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</si>
  <si>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</si>
  <si>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</si>
  <si>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</si>
  <si>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</si>
  <si>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</si>
  <si>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</si>
  <si>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</si>
  <si>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</si>
  <si>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</si>
  <si>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</si>
  <si>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</si>
  <si>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</si>
  <si>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</si>
  <si>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</si>
  <si>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</si>
  <si>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</si>
  <si>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</si>
  <si>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</si>
  <si>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</si>
  <si>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</si>
  <si>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</si>
  <si>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</si>
  <si>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</si>
  <si>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</si>
  <si>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</si>
  <si>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</si>
  <si>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</si>
  <si>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</si>
  <si>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</si>
  <si>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</si>
  <si>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</si>
  <si>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</si>
  <si>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</si>
  <si>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</si>
  <si>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</si>
  <si>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</si>
  <si>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</si>
  <si>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</si>
  <si>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</si>
  <si>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</si>
  <si>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</si>
  <si>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</si>
  <si>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</si>
  <si>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</si>
  <si>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</si>
  <si>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</si>
  <si>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</si>
  <si>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</si>
  <si>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</si>
  <si>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</si>
  <si>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</si>
  <si>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</si>
  <si>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</si>
  <si>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</si>
  <si>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</si>
  <si>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</si>
  <si>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</si>
  <si>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</si>
  <si>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</si>
  <si>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</si>
  <si>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</si>
  <si>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</si>
  <si>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</si>
  <si>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</si>
  <si>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</si>
  <si>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</si>
  <si>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</si>
  <si>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</si>
  <si>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</si>
  <si>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</si>
  <si>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</si>
  <si>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</si>
  <si>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</si>
  <si>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</si>
  <si>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</si>
  <si>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</si>
  <si>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</si>
  <si>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</si>
  <si>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</si>
  <si>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</si>
  <si>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</si>
  <si>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</si>
  <si>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</si>
  <si>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</si>
  <si>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</si>
  <si>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</si>
  <si>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</si>
  <si>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</si>
  <si>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</si>
  <si>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</si>
  <si>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</si>
  <si>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</si>
  <si>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</si>
  <si>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</si>
  <si>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</si>
  <si>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</si>
  <si>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</si>
  <si>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</si>
  <si>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</si>
  <si>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</si>
  <si>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</si>
  <si>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</si>
  <si>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</si>
  <si>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</si>
  <si>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</si>
  <si>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</si>
  <si>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</si>
  <si>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</si>
  <si>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</si>
  <si>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</si>
  <si>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</si>
  <si>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</si>
  <si>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</si>
  <si>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</si>
  <si>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</si>
  <si>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</si>
  <si>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</si>
  <si>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</si>
  <si>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</si>
  <si>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</si>
  <si>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</si>
  <si>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</si>
  <si>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</si>
  <si>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</si>
  <si>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</si>
  <si>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</si>
  <si>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</si>
  <si>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</si>
  <si>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</si>
  <si>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</si>
  <si>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</si>
  <si>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</si>
  <si>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</si>
  <si>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</si>
  <si>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</si>
  <si>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</si>
  <si>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</si>
  <si>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</si>
  <si>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</si>
  <si>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</si>
  <si>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</si>
  <si>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</si>
  <si>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</si>
  <si>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</si>
  <si>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</si>
  <si>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</si>
  <si>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</si>
  <si>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</si>
  <si>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</si>
  <si>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</si>
  <si>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</si>
  <si>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</si>
  <si>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</si>
  <si>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</si>
  <si>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</si>
  <si>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</si>
  <si>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</si>
  <si>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</si>
  <si>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</si>
  <si>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</si>
  <si>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</si>
  <si>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</si>
  <si>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</si>
  <si>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</si>
  <si>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</si>
  <si>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</si>
  <si>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</si>
  <si>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</si>
  <si>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</si>
  <si>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</si>
  <si>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</si>
  <si>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</si>
  <si>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</si>
  <si>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</si>
  <si>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</si>
  <si>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</si>
  <si>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</si>
  <si>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</si>
  <si>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</si>
  <si>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</si>
  <si>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</si>
  <si>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</si>
  <si>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</si>
  <si>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</si>
  <si>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</si>
  <si>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</si>
  <si>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</si>
  <si>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</si>
  <si>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</si>
  <si>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</si>
  <si>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</si>
  <si>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</si>
  <si>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</si>
  <si>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</si>
  <si>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</si>
  <si>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</si>
  <si>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</si>
  <si>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</si>
  <si>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</si>
  <si>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</si>
  <si>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</si>
  <si>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</si>
  <si>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</si>
  <si>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</si>
  <si>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</si>
  <si>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</si>
  <si>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</si>
  <si>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</si>
  <si>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</si>
  <si>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</si>
  <si>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</si>
  <si>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</si>
  <si>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</si>
  <si>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</si>
  <si>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</si>
  <si>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</si>
  <si>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</si>
  <si>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</si>
  <si>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</si>
  <si>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</si>
  <si>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</si>
  <si>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</si>
  <si>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</si>
  <si>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</si>
  <si>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</si>
  <si>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</si>
  <si>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</si>
  <si>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</si>
  <si>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</si>
  <si>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</si>
  <si>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</si>
  <si>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</si>
  <si>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</si>
  <si>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</si>
  <si>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</si>
  <si>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</si>
  <si>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</si>
  <si>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</si>
  <si>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</si>
  <si>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</si>
  <si>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</si>
  <si>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</si>
  <si>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</si>
  <si>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</si>
  <si>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</si>
  <si>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</si>
  <si>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</si>
  <si>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</si>
  <si>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</si>
  <si>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</si>
  <si>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</si>
  <si>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</si>
  <si>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</si>
  <si>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</si>
  <si>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</si>
  <si>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</si>
  <si>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</si>
  <si>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</si>
  <si>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</si>
  <si>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</si>
  <si>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</si>
  <si>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</si>
  <si>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</si>
  <si>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</si>
  <si>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</si>
  <si>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</si>
  <si>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</si>
  <si>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</si>
  <si>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</si>
  <si>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</si>
  <si>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</si>
  <si>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</si>
  <si>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</si>
  <si>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</si>
  <si>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</si>
  <si>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</si>
  <si>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</si>
  <si>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</si>
  <si>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</si>
  <si>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</si>
  <si>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</si>
  <si>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</si>
  <si>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</si>
  <si>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</si>
  <si>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</si>
  <si>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</si>
  <si>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</si>
  <si>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</si>
  <si>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</si>
  <si>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</si>
  <si>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</si>
  <si>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</si>
  <si>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</si>
  <si>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</si>
  <si>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</si>
  <si>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</si>
  <si>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</si>
  <si>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</si>
  <si>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</si>
  <si>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</si>
  <si>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</si>
  <si>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</si>
  <si>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</si>
  <si>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</si>
  <si>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</si>
  <si>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</si>
  <si>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</si>
  <si>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</si>
  <si>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</si>
  <si>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</si>
  <si>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</si>
  <si>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</si>
  <si>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</si>
  <si>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</si>
  <si>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</si>
  <si>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</si>
  <si>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</si>
  <si>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</si>
  <si>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</si>
  <si>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</si>
  <si>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</si>
  <si>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</si>
  <si>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</si>
  <si>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</si>
  <si>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</si>
  <si>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</si>
  <si>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</si>
  <si>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</si>
  <si>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</si>
  <si>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</si>
  <si>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</si>
  <si>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</si>
  <si>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</si>
  <si>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</si>
  <si>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</si>
  <si>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</si>
  <si>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</si>
  <si>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</si>
  <si>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</si>
  <si>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</si>
  <si>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</si>
  <si>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</si>
  <si>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</si>
  <si>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</si>
  <si>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</si>
  <si>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</si>
  <si>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</si>
  <si>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</si>
  <si>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</si>
  <si>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</si>
  <si>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</si>
  <si>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</si>
  <si>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</si>
  <si>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</si>
  <si>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</si>
  <si>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</si>
  <si>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</si>
  <si>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</si>
  <si>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</si>
  <si>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</si>
  <si>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</si>
  <si>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</si>
  <si>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</si>
  <si>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</si>
  <si>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</si>
  <si>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</si>
  <si>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</si>
  <si>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</si>
  <si>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</si>
  <si>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</si>
  <si>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</si>
  <si>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</si>
  <si>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</si>
  <si>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</si>
  <si>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</si>
  <si>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</si>
  <si>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</si>
  <si>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</si>
  <si>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</si>
  <si>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</si>
  <si>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</si>
  <si>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</si>
  <si>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</si>
  <si>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</si>
  <si>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</si>
  <si>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</si>
  <si>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</si>
  <si>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</si>
  <si>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</si>
  <si>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</si>
  <si>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</si>
  <si>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</si>
  <si>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</si>
  <si>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</si>
  <si>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</si>
  <si>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</si>
  <si>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</si>
  <si>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</si>
  <si>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</si>
  <si>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</si>
  <si>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</si>
  <si>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</si>
  <si>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</si>
  <si>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</si>
  <si>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</si>
  <si>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</si>
  <si>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</si>
  <si>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</si>
  <si>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</si>
  <si>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</si>
  <si>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</si>
  <si>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</si>
  <si>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</si>
  <si>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</si>
  <si>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</si>
  <si>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</si>
  <si>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</si>
  <si>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</si>
  <si>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</si>
  <si>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</si>
  <si>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</si>
  <si>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</si>
  <si>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</si>
  <si>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</si>
  <si>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</si>
  <si>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</si>
  <si>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</si>
  <si>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</si>
  <si>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</si>
  <si>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</si>
  <si>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</si>
  <si>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</si>
  <si>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</si>
  <si>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</si>
  <si>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</si>
  <si>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</si>
  <si>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</si>
  <si>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</si>
  <si>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</si>
  <si>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</si>
  <si>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</si>
  <si>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</si>
  <si>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</si>
  <si>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</si>
  <si>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</si>
  <si>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</si>
  <si>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</si>
  <si>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</si>
  <si>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</si>
  <si>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</si>
  <si>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</si>
  <si>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</si>
  <si>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</si>
  <si>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</si>
  <si>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</si>
  <si>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</si>
  <si>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</si>
  <si>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</si>
  <si>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</si>
  <si>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</si>
  <si>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</si>
  <si>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</si>
  <si>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</si>
  <si>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</si>
  <si>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</si>
  <si>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</si>
  <si>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</si>
  <si>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</si>
  <si>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</si>
  <si>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</si>
  <si>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</si>
  <si>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</si>
  <si>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</si>
  <si>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</si>
  <si>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</si>
  <si>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</si>
  <si>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</si>
  <si>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</si>
  <si>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</si>
  <si>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</si>
  <si>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</si>
  <si>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</si>
  <si>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</si>
  <si>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</si>
  <si>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</si>
  <si>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</si>
  <si>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</si>
  <si>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</si>
  <si>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</si>
  <si>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</si>
  <si>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</si>
  <si>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</si>
  <si>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</si>
  <si>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</si>
  <si>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</si>
  <si>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</si>
  <si>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</si>
  <si>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</si>
  <si>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</si>
  <si>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</si>
  <si>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</si>
  <si>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</si>
  <si>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</si>
  <si>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</si>
  <si>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</si>
  <si>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</si>
  <si>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</si>
  <si>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</si>
  <si>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</si>
  <si>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</si>
  <si>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</si>
  <si>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</si>
  <si>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</si>
  <si>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</si>
  <si>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</si>
  <si>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</si>
  <si>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</si>
  <si>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</si>
  <si>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</si>
  <si>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</si>
  <si>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</si>
  <si>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</si>
  <si>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</si>
  <si>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</si>
  <si>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</si>
  <si>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</si>
  <si>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</si>
  <si>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</si>
  <si>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</si>
  <si>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</si>
  <si>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</si>
  <si>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</si>
  <si>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</si>
  <si>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</si>
  <si>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</si>
  <si>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</si>
  <si>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</si>
  <si>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</si>
  <si>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</si>
  <si>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</si>
  <si>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</si>
  <si>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</si>
  <si>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</si>
  <si>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</si>
  <si>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</si>
  <si>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</si>
  <si>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</si>
  <si>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</si>
  <si>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</si>
  <si>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</si>
  <si>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</si>
  <si>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</si>
  <si>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</si>
  <si>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</si>
  <si>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</si>
  <si>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</si>
  <si>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</si>
  <si>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</si>
  <si>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</si>
  <si>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</si>
  <si>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</si>
  <si>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</si>
  <si>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</si>
  <si>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</si>
  <si>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</si>
  <si>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</si>
  <si>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</si>
  <si>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</si>
  <si>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</si>
  <si>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</si>
  <si>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</si>
  <si>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</si>
  <si>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</si>
  <si>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</si>
  <si>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</si>
  <si>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</si>
  <si>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</si>
  <si>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</si>
  <si>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</si>
  <si>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</si>
  <si>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</si>
  <si>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</si>
  <si>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</si>
  <si>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</si>
  <si>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</si>
  <si>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</si>
  <si>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</si>
  <si>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</si>
  <si>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</si>
  <si>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</si>
  <si>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</si>
  <si>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</si>
  <si>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</si>
  <si>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</si>
  <si>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</si>
  <si>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</si>
  <si>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</si>
  <si>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</si>
  <si>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</si>
  <si>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</si>
  <si>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</si>
  <si>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</si>
  <si>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</si>
  <si>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</si>
  <si>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</si>
  <si>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</si>
  <si>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</si>
  <si>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</si>
  <si>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</si>
  <si>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</si>
  <si>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</si>
  <si>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</si>
  <si>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</si>
  <si>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</si>
  <si>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</si>
  <si>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</si>
  <si>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</si>
  <si>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</si>
  <si>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</si>
  <si>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</si>
  <si>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</si>
  <si>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</si>
  <si>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</si>
  <si>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</si>
  <si>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</si>
  <si>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</si>
  <si>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</si>
  <si>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</si>
  <si>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</si>
  <si>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</si>
  <si>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</si>
  <si>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</si>
  <si>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</si>
  <si>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</si>
  <si>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</si>
  <si>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</si>
  <si>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</si>
  <si>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</si>
  <si>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</si>
  <si>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</si>
  <si>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</si>
  <si>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</si>
  <si>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</si>
  <si>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</si>
  <si>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</si>
  <si>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</si>
  <si>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</si>
  <si>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</si>
  <si>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</si>
  <si>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</si>
  <si>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</si>
  <si>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</si>
  <si>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</si>
  <si>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</si>
  <si>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</si>
  <si>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</si>
  <si>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</si>
  <si>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</si>
  <si>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</si>
  <si>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</si>
  <si>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</si>
  <si>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</si>
  <si>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</si>
  <si>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</si>
  <si>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</si>
  <si>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</si>
  <si>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</si>
  <si>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</si>
  <si>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</si>
  <si>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</si>
  <si>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</si>
  <si>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</si>
  <si>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</si>
  <si>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</si>
  <si>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</si>
  <si>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</si>
  <si>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</si>
  <si>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</si>
  <si>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</si>
  <si>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</si>
  <si>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</si>
  <si>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</si>
  <si>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</si>
  <si>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</si>
  <si>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</si>
  <si>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</si>
  <si>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</si>
  <si>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</si>
  <si>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</si>
  <si>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</si>
  <si>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</si>
  <si>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</si>
  <si>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</si>
  <si>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</si>
  <si>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</si>
  <si>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</si>
  <si>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</si>
  <si>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</si>
  <si>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</si>
  <si>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</si>
  <si>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</si>
  <si>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</si>
  <si>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</si>
  <si>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</si>
  <si>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</si>
  <si>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</si>
  <si>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</si>
  <si>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</si>
  <si>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</si>
  <si>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</si>
  <si>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</si>
  <si>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</si>
  <si>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</si>
  <si>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</si>
  <si>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</si>
  <si>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</si>
  <si>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</si>
  <si>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</si>
  <si>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</si>
  <si>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</si>
  <si>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</si>
  <si>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</si>
  <si>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</si>
  <si>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</si>
  <si>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</si>
  <si>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</si>
  <si>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</si>
  <si>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</si>
  <si>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</si>
  <si>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</si>
  <si>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</si>
  <si>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</si>
  <si>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</si>
  <si>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</si>
  <si>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</si>
  <si>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</si>
  <si>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</si>
  <si>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</si>
  <si>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</si>
  <si>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</si>
  <si>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</si>
  <si>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</si>
  <si>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</si>
  <si>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</si>
  <si>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</si>
  <si>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</si>
  <si>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</si>
  <si>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</si>
  <si>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</si>
  <si>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</si>
  <si>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</si>
  <si>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</si>
  <si>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</si>
  <si>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</si>
  <si>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</si>
  <si>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</si>
  <si>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</si>
  <si>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</si>
  <si>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</si>
  <si>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</si>
  <si>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</si>
  <si>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</si>
  <si>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</si>
  <si>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</si>
  <si>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</si>
  <si>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</si>
  <si>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</si>
  <si>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</si>
  <si>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</si>
  <si>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</si>
  <si>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</si>
  <si>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</si>
  <si>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</si>
  <si>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</si>
  <si>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</si>
  <si>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</si>
  <si>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</si>
  <si>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</si>
  <si>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</si>
  <si>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</si>
  <si>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</si>
  <si>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</si>
  <si>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</si>
  <si>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</si>
  <si>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</si>
  <si>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</si>
  <si>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</si>
  <si>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</si>
  <si>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</si>
  <si>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</si>
  <si>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</si>
  <si>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</si>
  <si>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</si>
  <si>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</si>
  <si>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</si>
  <si>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</si>
  <si>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</si>
  <si>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</si>
  <si>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</si>
  <si>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</si>
  <si>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</si>
  <si>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</si>
  <si>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</si>
  <si>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</si>
  <si>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</si>
  <si>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</si>
  <si>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</si>
  <si>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</si>
  <si>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</si>
  <si>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</si>
  <si>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</si>
  <si>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</si>
  <si>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</si>
  <si>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</si>
  <si>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</si>
  <si>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</si>
  <si>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</si>
  <si>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</si>
  <si>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</si>
  <si>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</si>
  <si>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</si>
  <si>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</si>
  <si>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</si>
  <si>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</si>
  <si>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</si>
  <si>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</si>
  <si>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</si>
  <si>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</si>
  <si>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</si>
  <si>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</si>
  <si>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</si>
  <si>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</si>
  <si>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</si>
  <si>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</si>
  <si>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</si>
  <si>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</si>
  <si>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</si>
  <si>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</si>
  <si>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</si>
  <si>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</si>
  <si>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</si>
  <si>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</si>
  <si>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</si>
  <si>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</si>
  <si>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</si>
  <si>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</si>
  <si>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</si>
  <si>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</si>
  <si>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</si>
  <si>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</si>
  <si>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</si>
  <si>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</si>
  <si>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</si>
  <si>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</si>
  <si>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</si>
  <si>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</si>
  <si>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</si>
  <si>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</si>
  <si>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</si>
  <si>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</si>
  <si>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</si>
  <si>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</si>
  <si>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</si>
  <si>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</si>
  <si>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</si>
  <si>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</si>
  <si>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</si>
  <si>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</si>
  <si>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</si>
  <si>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</si>
  <si>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</si>
  <si>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</si>
  <si>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</si>
  <si>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</si>
  <si>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</si>
  <si>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</si>
  <si>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</si>
  <si>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</si>
  <si>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</si>
  <si>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</si>
  <si>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</si>
  <si>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</si>
  <si>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</si>
  <si>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</si>
  <si>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</si>
  <si>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</si>
  <si>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</si>
  <si>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</si>
  <si>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</si>
  <si>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</si>
  <si>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</si>
  <si>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</si>
  <si>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</si>
  <si>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</si>
  <si>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</si>
  <si>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</si>
  <si>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</si>
  <si>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</si>
  <si>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</si>
  <si>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</si>
  <si>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</si>
  <si>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</si>
  <si>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</si>
  <si>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</si>
  <si>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</si>
  <si>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</si>
  <si>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</si>
  <si>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</si>
  <si>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</si>
  <si>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</si>
  <si>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</si>
  <si>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</si>
  <si>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</si>
  <si>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</si>
  <si>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</si>
  <si>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</si>
  <si>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</si>
  <si>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</si>
  <si>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</si>
  <si>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</si>
  <si>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</si>
  <si>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</si>
  <si>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</si>
  <si>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</si>
  <si>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</si>
  <si>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</si>
  <si>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</si>
  <si>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</si>
  <si>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</si>
  <si>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</si>
  <si>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</si>
  <si>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</si>
  <si>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</si>
  <si>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</si>
  <si>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</si>
  <si>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</si>
  <si>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</si>
  <si>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</si>
  <si>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</si>
  <si>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</si>
  <si>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</si>
  <si>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</si>
  <si>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</si>
  <si>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</si>
  <si>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</si>
  <si>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</si>
  <si>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</si>
  <si>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</si>
  <si>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</si>
  <si>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</si>
  <si>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</si>
  <si>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</si>
  <si>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</si>
  <si>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</si>
  <si>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</si>
  <si>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</si>
  <si>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</si>
  <si>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</si>
  <si>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</si>
  <si>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</si>
  <si>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</si>
  <si>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</si>
  <si>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</si>
  <si>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</si>
  <si>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</si>
  <si>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</si>
  <si>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</si>
  <si>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</si>
  <si>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</si>
  <si>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</si>
  <si>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</si>
  <si>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</si>
  <si>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</si>
  <si>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</si>
  <si>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</si>
  <si>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</si>
  <si>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</si>
  <si>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</si>
  <si>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</si>
  <si>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</si>
  <si>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</si>
  <si>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</si>
  <si>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</si>
  <si>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</si>
  <si>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</si>
  <si>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</si>
  <si>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</si>
  <si>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</si>
  <si>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</si>
  <si>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</si>
  <si>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</si>
  <si>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</si>
  <si>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</si>
  <si>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</si>
  <si>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</si>
  <si>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</si>
  <si>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</si>
  <si>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</si>
  <si>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</si>
  <si>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</si>
  <si>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</si>
  <si>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</si>
  <si>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</si>
  <si>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</si>
  <si>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</si>
  <si>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</si>
  <si>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</si>
  <si>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</si>
  <si>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</si>
  <si>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</si>
  <si>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</si>
  <si>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</si>
  <si>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</si>
  <si>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</si>
  <si>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</si>
  <si>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</si>
  <si>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</si>
  <si>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</si>
  <si>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</si>
  <si>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</si>
  <si>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</si>
  <si>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</si>
  <si>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</si>
  <si>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</si>
  <si>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</si>
  <si>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</si>
  <si>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</si>
  <si>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</si>
  <si>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</si>
  <si>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</si>
  <si>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</si>
  <si>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</si>
  <si>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</si>
  <si>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</si>
  <si>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</si>
  <si>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</si>
  <si>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</si>
  <si>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</si>
  <si>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</si>
  <si>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</si>
  <si>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</si>
  <si>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</si>
  <si>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</si>
  <si>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</si>
  <si>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</si>
  <si>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</si>
  <si>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</si>
  <si>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</si>
  <si>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</si>
  <si>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</si>
  <si>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</si>
  <si>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</si>
  <si>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</si>
  <si>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</si>
  <si>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</si>
  <si>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</si>
  <si>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</si>
  <si>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</si>
  <si>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</si>
  <si>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</si>
  <si>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</si>
  <si>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</si>
  <si>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</si>
  <si>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</si>
  <si>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</si>
  <si>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</si>
  <si>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</si>
  <si>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</si>
  <si>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</si>
  <si>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</si>
  <si>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</si>
  <si>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</si>
  <si>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</si>
  <si>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</si>
  <si>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</si>
  <si>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</si>
  <si>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</si>
  <si>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</si>
  <si>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</si>
  <si>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</si>
  <si>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</si>
  <si>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</si>
  <si>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</si>
  <si>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</si>
  <si>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</si>
  <si>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</si>
  <si>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</si>
  <si>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</si>
  <si>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</si>
  <si>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</si>
  <si>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</si>
  <si>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</si>
  <si>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</si>
  <si>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</si>
  <si>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</si>
  <si>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</si>
  <si>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</si>
  <si>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</si>
  <si>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</si>
  <si>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</si>
  <si>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</si>
  <si>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</si>
  <si>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</si>
  <si>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</si>
  <si>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</si>
  <si>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</si>
  <si>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</si>
  <si>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</si>
  <si>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</si>
  <si>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</si>
  <si>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</si>
  <si>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</si>
  <si>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</si>
  <si>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</si>
  <si>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</si>
  <si>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</si>
  <si>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</si>
  <si>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</si>
  <si>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</si>
  <si>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</si>
  <si>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</si>
  <si>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</si>
  <si>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</si>
  <si>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</si>
  <si>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</si>
  <si>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</si>
  <si>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</si>
  <si>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</si>
  <si>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</si>
  <si>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</si>
  <si>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</si>
  <si>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</si>
  <si>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</si>
  <si>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</si>
  <si>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</si>
  <si>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</si>
  <si>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</si>
  <si>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</si>
  <si>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</si>
  <si>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</si>
  <si>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</si>
  <si>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</si>
  <si>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</si>
  <si>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</si>
  <si>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</si>
  <si>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</si>
  <si>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</si>
  <si>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</si>
  <si>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</si>
  <si>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</si>
  <si>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</si>
  <si>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</si>
  <si>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</si>
  <si>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</si>
  <si>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</si>
  <si>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</si>
  <si>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</si>
  <si>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</si>
  <si>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</si>
  <si>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</si>
  <si>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</si>
  <si>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</si>
  <si>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</si>
  <si>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</si>
  <si>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</si>
  <si>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</si>
  <si>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</si>
  <si>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</si>
  <si>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</si>
  <si>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</si>
  <si>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</si>
  <si>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</si>
  <si>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</si>
  <si>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</si>
  <si>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</si>
  <si>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</si>
  <si>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</si>
  <si>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</si>
  <si>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</si>
  <si>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</si>
  <si>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</si>
  <si>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</si>
  <si>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</si>
  <si>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</si>
  <si>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</si>
  <si>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</si>
  <si>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</si>
  <si>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</si>
  <si>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</si>
  <si>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</si>
  <si>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</si>
  <si>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</si>
  <si>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</si>
  <si>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</si>
  <si>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</si>
  <si>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</si>
  <si>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</si>
  <si>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</si>
  <si>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</si>
  <si>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</si>
  <si>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</si>
  <si>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</si>
  <si>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</si>
  <si>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</si>
  <si>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</si>
  <si>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</si>
  <si>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</si>
  <si>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</si>
  <si>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</si>
  <si>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</si>
  <si>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</si>
  <si>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</si>
  <si>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</si>
  <si>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</si>
  <si>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</si>
  <si>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</si>
  <si>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</si>
  <si>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</si>
  <si>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</si>
  <si>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</si>
  <si>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</si>
  <si>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</si>
  <si>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</si>
  <si>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</si>
  <si>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</si>
  <si>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</si>
  <si>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</si>
  <si>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</si>
  <si>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</si>
  <si>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</si>
  <si>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</si>
  <si>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</si>
  <si>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</si>
  <si>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</si>
  <si>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</si>
  <si>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</si>
  <si>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</si>
  <si>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</si>
  <si>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</si>
  <si>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</si>
  <si>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</si>
  <si>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</si>
  <si>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</si>
  <si>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</si>
  <si>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</si>
  <si>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</si>
  <si>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</si>
  <si>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</si>
  <si>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</si>
  <si>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</si>
  <si>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</si>
  <si>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</si>
  <si>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</si>
  <si>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</si>
  <si>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</si>
  <si>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</si>
  <si>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</si>
  <si>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</si>
  <si>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</si>
  <si>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</si>
  <si>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</si>
  <si>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</si>
  <si>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</si>
  <si>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</si>
  <si>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</si>
  <si>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</si>
  <si>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</si>
  <si>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</si>
  <si>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</si>
  <si>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</si>
  <si>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</si>
  <si>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</si>
  <si>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</si>
  <si>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</si>
  <si>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</si>
  <si>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</si>
  <si>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</si>
  <si>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</si>
  <si>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</si>
  <si>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</si>
  <si>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</si>
  <si>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</si>
  <si>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</si>
  <si>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</si>
  <si>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</si>
  <si>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</si>
  <si>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</si>
  <si>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</si>
  <si>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</si>
  <si>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</si>
  <si>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</si>
  <si>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</si>
  <si>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</si>
  <si>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</si>
  <si>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</si>
  <si>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</si>
  <si>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</si>
  <si>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</si>
  <si>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</si>
  <si>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</si>
  <si>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</si>
  <si>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</si>
  <si>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</si>
  <si>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</si>
  <si>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</si>
  <si>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</si>
  <si>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</si>
  <si>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</si>
  <si>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</si>
  <si>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</si>
  <si>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</si>
  <si>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</si>
  <si>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</si>
  <si>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</si>
  <si>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</si>
  <si>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</si>
  <si>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</si>
  <si>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</si>
  <si>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</si>
  <si>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</si>
  <si>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</si>
  <si>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</si>
  <si>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</si>
  <si>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</si>
  <si>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</si>
  <si>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</si>
  <si>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</si>
  <si>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</si>
  <si>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</si>
  <si>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</si>
  <si>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</si>
  <si>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</si>
  <si>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</si>
  <si>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</si>
  <si>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</si>
  <si>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</si>
  <si>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</si>
  <si>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</si>
  <si>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</si>
  <si>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</si>
  <si>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</si>
  <si>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</si>
  <si>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</si>
  <si>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</si>
  <si>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</si>
  <si>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</si>
  <si>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</si>
  <si>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</si>
  <si>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</si>
  <si>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</si>
  <si>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</si>
  <si>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</si>
  <si>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</si>
  <si>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</si>
  <si>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</si>
  <si>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</si>
  <si>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</si>
  <si>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</si>
  <si>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</si>
  <si>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</si>
  <si>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</si>
  <si>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</si>
  <si>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</si>
  <si>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</si>
  <si>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</si>
  <si>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</si>
  <si>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</si>
  <si>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</si>
  <si>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</si>
  <si>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</si>
  <si>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</si>
  <si>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</si>
  <si>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</si>
  <si>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</si>
  <si>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</si>
  <si>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</si>
  <si>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</si>
  <si>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</si>
  <si>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</si>
  <si>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</si>
  <si>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</si>
  <si>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</si>
  <si>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</si>
  <si>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</si>
  <si>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</si>
  <si>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</si>
  <si>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</si>
  <si>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</si>
  <si>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</si>
  <si>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</si>
  <si>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</si>
  <si>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</si>
  <si>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</si>
  <si>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</si>
  <si>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</si>
  <si>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</si>
  <si>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</si>
  <si>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</si>
  <si>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</si>
  <si>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</si>
  <si>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</si>
  <si>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</si>
  <si>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</si>
  <si>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</si>
  <si>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</si>
  <si>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</si>
  <si>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</si>
  <si>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</si>
  <si>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</si>
  <si>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</si>
  <si>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</si>
  <si>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</si>
  <si>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</si>
  <si>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</si>
  <si>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</si>
  <si>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</si>
  <si>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</si>
  <si>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</si>
  <si>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</si>
  <si>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</si>
  <si>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</si>
  <si>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</si>
  <si>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</si>
  <si>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</si>
  <si>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</si>
  <si>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</si>
  <si>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</si>
  <si>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</si>
  <si>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</si>
  <si>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</si>
  <si>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</si>
  <si>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</si>
  <si>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</si>
  <si>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</si>
  <si>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</si>
  <si>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</si>
  <si>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</si>
  <si>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</si>
  <si>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</si>
  <si>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</si>
  <si>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</si>
  <si>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</si>
  <si>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按租金收入计税</t>
  </si>
  <si>
    <t>成本法</t>
  </si>
  <si>
    <t>收益法</t>
  </si>
  <si>
    <t>钢混</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</si>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</sst>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186" fontId="53" fillId="6" borderId="1" xfId="10" applyNumberFormat="1" applyFont="1" applyFill="1" applyBorder="1" applyAlignment="1" applyProtection="1">
      <alignment horizontal="center" vertical="center"/>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0" fontId="128" fillId="6" borderId="23" xfId="10" applyFont="1" applyFill="1" applyBorder="1" applyAlignment="1" applyProtection="1">
      <alignment horizontal="center" vertical="center"/>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估价对象为房地产，为所有。根据《国有土地使用证》[]，估价对象（分摊）出让国有建设用地使用权面积为1442.46平方米，建筑面积为198.07平方米。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估价对象为房地产,属开发建设的，该项目尚在开发建设中。根据《国有土地使用证》[]，估价对象（分摊）出让国有建设用地使用权面积为1442.46平方米，规划建筑面积为198.07平方米。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333</v>
      </c>
    </row>
    <row r="21" spans="1:2" s="1365" customFormat="1">
      <c r="A21" s="1363" t="s">
        <v>1202</v>
      </c>
      <c r="B21" s="1364">
        <f ca="1">'预评函-2'!D7</f>
        <v>16792</v>
      </c>
    </row>
    <row r="22" spans="1:2" s="1365" customFormat="1">
      <c r="A22" s="1363" t="s">
        <v>1203</v>
      </c>
      <c r="B22" s="1364" t="str">
        <f ca="1">'预评函-2'!D6</f>
        <v>叁佰叁拾叁万元整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333</v>
      </c>
    </row>
    <row r="35" spans="1:2" s="1365" customFormat="1">
      <c r="A35" s="1363" t="s">
        <v>1242</v>
      </c>
      <c r="B35" s="1364">
        <f ca="1">'预评函-2'!D18</f>
        <v>16812</v>
      </c>
    </row>
    <row r="36" spans="1:2" s="1365" customFormat="1">
      <c r="A36" s="1363" t="s">
        <v>1209</v>
      </c>
      <c r="B36" s="1364" t="str">
        <f ca="1">'预评函-2'!D17</f>
        <v>叁佰叁拾叁万元整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198.07</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216</v>
      </c>
    </row>
    <row r="48" spans="1:2" s="1365" customFormat="1">
      <c r="A48" s="1363" t="s">
        <v>1214</v>
      </c>
      <c r="B48" s="1364">
        <f ca="1">'预评函-3'!E4</f>
        <v>10915</v>
      </c>
    </row>
    <row r="49" spans="1:2" s="1365" customFormat="1">
      <c r="A49" s="1363" t="s">
        <v>1215</v>
      </c>
      <c r="B49" s="1364" t="str">
        <f ca="1">'预评函-3'!D5</f>
        <v>贰佰壹拾陆万元整</v>
      </c>
    </row>
    <row r="50" spans="1:2" s="1365" customFormat="1">
      <c r="A50" s="1363" t="s">
        <v>1239</v>
      </c>
      <c r="B50" s="1364" t="str">
        <f>'预评函-3'!F2</f>
        <v>在建建筑物价值</v>
      </c>
    </row>
    <row r="51" spans="1:2" s="1365" customFormat="1">
      <c r="A51" s="1363" t="s">
        <v>1216</v>
      </c>
      <c r="B51" s="1364">
        <f ca="1">'预评函-3'!F4</f>
        <v>116</v>
      </c>
    </row>
    <row r="52" spans="1:2" s="1365" customFormat="1">
      <c r="A52" s="1363" t="s">
        <v>1217</v>
      </c>
      <c r="B52" s="1364">
        <f ca="1">'预评函-3'!G4</f>
        <v>5877</v>
      </c>
    </row>
    <row r="53" spans="1:2" s="1365" customFormat="1">
      <c r="A53" s="1363" t="s">
        <v>1245</v>
      </c>
      <c r="B53" s="1364" t="str">
        <f ca="1">'预评函-3'!F5</f>
        <v>壹佰壹拾陆万元整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9" t="s">
        <v>832</v>
      </c>
      <c r="C54" s="1736" t="s">
        <v>1248</v>
      </c>
    </row>
    <row r="55" spans="1:4">
      <c r="A55" s="3102"/>
      <c r="B55" s="1739" t="s">
        <v>833</v>
      </c>
      <c r="C55" s="1736" t="s">
        <v>1249</v>
      </c>
    </row>
    <row r="56" spans="1:4">
      <c r="A56" s="3102"/>
      <c r="B56" s="1739" t="s">
        <v>834</v>
      </c>
      <c r="C56" s="1736" t="s">
        <v>1253</v>
      </c>
    </row>
    <row r="57" spans="1:4">
      <c r="A57" s="310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1" t="str">
        <f>IF(B10="北京市","北京市",C10)&amp;F10&amp;IF(结果表!G1="在建","出让国有建设用地使用权及在建建筑物",IF(结果表!G1="土地","出让国有建设用地使用权",))&amp;B9&amp;"预评估"</f>
        <v>房地产市场价值预评估</v>
      </c>
      <c r="C1" s="3112"/>
      <c r="D1" s="3112"/>
      <c r="E1" s="3112"/>
      <c r="F1" s="3112"/>
      <c r="G1" s="3112"/>
      <c r="H1" s="3112"/>
      <c r="I1" s="31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114"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115"/>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1"/>
      <c r="C16" s="3122"/>
      <c r="D16" s="3123"/>
      <c r="E16" s="2639" t="s">
        <v>2941</v>
      </c>
      <c r="F16" s="3124"/>
      <c r="G16" s="3125"/>
      <c r="H16" s="3125"/>
      <c r="I16" s="3126"/>
      <c r="J16" s="2665"/>
      <c r="K16" s="2844"/>
      <c r="L16" s="2677"/>
      <c r="M16" s="2677"/>
      <c r="N16" s="2735"/>
      <c r="O16" s="2677"/>
      <c r="P16" s="2735"/>
      <c r="Q16" s="2665"/>
      <c r="R16" s="2665"/>
    </row>
    <row r="17" spans="1:28">
      <c r="A17" s="319" t="s">
        <v>2942</v>
      </c>
      <c r="B17" s="308" t="s">
        <v>2943</v>
      </c>
      <c r="C17" s="11">
        <f>'数据-汇总表'!E3</f>
        <v>198.07</v>
      </c>
      <c r="D17" s="2545" t="s">
        <v>2944</v>
      </c>
      <c r="E17" s="3127" t="s">
        <v>2945</v>
      </c>
      <c r="F17" s="3128"/>
      <c r="G17" s="3128"/>
      <c r="H17" s="3128"/>
      <c r="I17" s="3129"/>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130" t="s">
        <v>2949</v>
      </c>
      <c r="F18" s="3131"/>
      <c r="G18" s="3131"/>
      <c r="H18" s="3131"/>
      <c r="I18" s="3132"/>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17" t="s">
        <v>2953</v>
      </c>
      <c r="C20" s="3118"/>
      <c r="D20" s="3119" t="s">
        <v>2954</v>
      </c>
      <c r="E20" s="3120"/>
      <c r="F20" s="2874" t="s">
        <v>1742</v>
      </c>
      <c r="G20" s="2891"/>
      <c r="H20" s="2891"/>
      <c r="I20" s="2891"/>
      <c r="J20" s="2665"/>
      <c r="K20" s="311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4"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4"/>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4"/>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5"/>
      <c r="B30" s="308" t="s">
        <v>2965</v>
      </c>
      <c r="C30" s="3106"/>
      <c r="D30" s="3107"/>
      <c r="E30" s="2891"/>
      <c r="F30" s="2891"/>
      <c r="G30" s="2891"/>
      <c r="H30" s="2891"/>
      <c r="I30" s="2891"/>
      <c r="J30" s="2665"/>
      <c r="K30" s="2842"/>
      <c r="L30" s="2839"/>
      <c r="M30" s="2839"/>
      <c r="N30" s="2665"/>
      <c r="O30" s="2676"/>
      <c r="P30" s="2665"/>
      <c r="Q30" s="2665"/>
      <c r="R30" s="2665"/>
      <c r="S30" s="2665"/>
      <c r="T30" s="2665"/>
      <c r="U30" s="2665"/>
      <c r="V30" s="2665"/>
    </row>
    <row r="31" spans="1:28">
      <c r="A31" s="3108"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0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0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03" t="s">
        <v>2975</v>
      </c>
      <c r="T34" s="2654" t="str">
        <f>NUMBERSTRING(7-K34,1)&amp;"通"</f>
        <v>七通</v>
      </c>
      <c r="U34" s="2665"/>
      <c r="V34" s="2665"/>
    </row>
    <row r="35" spans="1:30">
      <c r="A35" s="2655"/>
      <c r="B35" s="3110" t="s">
        <v>2976</v>
      </c>
      <c r="C35" s="3110"/>
      <c r="D35" s="3110"/>
      <c r="E35" s="311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198.07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198.07</v>
      </c>
      <c r="H5" s="16">
        <f t="shared" ref="H5:AT5" si="0">SUM(H13:H656)</f>
        <v>198.07</v>
      </c>
      <c r="I5" s="16">
        <f t="shared" si="0"/>
        <v>198.07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198.07</v>
      </c>
      <c r="BA5" s="18">
        <f t="shared" si="1"/>
        <v>198.07</v>
      </c>
      <c r="BB5" s="18">
        <f t="shared" si="1"/>
        <v>198.07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198.07</v>
      </c>
      <c r="H13" s="20">
        <f>SUMIF(I$12:AB$12,"总值",I13:AB13)</f>
        <v>198.07</v>
      </c>
      <c r="I13" s="1811">
        <v>198.07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198.07</v>
      </c>
      <c r="BA13" s="16">
        <f>SUM(BB13:BK13)</f>
        <v>198.07</v>
      </c>
      <c r="BB13" s="16">
        <f>IF($D13="是",I13-J13,0)</f>
        <v>198.07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4" t="s">
        <v>1794</v>
      </c>
      <c r="F2" s="2886"/>
      <c r="G2" s="2877"/>
      <c r="H2" s="2878"/>
      <c r="I2" s="2548" t="s">
        <v>1818</v>
      </c>
      <c r="J2" s="2886"/>
      <c r="K2" s="2886"/>
      <c r="L2" s="2886"/>
      <c r="M2" s="2886"/>
      <c r="N2" s="2888"/>
      <c r="O2" s="2886"/>
      <c r="P2" s="2886"/>
    </row>
    <row r="3" spans="1:16" ht="15.75" thickBot="1">
      <c r="A3" s="3145" t="s">
        <v>1791</v>
      </c>
      <c r="B3" s="3145"/>
      <c r="C3" s="3145"/>
      <c r="D3" s="46">
        <f>'数据-基础表'!AY6</f>
        <v>1442.46</v>
      </c>
      <c r="E3" s="46">
        <f>'数据-基础表'!AZ5</f>
        <v>198.07</v>
      </c>
      <c r="F3" s="2886"/>
      <c r="G3" s="1307"/>
      <c r="H3" s="1157" t="s">
        <v>1792</v>
      </c>
      <c r="I3" s="964">
        <f>ROUND('数据-基础表'!B3/'数据-基础表'!A3,2)</f>
        <v>0.14000000000000001</v>
      </c>
      <c r="J3" s="2886"/>
      <c r="K3" s="2886"/>
      <c r="L3" s="2886"/>
      <c r="M3" s="2886"/>
      <c r="N3" s="2888"/>
      <c r="O3" s="2886"/>
      <c r="P3" s="2886"/>
    </row>
    <row r="4" spans="1:16" ht="15">
      <c r="A4" s="3146"/>
      <c r="B4" s="3147"/>
      <c r="C4" s="3148"/>
      <c r="D4" s="1826" t="s">
        <v>1793</v>
      </c>
      <c r="E4" s="1827" t="s">
        <v>1794</v>
      </c>
      <c r="F4" s="2886"/>
      <c r="G4" s="2879" t="s">
        <v>1819</v>
      </c>
      <c r="H4" s="1157" t="s">
        <v>1799</v>
      </c>
      <c r="I4" s="964">
        <f>ROUND(SUMIF('数据-基础表'!I9:AS9,"地上",'数据-基础表'!I5:AS5)/'数据-基础表'!A3,2)</f>
        <v>0.14000000000000001</v>
      </c>
      <c r="J4" s="2886"/>
      <c r="K4" s="2886"/>
      <c r="L4" s="2886"/>
      <c r="M4" s="2886"/>
      <c r="N4" s="2888"/>
      <c r="O4" s="2886"/>
      <c r="P4" s="2886"/>
    </row>
    <row r="5" spans="1:16">
      <c r="A5" s="47" t="s">
        <v>1795</v>
      </c>
      <c r="B5" s="3149" t="s">
        <v>1796</v>
      </c>
      <c r="C5" s="3149"/>
      <c r="D5" s="48">
        <f>ROUND($D$3*E5/$E$3,2)</f>
        <v>0</v>
      </c>
      <c r="E5" s="49">
        <f>SUMIF('数据-基础表'!$11:$11,"住宅",'数据-基础表'!$5:$5)</f>
        <v>0</v>
      </c>
      <c r="F5" s="2886"/>
      <c r="G5" s="1307"/>
      <c r="H5" s="1157" t="s">
        <v>1792</v>
      </c>
      <c r="I5" s="964">
        <f>ROUND(E31/D31,2)</f>
        <v>0.14000000000000001</v>
      </c>
      <c r="J5" s="2886"/>
      <c r="K5" s="2886"/>
      <c r="L5" s="2886"/>
      <c r="M5" s="2886"/>
      <c r="N5" s="2886"/>
      <c r="O5" s="2886"/>
      <c r="P5" s="2886"/>
    </row>
    <row r="6" spans="1:16" ht="15" thickBot="1">
      <c r="A6" s="1829"/>
      <c r="B6" s="3149" t="s">
        <v>1797</v>
      </c>
      <c r="C6" s="3149"/>
      <c r="D6" s="48">
        <f>ROUND($D$3*E6/$E$3,2)</f>
        <v>1442.46</v>
      </c>
      <c r="E6" s="49">
        <f>E3-E5</f>
        <v>198.07</v>
      </c>
      <c r="F6" s="2886"/>
      <c r="G6" s="2880" t="s">
        <v>1798</v>
      </c>
      <c r="H6" s="1308" t="s">
        <v>1799</v>
      </c>
      <c r="I6" s="2881">
        <f>ROUND(F31/D31,2)</f>
        <v>0.14000000000000001</v>
      </c>
      <c r="J6" s="2886"/>
      <c r="K6" s="2886"/>
      <c r="L6" s="2886"/>
      <c r="M6" s="2886"/>
      <c r="N6" s="2886"/>
      <c r="O6" s="2886"/>
      <c r="P6" s="2886"/>
    </row>
    <row r="7" spans="1:16" ht="15.75" thickBot="1">
      <c r="A7" s="3141"/>
      <c r="B7" s="3142"/>
      <c r="C7" s="314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198.07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198.07</v>
      </c>
      <c r="F16" s="2886"/>
      <c r="G16" s="2887"/>
      <c r="H16" s="1833" t="s">
        <v>1821</v>
      </c>
      <c r="I16" s="1834"/>
      <c r="J16" s="1301"/>
      <c r="K16" s="3138" t="s">
        <v>1821</v>
      </c>
      <c r="L16" s="3139"/>
      <c r="M16" s="3139"/>
      <c r="N16" s="3139"/>
      <c r="O16" s="3139"/>
      <c r="P16" s="3140"/>
    </row>
    <row r="17" spans="1:19" ht="15">
      <c r="A17" s="1835" t="s">
        <v>1822</v>
      </c>
      <c r="B17" s="1836" t="s">
        <v>1823</v>
      </c>
      <c r="C17" s="1837" t="s">
        <v>1824</v>
      </c>
      <c r="D17" s="1838" t="s">
        <v>1812</v>
      </c>
      <c r="E17" s="1839" t="s">
        <v>1813</v>
      </c>
      <c r="F17" s="1840"/>
      <c r="G17" s="1841"/>
      <c r="H17" s="1842" t="s">
        <v>1825</v>
      </c>
      <c r="I17" s="1843" t="s">
        <v>1810</v>
      </c>
      <c r="J17" s="1301"/>
      <c r="K17" s="3135" t="s">
        <v>1826</v>
      </c>
      <c r="L17" s="3136"/>
      <c r="M17" s="3137"/>
      <c r="N17" s="3135" t="s">
        <v>1827</v>
      </c>
      <c r="O17" s="3136"/>
      <c r="P17" s="313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198.07</v>
      </c>
      <c r="F19" s="3026">
        <f>'数据-基础表'!I13</f>
        <v>198.07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198.07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198.07</v>
      </c>
      <c r="F27" s="1302">
        <f>IF(SUM(F19:F26)=E8,SUM(F19:F26),"地上面积有误")</f>
        <v>198.07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198.07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198.07</v>
      </c>
      <c r="F31" s="686">
        <f>F27+F30</f>
        <v>198.07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I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5" width="6.75" style="1868" customWidth="1"/>
    <col min="26" max="26" width="8.375" style="1868" customWidth="1"/>
    <col min="27"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198.07</v>
      </c>
      <c r="L6" s="742">
        <v>2000</v>
      </c>
      <c r="M6" s="71">
        <f t="shared" ref="M6:M14" si="0">ROUND(K6*L6/10000,0)</f>
        <v>40</v>
      </c>
      <c r="N6" s="740">
        <v>0.9</v>
      </c>
      <c r="O6" s="71" t="str">
        <f>IF($N$5="成新度","——",ROUND(M6*N6,0))</f>
        <v>——</v>
      </c>
      <c r="P6" s="72" t="str">
        <f>IF($N$5="成新度","——",M6-O6)</f>
        <v>——</v>
      </c>
      <c r="Q6" s="743">
        <v>0.05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v>0.9</v>
      </c>
      <c r="Z6" s="77">
        <f>U6</f>
        <v>519000</v>
      </c>
      <c r="AA6" s="70">
        <v>0</v>
      </c>
      <c r="AB6" s="70">
        <v>0.15</v>
      </c>
      <c r="AC6" s="1171"/>
      <c r="AD6" s="78">
        <v>0.85</v>
      </c>
      <c r="AE6" s="1172">
        <f ca="1">IF(AN6="",0,SUMIF(INDIRECT("'"&amp;AN6&amp;"'"&amp;"!E:E"),$AE$5,INDIRECT("'"&amp;AN6&amp;"'"&amp;"!F:F")))</f>
        <v>40</v>
      </c>
      <c r="AF6" s="1532">
        <f>项目基本情况!F15</f>
        <v>4.1399999999999997</v>
      </c>
      <c r="AG6" s="143">
        <f ca="1">IF(AF6="",0,AE6-AF6)</f>
        <v>35.86</v>
      </c>
      <c r="AH6" s="79">
        <v>1</v>
      </c>
      <c r="AI6" s="81">
        <v>1</v>
      </c>
      <c r="AJ6" s="82"/>
      <c r="AK6" s="83">
        <v>1.4999999999999999E-2</v>
      </c>
      <c r="AL6" s="84">
        <v>1.5E-3</v>
      </c>
      <c r="AM6" s="85">
        <v>0.01</v>
      </c>
      <c r="AN6" s="1901" t="s">
        <v>3081</v>
      </c>
      <c r="AO6" s="55">
        <f ca="1">SUMIF(INDIRECT("'"&amp;AN6&amp;"'"&amp;"!A:A"),"总价",INDIRECT("'"&amp;AN6&amp;"'"&amp;"!B:B"))</f>
        <v>541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198.07</v>
      </c>
      <c r="L16" s="98">
        <f>ROUND(M16*10000/SUM(K6:K14),0)</f>
        <v>2019</v>
      </c>
      <c r="M16" s="98">
        <f>SUM(M6:M14)</f>
        <v>40</v>
      </c>
      <c r="N16" s="99">
        <f>ROUND(SUMPRODUCT(M6:M14,N6:N14)/M16,3)</f>
        <v>0.9</v>
      </c>
      <c r="O16" s="98">
        <f>SUM(O6:O14)</f>
        <v>0</v>
      </c>
      <c r="P16" s="98">
        <f>SUM(P6:P14)</f>
        <v>0</v>
      </c>
      <c r="Q16" s="100">
        <f>ROUND(SUMPRODUCT(Q6:Q13,K6:K13)/SUMPRODUCT((Q6:Q13&gt;0)*(K6:K13)),2)</f>
        <v>0.05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0.5</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0.5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3</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140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0.05</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0.05</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0" t="s">
        <v>3033</v>
      </c>
      <c r="B1" s="3151"/>
      <c r="C1" s="3151"/>
      <c r="D1" s="3151"/>
      <c r="E1" s="3151"/>
      <c r="F1" s="3151"/>
      <c r="G1" s="315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198.07</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333</v>
      </c>
      <c r="C5" s="2738">
        <f ca="1">ROUND(B5*10000/$B$1,0)</f>
        <v>16812</v>
      </c>
      <c r="D5" s="2738">
        <f ca="1">ROUND(B5*10000/$B$2,0)</f>
        <v>2309</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333</v>
      </c>
      <c r="C7" s="2738">
        <f ca="1">ROUND(B7*10000/$B$1,0)</f>
        <v>16812</v>
      </c>
      <c r="D7" s="2738">
        <f ca="1">ROUND(B7*10000/$B$2,0)</f>
        <v>2309</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198.07</v>
      </c>
      <c r="C14" s="2744">
        <f>结果表!C118</f>
        <v>1442.46</v>
      </c>
      <c r="D14" s="2744">
        <f ca="1">结果表!H118</f>
        <v>333</v>
      </c>
      <c r="E14" s="2744">
        <f ca="1">ROUND(D14*10000/B14,0)</f>
        <v>16812</v>
      </c>
      <c r="F14" s="2744">
        <f ca="1">ROUND(D14*10000/C14,0)</f>
        <v>2309</v>
      </c>
      <c r="G14" s="2744" t="str">
        <f>结果表!D122</f>
        <v>——</v>
      </c>
      <c r="H14" s="2744">
        <f ca="1">结果表!D124</f>
        <v>333</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34" sqref="G3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186" t="str">
        <f>项目基本情况!S2</f>
        <v>房地产</v>
      </c>
      <c r="B2" s="3187"/>
      <c r="C2" s="3187"/>
      <c r="D2" s="3187"/>
      <c r="E2" s="3187"/>
      <c r="F2" s="3187"/>
      <c r="G2" s="3187"/>
      <c r="H2" s="3187"/>
      <c r="I2" s="3188"/>
    </row>
    <row r="3" spans="1:12" ht="12.75">
      <c r="A3" s="3190" t="s">
        <v>1950</v>
      </c>
      <c r="B3" s="3191"/>
      <c r="C3" s="3191"/>
      <c r="D3" s="3191"/>
      <c r="E3" s="3191"/>
      <c r="F3" s="3191"/>
      <c r="G3" s="3191"/>
      <c r="H3" s="3191"/>
      <c r="I3" s="3191"/>
    </row>
    <row r="4" spans="1:12" ht="14.25">
      <c r="A4" s="1940" t="s">
        <v>1951</v>
      </c>
      <c r="B4" s="1941" t="s">
        <v>1952</v>
      </c>
      <c r="C4" s="1942" t="s">
        <v>3085</v>
      </c>
      <c r="D4" s="1942" t="s">
        <v>3086</v>
      </c>
      <c r="E4" s="3192" t="s">
        <v>1953</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1954</v>
      </c>
      <c r="B5" s="3153">
        <v>25</v>
      </c>
      <c r="C5" s="3169"/>
      <c r="D5" s="3189"/>
      <c r="E5" s="136" t="s">
        <v>1955</v>
      </c>
      <c r="F5" s="1943"/>
      <c r="G5" s="1943"/>
      <c r="H5" s="1943"/>
      <c r="I5" s="1557"/>
    </row>
    <row r="6" spans="1:12" ht="12.75">
      <c r="A6" s="3166"/>
      <c r="B6" s="3153"/>
      <c r="C6" s="3170"/>
      <c r="D6" s="3189"/>
      <c r="E6" s="136" t="s">
        <v>1956</v>
      </c>
      <c r="F6" s="1943"/>
      <c r="G6" s="1943"/>
      <c r="H6" s="1943"/>
      <c r="I6" s="1557"/>
    </row>
    <row r="7" spans="1:12" ht="12.75">
      <c r="A7" s="3166"/>
      <c r="B7" s="3153"/>
      <c r="C7" s="3171"/>
      <c r="D7" s="3189"/>
      <c r="E7" s="136" t="s">
        <v>1957</v>
      </c>
      <c r="F7" s="1943"/>
      <c r="G7" s="1943"/>
      <c r="H7" s="1943"/>
      <c r="I7" s="1557"/>
    </row>
    <row r="8" spans="1:12" ht="12.75">
      <c r="A8" s="3166" t="s">
        <v>1958</v>
      </c>
      <c r="B8" s="3153">
        <v>15</v>
      </c>
      <c r="C8" s="3169"/>
      <c r="D8" s="3189"/>
      <c r="E8" s="136" t="s">
        <v>1959</v>
      </c>
      <c r="F8" s="1943"/>
      <c r="G8" s="1943"/>
      <c r="H8" s="1943"/>
      <c r="I8" s="1557"/>
    </row>
    <row r="9" spans="1:12" ht="12.75">
      <c r="A9" s="3166"/>
      <c r="B9" s="3153"/>
      <c r="C9" s="3171"/>
      <c r="D9" s="3189"/>
      <c r="E9" s="136" t="s">
        <v>1960</v>
      </c>
      <c r="F9" s="1943"/>
      <c r="G9" s="1943"/>
      <c r="H9" s="1943"/>
      <c r="I9" s="1557"/>
    </row>
    <row r="10" spans="1:12" ht="12.75">
      <c r="A10" s="3166" t="s">
        <v>1961</v>
      </c>
      <c r="B10" s="3153">
        <v>15</v>
      </c>
      <c r="C10" s="3169"/>
      <c r="D10" s="3189"/>
      <c r="E10" s="136" t="s">
        <v>1962</v>
      </c>
      <c r="F10" s="1943"/>
      <c r="G10" s="1943"/>
      <c r="H10" s="1943"/>
      <c r="I10" s="1557"/>
    </row>
    <row r="11" spans="1:12" ht="12.75">
      <c r="A11" s="3166"/>
      <c r="B11" s="3153"/>
      <c r="C11" s="3171"/>
      <c r="D11" s="3189"/>
      <c r="E11" s="136" t="s">
        <v>1963</v>
      </c>
      <c r="F11" s="1943"/>
      <c r="G11" s="1943"/>
      <c r="H11" s="1943"/>
      <c r="I11" s="1557"/>
    </row>
    <row r="12" spans="1:12" ht="12.75">
      <c r="A12" s="3166" t="s">
        <v>1964</v>
      </c>
      <c r="B12" s="3153">
        <v>15</v>
      </c>
      <c r="C12" s="3169"/>
      <c r="D12" s="3189"/>
      <c r="E12" s="136" t="s">
        <v>1965</v>
      </c>
      <c r="F12" s="1943"/>
      <c r="G12" s="1943"/>
      <c r="H12" s="1943"/>
      <c r="I12" s="1557"/>
    </row>
    <row r="13" spans="1:12" ht="12.75">
      <c r="A13" s="3166"/>
      <c r="B13" s="3153"/>
      <c r="C13" s="3171"/>
      <c r="D13" s="3189"/>
      <c r="E13" s="136" t="s">
        <v>1966</v>
      </c>
      <c r="F13" s="1943"/>
      <c r="G13" s="1943"/>
      <c r="H13" s="1943"/>
      <c r="I13" s="1557"/>
    </row>
    <row r="14" spans="1:12" ht="12.75">
      <c r="A14" s="3166" t="s">
        <v>1967</v>
      </c>
      <c r="B14" s="3153">
        <v>30</v>
      </c>
      <c r="C14" s="3169">
        <v>8</v>
      </c>
      <c r="D14" s="3189">
        <f>10-C14</f>
        <v>2</v>
      </c>
      <c r="E14" s="136" t="s">
        <v>1968</v>
      </c>
      <c r="F14" s="1943"/>
      <c r="G14" s="1943"/>
      <c r="H14" s="1943"/>
      <c r="I14" s="1557"/>
    </row>
    <row r="15" spans="1:12" ht="12.75">
      <c r="A15" s="3166"/>
      <c r="B15" s="3153"/>
      <c r="C15" s="3170"/>
      <c r="D15" s="3189"/>
      <c r="E15" s="136" t="s">
        <v>1969</v>
      </c>
      <c r="F15" s="1943"/>
      <c r="G15" s="1943"/>
      <c r="H15" s="1943"/>
      <c r="I15" s="1557"/>
    </row>
    <row r="16" spans="1:12" ht="12.75">
      <c r="A16" s="3166"/>
      <c r="B16" s="3153"/>
      <c r="C16" s="3171"/>
      <c r="D16" s="3189"/>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1.9" customHeight="1" thickBot="1">
      <c r="A18" s="1945" t="s">
        <v>1974</v>
      </c>
      <c r="B18" s="1946"/>
      <c r="C18" s="138">
        <f>ROUND(C17/SUM(C17:D17),2)</f>
        <v>0.8</v>
      </c>
      <c r="D18" s="138">
        <f>1-C18</f>
        <v>0.19999999999999996</v>
      </c>
      <c r="E18" s="3176" t="s">
        <v>2874</v>
      </c>
      <c r="F18" s="3177"/>
      <c r="G18" s="3177"/>
      <c r="H18" s="3177"/>
      <c r="I18" s="3177"/>
      <c r="K18" s="308" t="s">
        <v>1975</v>
      </c>
      <c r="L18" s="308">
        <f>IF(C1="",'数据-汇总表'!E3,SUMIF(项目类型,C1,'数据-汇总表'!E17:E26)+SUMIF(项目类型,C1,'数据-汇总表'!I17:I26))</f>
        <v>198.07</v>
      </c>
      <c r="M18" s="308">
        <f>IF(C1="",'数据-汇总表'!E3,SUMIF(项目类型,C1,'数据-汇总表'!E17:E26))</f>
        <v>198.07</v>
      </c>
    </row>
    <row r="19" spans="1:36" ht="15">
      <c r="A19" s="1947" t="s">
        <v>1976</v>
      </c>
      <c r="B19" s="1948" t="s">
        <v>1977</v>
      </c>
      <c r="C19" s="139">
        <f ca="1">SUMIF(INDIRECT("'"&amp;C4&amp;"'"&amp;"!A:A"),结果表!B19,INDIRECT("'"&amp;C4&amp;"'"&amp;"!B:B"))</f>
        <v>284</v>
      </c>
      <c r="D19" s="140">
        <f ca="1">SUMIF(INDIRECT("'"&amp;D4&amp;"'"&amp;"!A:A"),结果表!B19,INDIRECT("'"&amp;D4&amp;"'"&amp;"!B:B"))</f>
        <v>527</v>
      </c>
      <c r="E19" s="1947" t="s">
        <v>1978</v>
      </c>
      <c r="F19" s="1948" t="s">
        <v>1977</v>
      </c>
      <c r="G19" s="141">
        <f ca="1">ROUND(C19*$C$18+D19*$D$18,0)</f>
        <v>333</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14338</v>
      </c>
      <c r="D20" s="143">
        <f ca="1">SUMIF(INDIRECT("'"&amp;D4&amp;"'"&amp;"!A:A"),结果表!B20,INDIRECT("'"&amp;D4&amp;"'"&amp;"!B:B"))</f>
        <v>26607</v>
      </c>
      <c r="E20" s="1950"/>
      <c r="F20" s="1157" t="s">
        <v>1981</v>
      </c>
      <c r="G20" s="144">
        <f ca="1">ROUND(C20*$C$18+D20*$D$18,0)</f>
        <v>16792</v>
      </c>
      <c r="H20" s="917" t="s">
        <v>1982</v>
      </c>
      <c r="I20" s="134"/>
    </row>
    <row r="21" spans="1:36" ht="15" customHeight="1" thickBot="1">
      <c r="A21" s="937"/>
      <c r="B21" s="1951" t="s">
        <v>1983</v>
      </c>
      <c r="C21" s="728">
        <f ca="1">ROUND(C19*10000/L19,0)</f>
        <v>1969</v>
      </c>
      <c r="D21" s="729">
        <f ca="1">ROUND(D19*10000/L19,0)</f>
        <v>3653</v>
      </c>
      <c r="E21" s="937"/>
      <c r="F21" s="1951" t="s">
        <v>1983</v>
      </c>
      <c r="G21" s="145">
        <f ca="1">ROUND(G19*10000/L19,0)</f>
        <v>2309</v>
      </c>
      <c r="H21" s="1952" t="s">
        <v>1982</v>
      </c>
      <c r="I21" s="134"/>
    </row>
    <row r="22" spans="1:36" ht="15" thickBot="1">
      <c r="A22" s="1874" t="s">
        <v>1984</v>
      </c>
      <c r="B22" s="1953"/>
      <c r="C22" s="1954"/>
      <c r="D22" s="730">
        <f ca="1">IF(C19&lt;D19,D19/C19-1,C19/D19-1)</f>
        <v>0.85563380281690149</v>
      </c>
      <c r="E22" s="134"/>
      <c r="F22" s="134"/>
      <c r="G22" s="134"/>
      <c r="H22" s="134"/>
      <c r="I22" s="134"/>
    </row>
    <row r="23" spans="1:36" ht="13.5" thickBot="1">
      <c r="A23" s="1933"/>
      <c r="B23" s="1933"/>
      <c r="C23" s="1933"/>
      <c r="D23" s="1933"/>
      <c r="E23" s="134"/>
      <c r="F23" s="134"/>
      <c r="G23" s="134"/>
      <c r="H23" s="134"/>
      <c r="I23" s="134"/>
    </row>
    <row r="24" spans="1:36" ht="14.25">
      <c r="A24" s="3160" t="s">
        <v>1985</v>
      </c>
      <c r="B24" s="1948" t="s">
        <v>1977</v>
      </c>
      <c r="C24" s="141">
        <f>IF(B30=0,0,D30)</f>
        <v>0</v>
      </c>
      <c r="D24" s="1955"/>
      <c r="E24" s="134"/>
      <c r="F24" s="134"/>
      <c r="G24" s="134"/>
      <c r="H24" s="134"/>
      <c r="I24" s="134"/>
    </row>
    <row r="25" spans="1:36" ht="14.25">
      <c r="A25" s="316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16792</v>
      </c>
      <c r="D32" s="1961" t="s">
        <v>3083</v>
      </c>
      <c r="E32" s="134"/>
      <c r="F32" s="134"/>
      <c r="G32" s="134"/>
      <c r="H32" s="134"/>
      <c r="I32" s="134"/>
    </row>
    <row r="33" spans="1:15" ht="15">
      <c r="A33" s="894" t="s">
        <v>1992</v>
      </c>
      <c r="B33" s="1962"/>
      <c r="C33" s="1963" t="s">
        <v>3082</v>
      </c>
      <c r="D33" s="1964" t="s">
        <v>3086</v>
      </c>
      <c r="E33" s="1965" t="s">
        <v>1993</v>
      </c>
      <c r="F33" s="1966" t="str">
        <f>IF(D32="楼面单价","取值（单价）","取值（总价）")</f>
        <v>取值（单价）</v>
      </c>
      <c r="G33" s="134"/>
      <c r="H33" s="134"/>
      <c r="I33" s="134"/>
    </row>
    <row r="34" spans="1:15" ht="15">
      <c r="A34" s="1967"/>
      <c r="B34" s="1968" t="s">
        <v>1994</v>
      </c>
      <c r="C34" s="153">
        <f ca="1">IF(C33="自定义",F34,C32-C35)</f>
        <v>10915</v>
      </c>
      <c r="D34" s="970">
        <f ca="1">IF(C33="自定义",ROUND(C34/C32,3),IF(C33="收益比率",SUMIF(INDIRECT("'"&amp;D33&amp;"'"&amp;"!b:b"),"土地收益比率",INDIRECT("'"&amp;D33&amp;"'"&amp;"!c:c")),SUMIF(INDIRECT("'"&amp;D33&amp;"'"&amp;"!b:b"),"土地成本比率",INDIRECT("'"&amp;D33&amp;"'"&amp;"!c:c"))))</f>
        <v>0.65</v>
      </c>
      <c r="E34" s="1969" t="s">
        <v>1995</v>
      </c>
      <c r="F34" s="1498">
        <f ca="1">C34*L18/L19/15</f>
        <v>99.918844658892894</v>
      </c>
      <c r="G34" s="134"/>
      <c r="H34" s="134"/>
      <c r="I34" s="134"/>
    </row>
    <row r="35" spans="1:15" ht="15.75" thickBot="1">
      <c r="A35" s="1970"/>
      <c r="B35" s="1971" t="s">
        <v>1996</v>
      </c>
      <c r="C35" s="1332">
        <f ca="1">IF(C33="自定义",F35,ROUND(C32*D35,0))</f>
        <v>5877</v>
      </c>
      <c r="D35" s="1333">
        <f ca="1">IF(C33="自定义",ROUND(C35/C32,3),IF(C33="收益比率",SUMIF(INDIRECT("'"&amp;D33&amp;"'"&amp;"!b:b"),"建筑物收益比率",INDIRECT("'"&amp;D33&amp;"'"&amp;"!c:c")),SUMIF(INDIRECT("'"&amp;D33&amp;"'"&amp;"!b:b"),"建筑物成本比率",INDIRECT("'"&amp;D33&amp;"'"&amp;"!c:c"))))</f>
        <v>0.35</v>
      </c>
      <c r="E35" s="1972" t="s">
        <v>1997</v>
      </c>
      <c r="F35" s="159"/>
      <c r="G35" s="134"/>
      <c r="H35" s="134"/>
      <c r="I35" s="134"/>
    </row>
    <row r="36" spans="1:15" ht="15.75" thickBot="1">
      <c r="A36" s="3180" t="s">
        <v>1998</v>
      </c>
      <c r="B36" s="1973" t="s">
        <v>1999</v>
      </c>
      <c r="C36" s="150"/>
      <c r="D36" s="1974"/>
      <c r="E36" s="1975"/>
      <c r="F36" s="1976"/>
      <c r="G36" s="134"/>
      <c r="H36" s="134"/>
      <c r="I36" s="134"/>
    </row>
    <row r="37" spans="1:15" ht="15.75" thickBot="1">
      <c r="A37" s="3181"/>
      <c r="B37" s="1860" t="s">
        <v>2000</v>
      </c>
      <c r="C37" s="152"/>
      <c r="D37" s="1301"/>
      <c r="E37" s="1301"/>
      <c r="F37" s="1976"/>
      <c r="G37" s="134"/>
      <c r="H37" s="134"/>
      <c r="I37" s="134"/>
    </row>
    <row r="38" spans="1:15" ht="15.75" thickBot="1">
      <c r="A38" s="318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7" t="s">
        <v>2012</v>
      </c>
      <c r="B45" s="3158"/>
      <c r="C45" s="3159"/>
      <c r="D45" s="160">
        <f ca="1">ROUND(H101*F45,0)</f>
        <v>333</v>
      </c>
      <c r="E45" s="161" t="s">
        <v>2013</v>
      </c>
      <c r="F45" s="162">
        <v>1</v>
      </c>
      <c r="G45" s="163" t="s">
        <v>2014</v>
      </c>
      <c r="H45" s="134"/>
      <c r="I45" s="134"/>
      <c r="J45" s="3238" t="s">
        <v>2015</v>
      </c>
      <c r="K45" s="3238"/>
      <c r="L45" s="3238"/>
      <c r="M45" s="3238"/>
      <c r="N45" s="3238"/>
      <c r="O45" s="3238"/>
    </row>
    <row r="46" spans="1:15" ht="14.25" customHeight="1">
      <c r="A46" s="3154" t="s">
        <v>2016</v>
      </c>
      <c r="B46" s="3155"/>
      <c r="C46" s="3155"/>
      <c r="D46" s="3155"/>
      <c r="E46" s="3155"/>
      <c r="F46" s="3155"/>
      <c r="G46" s="3156"/>
      <c r="H46" s="1992"/>
      <c r="I46" s="164"/>
      <c r="J46" s="2749">
        <v>1</v>
      </c>
      <c r="K46" s="3219" t="s">
        <v>2017</v>
      </c>
      <c r="L46" s="3219"/>
      <c r="M46" s="3239"/>
      <c r="N46" s="3239"/>
      <c r="O46" s="3239"/>
    </row>
    <row r="47" spans="1:15" ht="12" customHeight="1">
      <c r="A47" s="165" t="s">
        <v>2018</v>
      </c>
      <c r="B47" s="166"/>
      <c r="C47" s="167"/>
      <c r="D47" s="1247" t="s">
        <v>2019</v>
      </c>
      <c r="E47" s="308" t="s">
        <v>2020</v>
      </c>
      <c r="F47" s="168" t="s">
        <v>2021</v>
      </c>
      <c r="G47" s="2772" t="s">
        <v>2022</v>
      </c>
      <c r="H47" s="2773"/>
      <c r="I47" s="164"/>
      <c r="J47" s="2749">
        <v>2</v>
      </c>
      <c r="K47" s="3219" t="s">
        <v>2023</v>
      </c>
      <c r="L47" s="3219"/>
      <c r="M47" s="3240">
        <f>'数据-取费表'!B2</f>
        <v>44357</v>
      </c>
      <c r="N47" s="3240"/>
      <c r="O47" s="3240"/>
    </row>
    <row r="48" spans="1:15" ht="25.5">
      <c r="A48" s="3185" t="s">
        <v>2024</v>
      </c>
      <c r="B48" s="3168"/>
      <c r="C48" s="3168"/>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19" t="s">
        <v>2026</v>
      </c>
      <c r="L48" s="3219"/>
      <c r="M48" s="3241">
        <f ca="1">H101</f>
        <v>333</v>
      </c>
      <c r="N48" s="3241"/>
      <c r="O48" s="3241"/>
    </row>
    <row r="49" spans="1:35" ht="25.5" customHeight="1">
      <c r="A49" s="2556" t="s">
        <v>2027</v>
      </c>
      <c r="B49" s="3152" t="s">
        <v>2028</v>
      </c>
      <c r="C49" s="3152"/>
      <c r="D49" s="1775">
        <v>0</v>
      </c>
      <c r="E49" s="330" t="s">
        <v>2029</v>
      </c>
      <c r="F49" s="2650" t="s">
        <v>34</v>
      </c>
      <c r="G49" s="3225"/>
      <c r="H49" s="2528" t="s">
        <v>2877</v>
      </c>
      <c r="I49" s="2529"/>
      <c r="J49" s="2749">
        <v>4</v>
      </c>
      <c r="K49" s="3219" t="str">
        <f>IF(项目基本情况!E8="房地产抵押价值","房地产抵押价值","抵押担保权已注销时的房地产抵押价值")</f>
        <v>抵押担保权已注销时的房地产抵押价值</v>
      </c>
      <c r="L49" s="3219"/>
      <c r="M49" s="3241">
        <f ca="1">IF(项目基本情况!E8="房地产抵押价值",H107,H109)</f>
        <v>333</v>
      </c>
      <c r="N49" s="3241"/>
      <c r="O49" s="3241"/>
    </row>
    <row r="50" spans="1:35" ht="25.5" customHeight="1">
      <c r="A50" s="2777"/>
      <c r="B50" s="3152" t="s">
        <v>2030</v>
      </c>
      <c r="C50" s="3152"/>
      <c r="D50" s="2778"/>
      <c r="E50" s="338"/>
      <c r="F50" s="2650"/>
      <c r="G50" s="3226"/>
      <c r="H50" s="2530" t="s">
        <v>2878</v>
      </c>
      <c r="I50" s="2529"/>
      <c r="J50" s="3238" t="s">
        <v>2031</v>
      </c>
      <c r="K50" s="3238"/>
      <c r="L50" s="3238"/>
      <c r="M50" s="3238"/>
      <c r="N50" s="3238"/>
      <c r="O50" s="3238"/>
    </row>
    <row r="51" spans="1:35" ht="20.45" customHeight="1">
      <c r="A51" s="2779"/>
      <c r="B51" s="3152" t="s">
        <v>2032</v>
      </c>
      <c r="C51" s="3152"/>
      <c r="D51" s="1247"/>
      <c r="E51" s="333"/>
      <c r="F51" s="2650"/>
      <c r="G51" s="3227"/>
      <c r="H51" s="2530" t="s">
        <v>2879</v>
      </c>
      <c r="I51" s="2529"/>
      <c r="J51" s="2750" t="s">
        <v>2033</v>
      </c>
      <c r="K51" s="3219" t="s">
        <v>2034</v>
      </c>
      <c r="L51" s="3219"/>
      <c r="M51" s="2750" t="s">
        <v>2035</v>
      </c>
      <c r="N51" s="2750" t="s">
        <v>2036</v>
      </c>
      <c r="O51" s="2750" t="s">
        <v>2037</v>
      </c>
    </row>
    <row r="52" spans="1:35" ht="24" customHeight="1">
      <c r="A52" s="2558" t="s">
        <v>2038</v>
      </c>
      <c r="B52" s="3152" t="s">
        <v>2039</v>
      </c>
      <c r="C52" s="3152"/>
      <c r="D52" s="1247">
        <f ca="1">ROUND(D45*'数据-取费表'!B41/(1+'数据-取费表'!C42),0)</f>
        <v>17</v>
      </c>
      <c r="E52" s="2557" t="s">
        <v>2040</v>
      </c>
      <c r="F52" s="2780">
        <f>'数据-取费表'!B41</f>
        <v>5.5000000000000007E-2</v>
      </c>
      <c r="G52" s="2781"/>
      <c r="H52" s="2770"/>
      <c r="I52" s="1993"/>
      <c r="J52" s="2749">
        <v>1</v>
      </c>
      <c r="K52" s="3220" t="s">
        <v>2041</v>
      </c>
      <c r="L52" s="3220"/>
      <c r="M52" s="2751" t="b">
        <f>D48</f>
        <v>0</v>
      </c>
      <c r="N52" s="2749" t="str">
        <f>E48</f>
        <v>销售额×税（费）率</v>
      </c>
      <c r="O52" s="2752">
        <f>F48</f>
        <v>5.5000000000000007E-2</v>
      </c>
    </row>
    <row r="53" spans="1:35" ht="12" customHeight="1">
      <c r="A53" s="2558" t="s">
        <v>2042</v>
      </c>
      <c r="B53" s="3178" t="s">
        <v>3038</v>
      </c>
      <c r="C53" s="3179"/>
      <c r="D53" s="1247">
        <f ca="1">ROUND(D45*'数据-取费表'!B41/(1+'数据-取费表'!C42),0)</f>
        <v>17</v>
      </c>
      <c r="E53" s="2557" t="s">
        <v>2040</v>
      </c>
      <c r="F53" s="2780">
        <f>'数据-取费表'!B41</f>
        <v>5.5000000000000007E-2</v>
      </c>
      <c r="G53" s="2781"/>
      <c r="H53" s="2770"/>
      <c r="I53" s="1993"/>
      <c r="J53" s="2749">
        <v>2</v>
      </c>
      <c r="K53" s="3220" t="s">
        <v>2043</v>
      </c>
      <c r="L53" s="3220"/>
      <c r="M53" s="2751">
        <f t="shared" ref="M53:O54" ca="1" si="0">D55</f>
        <v>0</v>
      </c>
      <c r="N53" s="2749" t="str">
        <f t="shared" si="0"/>
        <v>销售额×税（费）率</v>
      </c>
      <c r="O53" s="2752" t="str">
        <f t="shared" si="0"/>
        <v>免征</v>
      </c>
    </row>
    <row r="54" spans="1:35" ht="12" customHeight="1">
      <c r="A54" s="2558" t="s">
        <v>2044</v>
      </c>
      <c r="B54" s="3178" t="s">
        <v>3039</v>
      </c>
      <c r="C54" s="3179"/>
      <c r="D54" s="1247">
        <f ca="1">C68</f>
        <v>17</v>
      </c>
      <c r="E54" s="333" t="s">
        <v>2045</v>
      </c>
      <c r="F54" s="2780">
        <f>'数据-取费表'!B41</f>
        <v>5.5000000000000007E-2</v>
      </c>
      <c r="G54" s="2781"/>
      <c r="H54" s="2782"/>
      <c r="I54" s="1993"/>
      <c r="J54" s="2749">
        <v>3</v>
      </c>
      <c r="K54" s="3220" t="s">
        <v>2046</v>
      </c>
      <c r="L54" s="3220"/>
      <c r="M54" s="2751">
        <f t="shared" ca="1" si="0"/>
        <v>188</v>
      </c>
      <c r="N54" s="2749" t="str">
        <f t="shared" si="0"/>
        <v>增值额×税（费）率</v>
      </c>
      <c r="O54" s="2753" t="str">
        <f t="shared" si="0"/>
        <v>免征</v>
      </c>
    </row>
    <row r="55" spans="1:35" ht="24" customHeight="1">
      <c r="A55" s="3167" t="s">
        <v>2047</v>
      </c>
      <c r="B55" s="3168"/>
      <c r="C55" s="3168"/>
      <c r="D55" s="2547">
        <f ca="1">IF(H55="个人住宅",0,ROUND(D45*I55,0))</f>
        <v>0</v>
      </c>
      <c r="E55" s="2557" t="s">
        <v>2048</v>
      </c>
      <c r="F55" s="2780" t="str">
        <f>IF(H55="正常",I55,"免征")</f>
        <v>免征</v>
      </c>
      <c r="G55" s="2781"/>
      <c r="H55" s="2776"/>
      <c r="I55" s="170">
        <f>'数据-取费表'!B49</f>
        <v>5.0000000000000001E-4</v>
      </c>
      <c r="J55" s="2749">
        <f>IF(H59="非个人房产","",4)</f>
        <v>4</v>
      </c>
      <c r="K55" s="3220" t="str">
        <f>IF(H59="非个人房产","——","个人所得税")</f>
        <v>个人所得税</v>
      </c>
      <c r="L55" s="3220"/>
      <c r="M55" s="2754">
        <f ca="1">D59</f>
        <v>3</v>
      </c>
      <c r="N55" s="2228" t="str">
        <f>E59</f>
        <v>差额计税</v>
      </c>
      <c r="O55" s="2755">
        <f>F59</f>
        <v>0.01</v>
      </c>
    </row>
    <row r="56" spans="1:35" ht="24.75">
      <c r="A56" s="3167" t="s">
        <v>2049</v>
      </c>
      <c r="B56" s="3168"/>
      <c r="C56" s="3168"/>
      <c r="D56" s="2547">
        <f ca="1">IF(H56="个人住宅",D57,D58)</f>
        <v>188</v>
      </c>
      <c r="E56" s="2557" t="s">
        <v>2050</v>
      </c>
      <c r="F56" s="2780" t="str">
        <f>IF(H56="正常",F58,"免征")</f>
        <v>免征</v>
      </c>
      <c r="G56" s="2783" t="s">
        <v>2051</v>
      </c>
      <c r="H56" s="2784"/>
      <c r="I56" s="1994"/>
      <c r="J56" s="2749" t="str">
        <f>IF(项目基本情况!K6="上海银行",IF(J55="",4,J55+1),"")</f>
        <v/>
      </c>
      <c r="K56" s="3243" t="str">
        <f>IF(项目基本情况!K6="上海银行","其他处置费用","")</f>
        <v/>
      </c>
      <c r="L56" s="3244"/>
      <c r="M56" s="2751" t="str">
        <f>IF(项目基本情况!K6="上海银行",M69,"")</f>
        <v/>
      </c>
      <c r="N56" s="3243" t="str">
        <f>IF(项目基本情况!K6="上海银行","包含处置中涉及的律师、诉讼、拍卖、评估等费用","")</f>
        <v/>
      </c>
      <c r="O56" s="3246"/>
    </row>
    <row r="57" spans="1:35" ht="12.75">
      <c r="A57" s="2558" t="s">
        <v>2027</v>
      </c>
      <c r="B57" s="3178" t="s">
        <v>2052</v>
      </c>
      <c r="C57" s="3179"/>
      <c r="D57" s="1775">
        <v>0</v>
      </c>
      <c r="E57" s="330" t="s">
        <v>2029</v>
      </c>
      <c r="F57" s="308"/>
      <c r="G57" s="2781"/>
      <c r="H57" s="2785"/>
      <c r="I57" s="1994"/>
      <c r="J57" s="3220">
        <f>IF(AND(J55="",J56=""),4,IF(项目基本情况!K6="上海银行",结果表!J56+1,结果表!J55+1))</f>
        <v>5</v>
      </c>
      <c r="K57" s="3220" t="s">
        <v>2053</v>
      </c>
      <c r="L57" s="2756" t="s">
        <v>2054</v>
      </c>
      <c r="M57" s="2757"/>
      <c r="N57" s="2758">
        <f ca="1">SUMIF(M52:M56,"&lt;9e307")</f>
        <v>191</v>
      </c>
      <c r="O57" s="2759"/>
      <c r="P57" s="2919">
        <f ca="1">N57/M49</f>
        <v>0.57357357357357353</v>
      </c>
    </row>
    <row r="58" spans="1:35" ht="24.75">
      <c r="A58" s="2558" t="s">
        <v>2038</v>
      </c>
      <c r="B58" s="3178" t="s">
        <v>2055</v>
      </c>
      <c r="C58" s="3152"/>
      <c r="D58" s="2547">
        <f ca="1">IF(H58="转让取得",C81,C97)</f>
        <v>188</v>
      </c>
      <c r="E58" s="2557" t="s">
        <v>2050</v>
      </c>
      <c r="F58" s="308" t="s">
        <v>34</v>
      </c>
      <c r="G58" s="2781"/>
      <c r="H58" s="2784"/>
      <c r="I58" s="1994"/>
      <c r="J58" s="3220"/>
      <c r="K58" s="3220"/>
      <c r="L58" s="2756" t="s">
        <v>2056</v>
      </c>
      <c r="M58" s="2760"/>
      <c r="N58" s="2761" t="str">
        <f ca="1">NUMBERSTRING(INT(N57*10000),2)&amp;"元整"</f>
        <v>壹佰玖拾壹万元整</v>
      </c>
      <c r="O58" s="2762"/>
    </row>
    <row r="59" spans="1:35" ht="24.75" thickBot="1">
      <c r="A59" s="3223" t="s">
        <v>2057</v>
      </c>
      <c r="B59" s="3224"/>
      <c r="C59" s="3224"/>
      <c r="D59" s="2786">
        <f ca="1">IF(H59="非个人房产","——",IF(H59="个人住宅（满五唯一有凭证）",0,IF(H59="个人其他（无凭证）",ROUND(D45*F59,0),ROUND(C67*F59,0))))</f>
        <v>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221">
        <f>J57+1</f>
        <v>6</v>
      </c>
      <c r="K59" s="3220" t="s">
        <v>2058</v>
      </c>
      <c r="L59" s="2749" t="s">
        <v>2054</v>
      </c>
      <c r="M59" s="2763"/>
      <c r="N59" s="2764">
        <f ca="1">M49-N57</f>
        <v>142</v>
      </c>
      <c r="O59" s="2765"/>
    </row>
    <row r="60" spans="1:35" ht="12" customHeight="1">
      <c r="A60" s="1995"/>
      <c r="B60" s="1933"/>
      <c r="C60" s="1933"/>
      <c r="D60" s="1933"/>
      <c r="E60" s="1763"/>
      <c r="F60" s="1994"/>
      <c r="G60" s="1994"/>
      <c r="H60" s="1996"/>
      <c r="I60" s="134"/>
      <c r="J60" s="3222"/>
      <c r="K60" s="3220"/>
      <c r="L60" s="2756" t="s">
        <v>2056</v>
      </c>
      <c r="M60" s="2760"/>
      <c r="N60" s="2761" t="str">
        <f ca="1">NUMBERSTRING(INT(N59*10000),2)&amp;"元整"</f>
        <v>壹佰肆拾贰万元整</v>
      </c>
      <c r="O60" s="2762"/>
    </row>
    <row r="61" spans="1:35" ht="13.5" thickBot="1">
      <c r="A61" s="3165" t="s">
        <v>2059</v>
      </c>
      <c r="B61" s="3165"/>
      <c r="C61" s="3165"/>
      <c r="D61" s="3165"/>
      <c r="E61" s="3165"/>
      <c r="F61" s="1994"/>
      <c r="G61" s="1994"/>
      <c r="H61" s="1996"/>
      <c r="I61" s="134"/>
      <c r="J61" s="2749">
        <f>J59+1</f>
        <v>7</v>
      </c>
      <c r="K61" s="3220" t="s">
        <v>2060</v>
      </c>
      <c r="L61" s="3220"/>
      <c r="M61" s="2766"/>
      <c r="N61" s="2767">
        <f ca="1">ROUND(N59*10000/'数据-汇总表'!E3,0)</f>
        <v>7169</v>
      </c>
      <c r="O61" s="2768"/>
    </row>
    <row r="62" spans="1:35" ht="12.75">
      <c r="A62" s="3183" t="s">
        <v>2061</v>
      </c>
      <c r="B62" s="3184"/>
      <c r="C62" s="2209"/>
      <c r="D62" s="2209" t="s">
        <v>2062</v>
      </c>
      <c r="E62" s="171" t="s">
        <v>2063</v>
      </c>
      <c r="F62" s="1994"/>
      <c r="G62" s="1994"/>
      <c r="H62" s="1996"/>
      <c r="I62" s="134"/>
    </row>
    <row r="63" spans="1:35" ht="12.75">
      <c r="A63" s="178" t="s">
        <v>775</v>
      </c>
      <c r="B63" s="172" t="s">
        <v>2064</v>
      </c>
      <c r="C63" s="2790">
        <f ca="1">ROUND((C64+C65)/(1+'数据-取费表'!C42),0)</f>
        <v>317</v>
      </c>
      <c r="D63" s="172"/>
      <c r="E63" s="173"/>
      <c r="F63" s="1994"/>
      <c r="G63" s="1994"/>
      <c r="H63" s="1996"/>
      <c r="I63" s="134"/>
      <c r="J63" s="3245" t="s">
        <v>2065</v>
      </c>
      <c r="K63" s="1501" t="s">
        <v>2066</v>
      </c>
      <c r="L63" s="1501">
        <f ca="1">IF(M49&gt;10000,M49*0.5%,IF(AND(M49&gt;1000,M49&lt;=10000),M49*1%,IF(AND(M49&gt;100,M49&lt;=1000),M49*3%,IF(AND(M49&gt;10,M49&lt;=100),M49*5%,M49*8%))))</f>
        <v>9.99</v>
      </c>
      <c r="M63" s="308">
        <f ca="1">ROUND(L63,1)</f>
        <v>10</v>
      </c>
      <c r="N63" s="2769"/>
      <c r="Z63" s="1938"/>
      <c r="AI63" s="1939"/>
    </row>
    <row r="64" spans="1:35" ht="14.25" customHeight="1">
      <c r="A64" s="174" t="s">
        <v>770</v>
      </c>
      <c r="B64" s="175" t="s">
        <v>2067</v>
      </c>
      <c r="C64" s="2791">
        <f ca="1">D45</f>
        <v>333</v>
      </c>
      <c r="D64" s="175" t="s">
        <v>32</v>
      </c>
      <c r="E64" s="177"/>
      <c r="F64" s="1994"/>
      <c r="G64" s="1994"/>
      <c r="H64" s="1996"/>
      <c r="I64" s="134"/>
      <c r="J64" s="3245"/>
      <c r="K64" s="1501" t="s">
        <v>2068</v>
      </c>
      <c r="L64" s="1501">
        <f ca="1">IF(M49&gt;2000,M49*0.5%,IF(AND(M49&gt;1000,M49&lt;=2000),M49*0.6%,IF(AND(M49&gt;500,M49&lt;=1000),M49*0.7%,IF(AND(M49&gt;200,M49&lt;=500),M49*0.8%,IF(AND(M49&gt;100,M49&lt;=200),M49*0.9%,IF(AND(M49&gt;50,M49&lt;=100),M49*1%,IF(AND(M49&gt;20,M49&lt;=50),M49*1.5%,IF(AND(M49&gt;10,M49&lt;=20),M49*2%,IF(AND(M49&gt;1,M49&lt;=10),M49*2.5%)))))))))</f>
        <v>2.6640000000000001</v>
      </c>
      <c r="M64" s="308">
        <f t="shared" ref="M64:M65" ca="1" si="1">ROUND(L64,1)</f>
        <v>2.7</v>
      </c>
      <c r="N64" s="2770" t="s">
        <v>2069</v>
      </c>
      <c r="Z64" s="1938"/>
      <c r="AI64" s="1939"/>
    </row>
    <row r="65" spans="1:35" ht="14.25" customHeight="1">
      <c r="A65" s="174" t="s">
        <v>771</v>
      </c>
      <c r="B65" s="175" t="s">
        <v>2070</v>
      </c>
      <c r="C65" s="2792"/>
      <c r="D65" s="175"/>
      <c r="E65" s="177"/>
      <c r="F65" s="1994"/>
      <c r="G65" s="1994"/>
      <c r="H65" s="1996"/>
      <c r="I65" s="134"/>
      <c r="J65" s="3245"/>
      <c r="K65" s="1501" t="s">
        <v>2071</v>
      </c>
      <c r="L65" s="1501">
        <f ca="1">IF(M49&gt;1000,M49*0.1%,IF(AND(M49&gt;500,M49&lt;=1000),M49*0.5%,IF(AND(M49&gt;50,M49&lt;=500),M49*1%,IF(AND(M49&gt;1,M49&lt;=50),M49*1.5%))))</f>
        <v>3.33</v>
      </c>
      <c r="M65" s="308">
        <f t="shared" ca="1" si="1"/>
        <v>3.3</v>
      </c>
      <c r="N65" s="2770" t="s">
        <v>2069</v>
      </c>
      <c r="Z65" s="1938"/>
      <c r="AI65" s="1939"/>
    </row>
    <row r="66" spans="1:35" ht="14.25" customHeight="1">
      <c r="A66" s="178" t="s">
        <v>772</v>
      </c>
      <c r="B66" s="179" t="s">
        <v>2072</v>
      </c>
      <c r="C66" s="2793"/>
      <c r="D66" s="179" t="s">
        <v>32</v>
      </c>
      <c r="E66" s="1509" t="s">
        <v>1337</v>
      </c>
      <c r="F66" s="1994"/>
      <c r="G66" s="1994"/>
      <c r="H66" s="1996"/>
      <c r="I66" s="134"/>
      <c r="J66" s="3245"/>
      <c r="K66" s="1501" t="s">
        <v>2073</v>
      </c>
      <c r="L66" s="1501">
        <f ca="1">M49*0.5%</f>
        <v>1.665</v>
      </c>
      <c r="M66" s="308">
        <f ca="1">IF(L66&gt;0.5,0.5,ROUND(L66,0))</f>
        <v>0.5</v>
      </c>
      <c r="N66" s="2770" t="s">
        <v>2074</v>
      </c>
      <c r="Z66" s="1938"/>
      <c r="AI66" s="1939"/>
    </row>
    <row r="67" spans="1:35" ht="14.25" customHeight="1">
      <c r="A67" s="178" t="s">
        <v>773</v>
      </c>
      <c r="B67" s="179" t="s">
        <v>2075</v>
      </c>
      <c r="C67" s="2794">
        <f ca="1">C63-C66</f>
        <v>317</v>
      </c>
      <c r="D67" s="175" t="s">
        <v>32</v>
      </c>
      <c r="E67" s="177"/>
      <c r="F67" s="1994"/>
      <c r="G67" s="1994"/>
      <c r="H67" s="1996"/>
      <c r="I67" s="134"/>
      <c r="J67" s="3245"/>
      <c r="K67" s="1501" t="s">
        <v>2076</v>
      </c>
      <c r="L67" s="1501">
        <f ca="1">IF(M49&gt;=10000,(8.25+(M49-10000)*0.01%),IF(AND(M49&gt;=8000,M49&lt;10000),(7.85+(M49-8000)*0.02%),IF(AND(M49&gt;=5000,M49&lt;8000),(6.65+(M49-5000)*0.04%),IF(AND(M49&gt;=2000,M49&lt;5000),(4.25+(PM49-2000)*0.08%),IF(AND(M49&gt;=1000,M49&lt;2000),(2.75+(M49-1000)*0.15%),IF(AND(M49&gt;=100,M49&lt;1000),(0.5+(M49-100)*0.25%),IF(AND(M49&gt;0,M49&lt;100),M49*0.5%)))))))</f>
        <v>1.0825</v>
      </c>
      <c r="M67" s="308">
        <f ca="1">ROUND(L67*0.9,1)</f>
        <v>1</v>
      </c>
      <c r="N67" s="2769"/>
      <c r="Z67" s="1938"/>
      <c r="AI67" s="1939"/>
    </row>
    <row r="68" spans="1:35" ht="14.25" customHeight="1" thickBot="1">
      <c r="A68" s="181" t="s">
        <v>774</v>
      </c>
      <c r="B68" s="182" t="s">
        <v>2077</v>
      </c>
      <c r="C68" s="2795">
        <f ca="1">IF(C67&lt;=0,0,ROUND(C67*D68,0))</f>
        <v>17</v>
      </c>
      <c r="D68" s="2796">
        <f>'数据-取费表'!B41</f>
        <v>5.5000000000000007E-2</v>
      </c>
      <c r="E68" s="184"/>
      <c r="F68" s="1994"/>
      <c r="G68" s="1994"/>
      <c r="H68" s="1996"/>
      <c r="I68" s="134"/>
      <c r="J68" s="3245"/>
      <c r="K68" s="1501" t="s">
        <v>2078</v>
      </c>
      <c r="L68" s="1501">
        <f ca="1">IF(M49&gt;10000,M49*0.5%,IF(AND(M49&gt;5000,M49&lt;=10000),M49*1%,IF(AND(M49&gt;1000,M49&lt;=5000),M49*2%,IF(AND(M49&gt;200,M49&lt;=1000),M49*3%,M49*5%))))</f>
        <v>9.99</v>
      </c>
      <c r="M68" s="308">
        <f ca="1">ROUND(L68,1)</f>
        <v>10</v>
      </c>
      <c r="N68" s="2769"/>
      <c r="Z68" s="1938"/>
      <c r="AI68" s="1939"/>
    </row>
    <row r="69" spans="1:35" s="1958" customFormat="1" ht="16.5" customHeight="1">
      <c r="A69" s="1997"/>
      <c r="B69" s="1998"/>
      <c r="C69" s="1999"/>
      <c r="D69" s="2000"/>
      <c r="E69" s="2001"/>
      <c r="F69" s="1763"/>
      <c r="G69" s="1763"/>
      <c r="H69" s="1762"/>
      <c r="I69" s="1933"/>
      <c r="J69" s="3245"/>
      <c r="K69" s="1501" t="s">
        <v>2079</v>
      </c>
      <c r="L69" s="1501"/>
      <c r="M69" s="308">
        <f ca="1">ROUND(SUM(M63:M68),0)</f>
        <v>28</v>
      </c>
      <c r="N69" s="2771">
        <f ca="1">M69/M49</f>
        <v>8.408408408408409E-2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4" t="s">
        <v>2080</v>
      </c>
      <c r="B70" s="3205"/>
      <c r="C70" s="3205"/>
      <c r="D70" s="3205"/>
      <c r="E70" s="3205"/>
      <c r="F70" s="3205"/>
      <c r="G70" s="3205"/>
      <c r="H70" s="320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3" t="s">
        <v>2061</v>
      </c>
      <c r="B71" s="318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317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78" t="s">
        <v>2088</v>
      </c>
      <c r="F76" s="3152"/>
      <c r="G76" s="3152"/>
      <c r="H76" s="320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v>
      </c>
      <c r="D78" s="2803">
        <f>'数据-取费表'!B43</f>
        <v>5.000000000000001E-3</v>
      </c>
      <c r="E78" s="3162" t="s">
        <v>2092</v>
      </c>
      <c r="F78" s="3163"/>
      <c r="G78" s="3163"/>
      <c r="H78" s="317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315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157.5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188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4" t="s">
        <v>2096</v>
      </c>
      <c r="B83" s="3205"/>
      <c r="C83" s="3205"/>
      <c r="D83" s="3205"/>
      <c r="E83" s="3205"/>
      <c r="F83" s="3205"/>
      <c r="G83" s="3205"/>
      <c r="H83" s="320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3" t="s">
        <v>2061</v>
      </c>
      <c r="B84" s="318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317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47" t="s">
        <v>2872</v>
      </c>
      <c r="H90" s="3248"/>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2" t="s">
        <v>2105</v>
      </c>
      <c r="F91" s="3163"/>
      <c r="G91" s="316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2" t="s">
        <v>2108</v>
      </c>
      <c r="F92" s="3163"/>
      <c r="G92" s="3163"/>
      <c r="H92" s="3172"/>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v>
      </c>
      <c r="D93" s="2803">
        <f>'数据-取费表'!B43</f>
        <v>5.000000000000001E-3</v>
      </c>
      <c r="E93" s="3162" t="s">
        <v>2092</v>
      </c>
      <c r="F93" s="3163"/>
      <c r="G93" s="3163"/>
      <c r="H93" s="317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3" t="s">
        <v>2112</v>
      </c>
      <c r="F94" s="3174"/>
      <c r="G94" s="3174"/>
      <c r="H94" s="317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315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157.5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188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6" t="s">
        <v>2114</v>
      </c>
      <c r="B100" s="3147"/>
      <c r="C100" s="3147"/>
      <c r="D100" s="3164"/>
      <c r="E100" s="3147" t="s">
        <v>2115</v>
      </c>
      <c r="F100" s="3147"/>
      <c r="G100" s="3147"/>
      <c r="H100" s="3164"/>
      <c r="I100" s="134"/>
    </row>
    <row r="101" spans="1:35" ht="18.75" customHeight="1">
      <c r="A101" s="3228" t="s">
        <v>2116</v>
      </c>
      <c r="B101" s="3229"/>
      <c r="C101" s="2811" t="str">
        <f>C4</f>
        <v>成本法</v>
      </c>
      <c r="D101" s="2812" t="str">
        <f>D4</f>
        <v>收益法</v>
      </c>
      <c r="E101" s="3242" t="s">
        <v>2117</v>
      </c>
      <c r="F101" s="3196"/>
      <c r="G101" s="2013" t="s">
        <v>2118</v>
      </c>
      <c r="H101" s="2821">
        <f ca="1">H118</f>
        <v>333</v>
      </c>
      <c r="I101" s="134"/>
    </row>
    <row r="102" spans="1:35" ht="18.75" customHeight="1">
      <c r="A102" s="3198" t="s">
        <v>2119</v>
      </c>
      <c r="B102" s="2810" t="s">
        <v>2118</v>
      </c>
      <c r="C102" s="2811">
        <f ca="1">C19</f>
        <v>284</v>
      </c>
      <c r="D102" s="2812">
        <f ca="1">D19</f>
        <v>527</v>
      </c>
      <c r="E102" s="3242"/>
      <c r="F102" s="3196"/>
      <c r="G102" s="2013" t="s">
        <v>2120</v>
      </c>
      <c r="H102" s="2781">
        <f ca="1">I118</f>
        <v>16792</v>
      </c>
      <c r="I102" s="134"/>
    </row>
    <row r="103" spans="1:35" ht="42.75" customHeight="1">
      <c r="A103" s="3198"/>
      <c r="B103" s="2810" t="s">
        <v>2120</v>
      </c>
      <c r="C103" s="2813">
        <f ca="1">C20</f>
        <v>14338</v>
      </c>
      <c r="D103" s="2814">
        <f ca="1">D20</f>
        <v>26607</v>
      </c>
      <c r="E103" s="3236" t="s">
        <v>2121</v>
      </c>
      <c r="F103" s="3237"/>
      <c r="G103" s="2014" t="s">
        <v>2122</v>
      </c>
      <c r="H103" s="2821">
        <f>IF(D36="正常操作",H104+H105+H106,H105+H106)</f>
        <v>0</v>
      </c>
      <c r="I103" s="134"/>
    </row>
    <row r="104" spans="1:35" ht="18.75" customHeight="1">
      <c r="A104" s="3198" t="s">
        <v>2123</v>
      </c>
      <c r="B104" s="2815" t="s">
        <v>2118</v>
      </c>
      <c r="C104" s="2816">
        <f ca="1">H118</f>
        <v>333</v>
      </c>
      <c r="D104" s="2817"/>
      <c r="E104" s="1860" t="s">
        <v>2124</v>
      </c>
      <c r="F104" s="1851"/>
      <c r="G104" s="2014" t="s">
        <v>2122</v>
      </c>
      <c r="H104" s="2822">
        <f>IF(D36="同一抵押权人同一抵押物续贷",C36&amp;"（续贷，未扣减，详见特别提示）",C36)</f>
        <v>0</v>
      </c>
      <c r="I104" s="134"/>
    </row>
    <row r="105" spans="1:35" ht="18.75" customHeight="1" thickBot="1">
      <c r="A105" s="3199"/>
      <c r="B105" s="2818" t="s">
        <v>2120</v>
      </c>
      <c r="C105" s="2819">
        <f ca="1">I118</f>
        <v>16792</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5" t="str">
        <f>IF(项目基本情况!E8="已注销","——","3.房地产抵押价值")</f>
        <v>——</v>
      </c>
      <c r="F107" s="3196"/>
      <c r="G107" s="2013" t="s">
        <v>2118</v>
      </c>
      <c r="H107" s="2821" t="str">
        <f>IF(E107="——","——",H101-H103)</f>
        <v>——</v>
      </c>
      <c r="I107" s="134"/>
    </row>
    <row r="108" spans="1:35" ht="18.75" customHeight="1">
      <c r="A108" s="134"/>
      <c r="B108" s="134"/>
      <c r="C108" s="134"/>
      <c r="D108" s="134"/>
      <c r="E108" s="3195"/>
      <c r="F108" s="3196"/>
      <c r="G108" s="2013" t="s">
        <v>2120</v>
      </c>
      <c r="H108" s="2781" t="e">
        <f>ROUND(H107*10000/'数据-汇总表'!E3,0)</f>
        <v>#VALUE!</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3.抵押担保权已注销时的房地产抵押价值</v>
      </c>
      <c r="F109" s="3196"/>
      <c r="G109" s="2013" t="s">
        <v>2118</v>
      </c>
      <c r="H109" s="2824">
        <f ca="1">IF(E109="——","——",H101-H105-H106)</f>
        <v>333</v>
      </c>
      <c r="I109" s="134"/>
    </row>
    <row r="110" spans="1:35" ht="18.75" customHeight="1">
      <c r="A110" s="134"/>
      <c r="B110" s="134"/>
      <c r="C110" s="134"/>
      <c r="D110" s="134"/>
      <c r="E110" s="3195"/>
      <c r="F110" s="3196"/>
      <c r="G110" s="2013" t="s">
        <v>2120</v>
      </c>
      <c r="H110" s="2781">
        <f ca="1">IF(H109="——","——",ROUND(H109*10000/'数据-汇总表'!E3,0))</f>
        <v>16812</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3" t="s">
        <v>2118</v>
      </c>
      <c r="H111" s="2821" t="str">
        <f>IF(E111="——","——",N59)</f>
        <v>——</v>
      </c>
      <c r="I111" s="134"/>
    </row>
    <row r="112" spans="1:35" ht="18.75" customHeight="1" thickBot="1">
      <c r="A112" s="134"/>
      <c r="B112" s="134"/>
      <c r="C112" s="134"/>
      <c r="D112" s="134"/>
      <c r="E112" s="3231"/>
      <c r="F112" s="3232"/>
      <c r="G112" s="2016" t="s">
        <v>2120</v>
      </c>
      <c r="H112" s="2825" t="str">
        <f>IF(E111="——","——",N61)</f>
        <v>——</v>
      </c>
      <c r="I112" s="134"/>
    </row>
    <row r="113" spans="1:27" ht="18.75" customHeight="1">
      <c r="A113" s="134"/>
      <c r="B113" s="134"/>
      <c r="C113" s="134"/>
      <c r="D113" s="134"/>
      <c r="E113" s="3200" t="s">
        <v>2126</v>
      </c>
      <c r="F113" s="3200"/>
      <c r="G113" s="3200"/>
      <c r="H113" s="3200"/>
      <c r="I113" s="134"/>
    </row>
    <row r="114" spans="1:27" ht="3.75" customHeight="1">
      <c r="A114" s="1933"/>
      <c r="B114" s="1933"/>
      <c r="C114" s="1933"/>
      <c r="D114" s="1933"/>
      <c r="E114" s="1995"/>
      <c r="F114" s="1995"/>
      <c r="G114" s="1995"/>
      <c r="H114" s="1995"/>
      <c r="I114" s="1933"/>
    </row>
    <row r="115" spans="1:27" ht="18.75" customHeight="1">
      <c r="A115" s="3213" t="s">
        <v>2128</v>
      </c>
      <c r="B115" s="3214"/>
      <c r="C115" s="3214"/>
      <c r="D115" s="3214"/>
      <c r="E115" s="3214"/>
      <c r="F115" s="3214"/>
      <c r="G115" s="3214"/>
      <c r="H115" s="3214"/>
      <c r="I115" s="3215"/>
    </row>
    <row r="116" spans="1:27" ht="27" customHeight="1">
      <c r="A116" s="3166" t="s">
        <v>2129</v>
      </c>
      <c r="B116" s="3201" t="s">
        <v>2130</v>
      </c>
      <c r="C116" s="3201" t="s">
        <v>2131</v>
      </c>
      <c r="D116" s="3217" t="s">
        <v>2132</v>
      </c>
      <c r="E116" s="3218"/>
      <c r="F116" s="3209" t="s">
        <v>2133</v>
      </c>
      <c r="G116" s="3209"/>
      <c r="H116" s="3166" t="s">
        <v>2134</v>
      </c>
      <c r="I116" s="3166"/>
    </row>
    <row r="117" spans="1:27" ht="18.75" customHeight="1">
      <c r="A117" s="3166"/>
      <c r="B117" s="3202"/>
      <c r="C117" s="3202"/>
      <c r="D117" s="2552" t="s">
        <v>2135</v>
      </c>
      <c r="E117" s="2552" t="s">
        <v>2136</v>
      </c>
      <c r="F117" s="2552" t="s">
        <v>2135</v>
      </c>
      <c r="G117" s="2552" t="s">
        <v>2137</v>
      </c>
      <c r="H117" s="2552" t="s">
        <v>2135</v>
      </c>
      <c r="I117" s="2552" t="s">
        <v>2137</v>
      </c>
    </row>
    <row r="118" spans="1:27" ht="24.75" customHeight="1">
      <c r="A118" s="2826" t="str">
        <f>项目基本情况!S2</f>
        <v>房地产</v>
      </c>
      <c r="B118" s="2552">
        <f>M18</f>
        <v>198.07</v>
      </c>
      <c r="C118" s="2552">
        <f>M19</f>
        <v>1442.46</v>
      </c>
      <c r="D118" s="2552">
        <f ca="1">ROUND(IF(D32="总价",C34,E118*B118/10000),0)</f>
        <v>216</v>
      </c>
      <c r="E118" s="2552">
        <f ca="1">ROUND(IF(C33="自定义",IF(D32="楼面单价",C34,D118*10000/B118),I118-G118),0)</f>
        <v>10915</v>
      </c>
      <c r="F118" s="2552">
        <f ca="1">ROUND(IF(D32="总价",C35,G118*B118/10000),0)</f>
        <v>116</v>
      </c>
      <c r="G118" s="2552">
        <f ca="1">ROUND(IF(D32="楼面单价",C35,F118*10000/B118),0)</f>
        <v>5877</v>
      </c>
      <c r="H118" s="2552">
        <f ca="1">ROUND(IF(D32="总价",C32,I118*B118/10000),0)</f>
        <v>333</v>
      </c>
      <c r="I118" s="2552">
        <f ca="1">ROUND(IF(D32="楼面单价",C32,H118*10000/B118),0)</f>
        <v>16792</v>
      </c>
    </row>
    <row r="119" spans="1:27" ht="18.75" customHeight="1">
      <c r="A119" s="3166" t="s">
        <v>2138</v>
      </c>
      <c r="B119" s="3166"/>
      <c r="C119" s="3166"/>
      <c r="D119" s="3206" t="str">
        <f ca="1">NUMBERSTRING(INT(D118*10000),2)&amp;"元整"</f>
        <v>贰佰壹拾陆万元整</v>
      </c>
      <c r="E119" s="3208"/>
      <c r="F119" s="3206" t="str">
        <f ca="1">NUMBERSTRING(INT(F118*10000),2)&amp;"元整"</f>
        <v>壹佰壹拾陆万元整</v>
      </c>
      <c r="G119" s="3208"/>
      <c r="H119" s="3206" t="str">
        <f ca="1">NUMBERSTRING(INT(H118*10000),2)&amp;"元整"</f>
        <v>叁佰叁拾叁万元整</v>
      </c>
      <c r="I119" s="3208"/>
    </row>
    <row r="120" spans="1:27" ht="18.75" customHeight="1">
      <c r="A120" s="3233" t="str">
        <f>IF(项目基本情况!B9="房地产市场价值","",MID(E103,3,LEN(E103)-2))</f>
        <v/>
      </c>
      <c r="B120" s="3234"/>
      <c r="C120" s="3235"/>
      <c r="D120" s="3233">
        <f>H103</f>
        <v>0</v>
      </c>
      <c r="E120" s="3234"/>
      <c r="F120" s="3234"/>
      <c r="G120" s="3234"/>
      <c r="H120" s="3234"/>
      <c r="I120" s="3235"/>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10" t="s">
        <v>2138</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
      </c>
      <c r="B122" s="3197"/>
      <c r="C122" s="3197"/>
      <c r="D122" s="3233" t="str">
        <f>H107</f>
        <v>——</v>
      </c>
      <c r="E122" s="3234"/>
      <c r="F122" s="3234"/>
      <c r="G122" s="3234"/>
      <c r="H122" s="3234"/>
      <c r="I122" s="3235"/>
      <c r="AA122" s="734"/>
    </row>
    <row r="123" spans="1:27" ht="18.75" customHeight="1">
      <c r="A123" s="3166" t="s">
        <v>2138</v>
      </c>
      <c r="B123" s="3166"/>
      <c r="C123" s="3166"/>
      <c r="D123" s="3206" t="e">
        <f>NUMBERSTRING(INT(D122*10000),2)&amp;"元整"</f>
        <v>#VALUE!</v>
      </c>
      <c r="E123" s="3207"/>
      <c r="F123" s="3207"/>
      <c r="G123" s="3207"/>
      <c r="H123" s="3207"/>
      <c r="I123" s="3208"/>
      <c r="AA123" s="734"/>
    </row>
    <row r="124" spans="1:27" ht="18.75" customHeight="1">
      <c r="A124" s="3197" t="str">
        <f>IF(项目基本情况!B9="房地产市场价值","",MID(E109,3,LEN(E109)-2))</f>
        <v/>
      </c>
      <c r="B124" s="3197"/>
      <c r="C124" s="3197"/>
      <c r="D124" s="3233">
        <f ca="1">H109</f>
        <v>333</v>
      </c>
      <c r="E124" s="3234"/>
      <c r="F124" s="3234"/>
      <c r="G124" s="3234"/>
      <c r="H124" s="3234"/>
      <c r="I124" s="3235"/>
      <c r="AA124" s="734"/>
    </row>
    <row r="125" spans="1:27" ht="18.75" customHeight="1">
      <c r="A125" s="3166" t="s">
        <v>2138</v>
      </c>
      <c r="B125" s="3166"/>
      <c r="C125" s="3166"/>
      <c r="D125" s="3206" t="str">
        <f ca="1">NUMBERSTRING(INT(D124*10000),2)&amp;"元整"</f>
        <v>叁佰叁拾叁万元整</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2138</v>
      </c>
      <c r="B127" s="3166"/>
      <c r="C127" s="3166"/>
      <c r="D127" s="3206" t="e">
        <f>NUMBERSTRING(INT(D126*10000),2)&amp;"元整"</f>
        <v>#VALUE!</v>
      </c>
      <c r="E127" s="3207"/>
      <c r="F127" s="3207"/>
      <c r="G127" s="3207"/>
      <c r="H127" s="3207"/>
      <c r="I127" s="3208"/>
      <c r="AA127" s="734"/>
    </row>
    <row r="128" spans="1:27" ht="21.75" customHeight="1">
      <c r="A128" s="3216" t="s">
        <v>2139</v>
      </c>
      <c r="B128" s="3216"/>
      <c r="C128" s="3216"/>
      <c r="D128" s="3216"/>
      <c r="E128" s="3216"/>
      <c r="F128" s="3216"/>
      <c r="G128" s="3216"/>
      <c r="H128" s="3216"/>
      <c r="I128" s="321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284</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14338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183</v>
      </c>
      <c r="D5" s="217" t="s">
        <v>2155</v>
      </c>
      <c r="E5" s="218" t="s">
        <v>2156</v>
      </c>
      <c r="F5" s="218" t="s">
        <v>2157</v>
      </c>
      <c r="G5" s="219"/>
    </row>
    <row r="6" spans="1:9" s="220" customFormat="1" ht="13.5" customHeight="1">
      <c r="A6" s="886" t="s">
        <v>2158</v>
      </c>
      <c r="B6" s="221" t="s">
        <v>2159</v>
      </c>
      <c r="C6" s="222">
        <f>'比较法-土地'!B2</f>
        <v>178</v>
      </c>
      <c r="D6" s="223"/>
      <c r="E6" s="224"/>
      <c r="F6" s="224"/>
      <c r="G6" s="225"/>
    </row>
    <row r="7" spans="1:9" s="220" customFormat="1" ht="13.5" customHeight="1">
      <c r="A7" s="886" t="s">
        <v>2160</v>
      </c>
      <c r="B7" s="221" t="s">
        <v>2161</v>
      </c>
      <c r="C7" s="226">
        <f>ROUND(C6*F7,0)</f>
        <v>5</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2" t="s">
        <v>1116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customHeight="1">
      <c r="A10" s="887" t="s">
        <v>801</v>
      </c>
      <c r="B10" s="230" t="s">
        <v>2166</v>
      </c>
      <c r="C10" s="231">
        <f ca="1">ROUND(D10*E10/10000,0)</f>
        <v>3</v>
      </c>
      <c r="D10" s="954">
        <f ca="1">IF(B1="",'数据-汇总表'!E6,IF(INDIRECT("'数据-取费表'!c"&amp;$G$1)="住宅",INDIRECT("'数据-取费表'!s"&amp;$G$1),INDIRECT("'数据-取费表'!k"&amp;$G$1)+INDIRECT("'数据-取费表'!s"&amp;$G$1)))</f>
        <v>198.07</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198.07</v>
      </c>
      <c r="E19" s="217">
        <f>'数据-取费表'!B31</f>
        <v>200</v>
      </c>
      <c r="F19" s="237"/>
      <c r="G19" s="2042" t="s">
        <v>3076</v>
      </c>
    </row>
    <row r="20" spans="1:7" s="220" customFormat="1" ht="13.5" customHeight="1">
      <c r="A20" s="261" t="s">
        <v>2179</v>
      </c>
      <c r="B20" s="216" t="s">
        <v>2180</v>
      </c>
      <c r="C20" s="238">
        <f>ROUND((C5+C19)*F20,0)</f>
        <v>9</v>
      </c>
      <c r="D20" s="238"/>
      <c r="E20" s="238"/>
      <c r="F20" s="239">
        <f>'数据-取费表'!B37</f>
        <v>0.05</v>
      </c>
      <c r="G20" s="240" t="s">
        <v>2181</v>
      </c>
    </row>
    <row r="21" spans="1:7" s="220" customFormat="1" ht="13.5" customHeight="1">
      <c r="A21" s="261" t="s">
        <v>2182</v>
      </c>
      <c r="B21" s="216" t="s">
        <v>2183</v>
      </c>
      <c r="C21" s="241">
        <f>F21</f>
        <v>0.05</v>
      </c>
      <c r="D21" s="242" t="s">
        <v>2184</v>
      </c>
      <c r="E21" s="238"/>
      <c r="F21" s="239">
        <f>'数据-取费表'!B38</f>
        <v>0.05</v>
      </c>
      <c r="G21" s="240" t="s">
        <v>2185</v>
      </c>
    </row>
    <row r="22" spans="1:7" s="220" customFormat="1" ht="13.5" customHeight="1">
      <c r="A22" s="261" t="s">
        <v>2186</v>
      </c>
      <c r="B22" s="216" t="s">
        <v>2187</v>
      </c>
      <c r="C22" s="1264">
        <f ca="1">ROUND(SUM(C23:C25),0)</f>
        <v>7</v>
      </c>
      <c r="D22" s="241">
        <f ca="1">C26</f>
        <v>1E-3</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10</v>
      </c>
      <c r="D27" s="241">
        <f ca="1">C29</f>
        <v>2.5000000000000001E-3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10</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234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40</v>
      </c>
      <c r="D34" s="223"/>
      <c r="E34" s="226"/>
      <c r="F34" s="263">
        <f ca="1">IF('数据-取费表'!B24=0,1,IF(B1="",'数据-取费表'!N16,INDIRECT("'数据-取费表'!n"&amp;$G$1)))</f>
        <v>1</v>
      </c>
      <c r="G34" s="225" t="s">
        <v>2212</v>
      </c>
    </row>
    <row r="35" spans="1:7" ht="13.5" customHeight="1">
      <c r="A35" s="888" t="s">
        <v>796</v>
      </c>
      <c r="B35" s="221" t="s">
        <v>2213</v>
      </c>
      <c r="C35" s="226">
        <f ca="1">ROUND(C34*F35,0)</f>
        <v>2</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3</v>
      </c>
      <c r="D37" s="223">
        <f ca="1">D19</f>
        <v>198.07</v>
      </c>
      <c r="E37" s="255">
        <f>'数据-取费表'!B35</f>
        <v>140</v>
      </c>
      <c r="F37" s="265"/>
      <c r="G37" s="267" t="s">
        <v>2218</v>
      </c>
    </row>
    <row r="38" spans="1:7" ht="13.5" customHeight="1">
      <c r="A38" s="888"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2</v>
      </c>
      <c r="D39" s="238"/>
      <c r="E39" s="238"/>
      <c r="F39" s="2535">
        <f>F20</f>
        <v>0.05</v>
      </c>
      <c r="G39" s="240" t="s">
        <v>2222</v>
      </c>
    </row>
    <row r="40" spans="1:7" s="220" customFormat="1" ht="13.5" customHeight="1">
      <c r="A40" s="261" t="s">
        <v>2223</v>
      </c>
      <c r="B40" s="216" t="s">
        <v>2224</v>
      </c>
      <c r="C40" s="1495">
        <f>F21</f>
        <v>0.05</v>
      </c>
      <c r="D40" s="242" t="s">
        <v>2225</v>
      </c>
      <c r="E40" s="238"/>
      <c r="F40" s="2535">
        <f>F21</f>
        <v>0.05</v>
      </c>
      <c r="G40" s="240" t="s">
        <v>2226</v>
      </c>
    </row>
    <row r="41" spans="1:7" s="220" customFormat="1" ht="13.5" customHeight="1">
      <c r="A41" s="261" t="s">
        <v>2227</v>
      </c>
      <c r="B41" s="216" t="s">
        <v>2228</v>
      </c>
      <c r="C41" s="238">
        <f ca="1">ROUND(SUM(C42:C43),0)</f>
        <v>0</v>
      </c>
      <c r="D41" s="241">
        <f ca="1">C44</f>
        <v>5.0000000000000001E-4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0</v>
      </c>
      <c r="D42" s="244"/>
      <c r="E42" s="244"/>
      <c r="F42" s="245"/>
      <c r="G42" s="3249" t="s">
        <v>2230</v>
      </c>
    </row>
    <row r="43" spans="1:7" ht="13.5" customHeight="1">
      <c r="A43" s="888" t="s">
        <v>792</v>
      </c>
      <c r="B43" s="221" t="s">
        <v>2231</v>
      </c>
      <c r="C43" s="244">
        <f ca="1">ROUND(IF('数据-取费表'!B22&lt;=1,C39*F22*'数据-取费表'!B21/2,C39*(POWER((1+F22),'数据-取费表'!B21/2)-1)),0)</f>
        <v>0</v>
      </c>
      <c r="D43" s="244"/>
      <c r="E43" s="244"/>
      <c r="F43" s="245"/>
      <c r="G43" s="3250"/>
    </row>
    <row r="44" spans="1:7" ht="13.5" customHeight="1">
      <c r="A44" s="888" t="s">
        <v>793</v>
      </c>
      <c r="B44" s="221" t="s">
        <v>2232</v>
      </c>
      <c r="C44" s="244">
        <f ca="1">ROUND(IF('数据-取费表'!B22&lt;=1,C40*F22*'数据-取费表'!B21/2,C40*(POWER((1+F22),'数据-取费表'!B21/2)-1)),4)</f>
        <v>5.0000000000000001E-4</v>
      </c>
      <c r="D44" s="244"/>
      <c r="E44" s="244"/>
      <c r="F44" s="245"/>
      <c r="G44" s="3251"/>
    </row>
    <row r="45" spans="1:7" s="220" customFormat="1" ht="13.5" customHeight="1">
      <c r="A45" s="261" t="s">
        <v>2233</v>
      </c>
      <c r="B45" s="250" t="s">
        <v>2199</v>
      </c>
      <c r="C45" s="251">
        <f ca="1">C46</f>
        <v>2</v>
      </c>
      <c r="D45" s="241">
        <f ca="1">C47</f>
        <v>2.5000000000000001E-3</v>
      </c>
      <c r="E45" s="242" t="s">
        <v>2225</v>
      </c>
      <c r="F45" s="2537">
        <f ca="1">F27</f>
        <v>0.05</v>
      </c>
      <c r="G45" s="253" t="s">
        <v>2234</v>
      </c>
    </row>
    <row r="46" spans="1:7" s="220" customFormat="1" ht="13.5" customHeight="1">
      <c r="A46" s="888" t="s">
        <v>791</v>
      </c>
      <c r="B46" s="254" t="s">
        <v>2235</v>
      </c>
      <c r="C46" s="255">
        <f ca="1">ROUND((C33+C39)*F27,0)</f>
        <v>2</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56</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50</v>
      </c>
      <c r="D51" s="238"/>
      <c r="E51" s="238"/>
      <c r="F51" s="270"/>
      <c r="G51" s="240" t="s">
        <v>2246</v>
      </c>
    </row>
    <row r="52" spans="1:7" s="214" customFormat="1" ht="16.5" thickBot="1">
      <c r="A52" s="271" t="s">
        <v>2247</v>
      </c>
      <c r="B52" s="272"/>
      <c r="C52" s="273">
        <f ca="1">C31+C51</f>
        <v>284</v>
      </c>
      <c r="D52" s="272"/>
      <c r="E52" s="272"/>
      <c r="F52" s="272"/>
      <c r="G52" s="274"/>
    </row>
    <row r="55" spans="1:7" ht="15">
      <c r="B55" s="276" t="s">
        <v>2248</v>
      </c>
      <c r="C55" s="277"/>
    </row>
    <row r="56" spans="1:7">
      <c r="B56" s="279" t="s">
        <v>1478</v>
      </c>
      <c r="C56" s="281">
        <f ca="1">1-C57</f>
        <v>0.82400000000000007</v>
      </c>
    </row>
    <row r="57" spans="1:7">
      <c r="B57" s="279" t="s">
        <v>1479</v>
      </c>
      <c r="C57" s="280">
        <f ca="1">ROUND(C51/C52,3)</f>
        <v>0.17599999999999999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房地产市场价值预评估</v>
      </c>
      <c r="C37" s="3060"/>
      <c r="D37" s="3060"/>
      <c r="E37" s="3060"/>
      <c r="F37" s="3060"/>
      <c r="G37" s="3060"/>
      <c r="H37" s="3060"/>
      <c r="I37" s="306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27730</v>
      </c>
      <c r="D10" s="954">
        <f ca="1">IF(B1="",'数据-汇总表'!E6,IF(INDIRECT("'数据-取费表'!c"&amp;$G$1)="住宅",INDIRECT("'数据-取费表'!s"&amp;$G$1),INDIRECT("'数据-取费表'!k"&amp;$G$1)+INDIRECT("'数据-取费表'!s"&amp;$G$1)))</f>
        <v>198.07</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198.07</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0.05</v>
      </c>
      <c r="G20" s="240" t="s">
        <v>2262</v>
      </c>
    </row>
    <row r="21" spans="1:7" s="220" customFormat="1" ht="13.5" customHeight="1">
      <c r="A21" s="261" t="s">
        <v>2263</v>
      </c>
      <c r="B21" s="216" t="s">
        <v>2264</v>
      </c>
      <c r="C21" s="241">
        <f>F21</f>
        <v>0.05</v>
      </c>
      <c r="D21" s="242" t="s">
        <v>2265</v>
      </c>
      <c r="E21" s="238"/>
      <c r="F21" s="239">
        <f>'数据-取费表'!B38</f>
        <v>0.05</v>
      </c>
      <c r="G21" s="240" t="s">
        <v>2266</v>
      </c>
    </row>
    <row r="22" spans="1:7" s="220" customFormat="1" ht="13.5" customHeight="1">
      <c r="A22" s="261" t="s">
        <v>2267</v>
      </c>
      <c r="B22" s="216" t="s">
        <v>2268</v>
      </c>
      <c r="C22" s="1289" t="e">
        <f ca="1">ROUND(SUM(C23:C25),0)</f>
        <v>#REF!</v>
      </c>
      <c r="D22" s="241">
        <f ca="1">C26</f>
        <v>1E-3</v>
      </c>
      <c r="E22" s="242" t="s">
        <v>2265</v>
      </c>
      <c r="F22" s="243">
        <f ca="1">'数据-取费表'!B40</f>
        <v>3.85E-2</v>
      </c>
      <c r="G22" s="240" t="str">
        <f>IF('数据-取费表'!B22&lt;=1,"单利计息","复利计息")</f>
        <v>单利计息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t="e">
        <f ca="1">C28</f>
        <v>#REF!</v>
      </c>
      <c r="D27" s="241">
        <f ca="1">C29</f>
        <v>2.5000000000000001E-3</v>
      </c>
      <c r="E27" s="242" t="s">
        <v>2200</v>
      </c>
      <c r="F27" s="252">
        <f ca="1">IF(B1="",'数据-取费表'!Q16,INDIRECT("'数据-取费表'!q"&amp;$G$1))</f>
        <v>0.05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2.5000000000000001E-3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449619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396140</v>
      </c>
      <c r="D34" s="223"/>
      <c r="E34" s="226"/>
      <c r="F34" s="263"/>
      <c r="G34" s="225"/>
    </row>
    <row r="35" spans="1:7" ht="13.5" customHeight="1">
      <c r="A35" s="888" t="s">
        <v>796</v>
      </c>
      <c r="B35" s="221" t="s">
        <v>2213</v>
      </c>
      <c r="C35" s="226">
        <f ca="1">ROUND(C34*F35,0)</f>
        <v>19807</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27730</v>
      </c>
      <c r="D37" s="223">
        <f ca="1">D19</f>
        <v>198.07</v>
      </c>
      <c r="E37" s="255">
        <f>'数据-取费表'!B35</f>
        <v>140</v>
      </c>
      <c r="F37" s="265"/>
      <c r="G37" s="267"/>
    </row>
    <row r="38" spans="1:7" ht="13.5" customHeight="1">
      <c r="A38" s="888" t="s">
        <v>799</v>
      </c>
      <c r="B38" s="221" t="s">
        <v>2219</v>
      </c>
      <c r="C38" s="226">
        <f ca="1">ROUND(C34*F38,0)</f>
        <v>5942</v>
      </c>
      <c r="D38" s="226"/>
      <c r="E38" s="226"/>
      <c r="F38" s="265">
        <f>'数据-取费表'!B36</f>
        <v>1.4999999999999999E-2</v>
      </c>
      <c r="G38" s="225" t="s">
        <v>2214</v>
      </c>
    </row>
    <row r="39" spans="1:7" s="220" customFormat="1" ht="13.5" customHeight="1">
      <c r="A39" s="261" t="s">
        <v>2220</v>
      </c>
      <c r="B39" s="216" t="s">
        <v>2221</v>
      </c>
      <c r="C39" s="238">
        <f ca="1">ROUND(C33*F20,0)</f>
        <v>22481</v>
      </c>
      <c r="D39" s="238"/>
      <c r="E39" s="238"/>
      <c r="F39" s="2535">
        <f>F20</f>
        <v>0.05</v>
      </c>
      <c r="G39" s="240" t="s">
        <v>2222</v>
      </c>
    </row>
    <row r="40" spans="1:7" s="220" customFormat="1" ht="13.5" customHeight="1">
      <c r="A40" s="261" t="s">
        <v>2223</v>
      </c>
      <c r="B40" s="216" t="s">
        <v>2224</v>
      </c>
      <c r="C40" s="1495">
        <f>F21</f>
        <v>0.05</v>
      </c>
      <c r="D40" s="242" t="s">
        <v>2225</v>
      </c>
      <c r="E40" s="238"/>
      <c r="F40" s="2535">
        <f>F21</f>
        <v>0.05</v>
      </c>
      <c r="G40" s="240" t="s">
        <v>2226</v>
      </c>
    </row>
    <row r="41" spans="1:7" s="220" customFormat="1" ht="13.5" customHeight="1">
      <c r="A41" s="261" t="s">
        <v>2227</v>
      </c>
      <c r="B41" s="216" t="s">
        <v>2228</v>
      </c>
      <c r="C41" s="238">
        <f ca="1">ROUND(SUM(C42:C43),0)</f>
        <v>4544</v>
      </c>
      <c r="D41" s="241">
        <f ca="1">C44</f>
        <v>5.0000000000000001E-4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4328</v>
      </c>
      <c r="D42" s="244"/>
      <c r="E42" s="244"/>
      <c r="F42" s="245"/>
      <c r="G42" s="3249" t="s">
        <v>2277</v>
      </c>
    </row>
    <row r="43" spans="1:7" ht="13.5" customHeight="1">
      <c r="A43" s="888" t="s">
        <v>792</v>
      </c>
      <c r="B43" s="221" t="s">
        <v>2231</v>
      </c>
      <c r="C43" s="244">
        <f ca="1">ROUND(IF('数据-取费表'!B22&lt;=1,C39*F22*'数据-取费表'!B20/2,C39*(POWER((1+F22),'数据-取费表'!B20/2)-1)),0)</f>
        <v>216</v>
      </c>
      <c r="D43" s="244"/>
      <c r="E43" s="244"/>
      <c r="F43" s="245"/>
      <c r="G43" s="3250"/>
    </row>
    <row r="44" spans="1:7" ht="13.5" customHeight="1">
      <c r="A44" s="888" t="s">
        <v>793</v>
      </c>
      <c r="B44" s="221" t="s">
        <v>2232</v>
      </c>
      <c r="C44" s="244">
        <f ca="1">ROUND(IF('数据-取费表'!B22&lt;=1,C40*F22*'数据-取费表'!B20/2,C40*(POWER((1+F22),'数据-取费表'!B20/2)-1)),4)</f>
        <v>5.0000000000000001E-4</v>
      </c>
      <c r="D44" s="244"/>
      <c r="E44" s="244"/>
      <c r="F44" s="245"/>
      <c r="G44" s="3251"/>
    </row>
    <row r="45" spans="1:7" s="220" customFormat="1" ht="13.5" customHeight="1">
      <c r="A45" s="261" t="s">
        <v>2233</v>
      </c>
      <c r="B45" s="250" t="s">
        <v>2199</v>
      </c>
      <c r="C45" s="251">
        <f ca="1">C46</f>
        <v>23605</v>
      </c>
      <c r="D45" s="241">
        <f ca="1">C47</f>
        <v>2.5000000000000001E-3</v>
      </c>
      <c r="E45" s="242" t="s">
        <v>2225</v>
      </c>
      <c r="F45" s="2537">
        <f ca="1">F27</f>
        <v>0.05</v>
      </c>
      <c r="G45" s="253" t="s">
        <v>2234</v>
      </c>
    </row>
    <row r="46" spans="1:7" s="220" customFormat="1" ht="13.5" customHeight="1">
      <c r="A46" s="888" t="s">
        <v>791</v>
      </c>
      <c r="B46" s="254" t="s">
        <v>2235</v>
      </c>
      <c r="C46" s="255">
        <f ca="1">ROUND((C33+C39)*F27,0)</f>
        <v>23605</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559187</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503268</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198.07</v>
      </c>
      <c r="E14" s="24">
        <f>'数据-取费表'!B35</f>
        <v>140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198.07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3</v>
      </c>
      <c r="D20" s="955">
        <f ca="1">IF(C1="",'数据-汇总表'!E6,IF(INDIRECT("'数据-取费表'!c"&amp;$K$1)="住宅",INDIRECT("'数据-取费表'!s"&amp;$K$1),INDIRECT("'数据-取费表'!k"&amp;$K$1)+INDIRECT("'数据-取费表'!s"&amp;$K$1)))</f>
        <v>198.07</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0.05</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0.05</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6" zoomScale="90" zoomScaleNormal="70" zoomScaleSheetLayoutView="9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527</v>
      </c>
      <c r="C2" s="1571" t="s">
        <v>1481</v>
      </c>
      <c r="D2" s="1571"/>
      <c r="E2" s="1572"/>
      <c r="F2" s="1573"/>
      <c r="G2" s="2935"/>
      <c r="H2" s="2924"/>
      <c r="I2" s="2924"/>
      <c r="J2" s="2924"/>
      <c r="K2" s="2925"/>
      <c r="L2" s="2924"/>
      <c r="M2" s="2924"/>
    </row>
    <row r="3" spans="1:37" ht="18" customHeight="1" thickBot="1">
      <c r="A3" s="1574" t="s">
        <v>1482</v>
      </c>
      <c r="B3" s="1575">
        <f ca="1">IF(ISERROR(B2*10000/F43),0,ROUND(B2*10000/F43,0))</f>
        <v>26607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v>
      </c>
      <c r="D5" s="1548" t="s">
        <v>1367</v>
      </c>
      <c r="E5" s="1203"/>
      <c r="F5" s="1204"/>
      <c r="G5" s="1568"/>
      <c r="H5" s="305">
        <v>1</v>
      </c>
      <c r="I5" s="306" t="s">
        <v>1366</v>
      </c>
      <c r="J5" s="1202">
        <f ca="1">J6+J10+J12</f>
        <v>44</v>
      </c>
      <c r="K5" s="1548" t="s">
        <v>1367</v>
      </c>
      <c r="L5" s="1203"/>
      <c r="M5" s="1204"/>
    </row>
    <row r="6" spans="1:37" ht="18" customHeight="1">
      <c r="A6" s="1201" t="s">
        <v>1003</v>
      </c>
      <c r="B6" s="3254" t="s">
        <v>1368</v>
      </c>
      <c r="C6" s="1206">
        <f ca="1">ROUND(F6*F8*F7*(1-F9)/10000,0)</f>
        <v>52</v>
      </c>
      <c r="D6" s="160" t="s">
        <v>2851</v>
      </c>
      <c r="E6" s="308" t="s">
        <v>1370</v>
      </c>
      <c r="F6" s="309">
        <f ca="1">INDIRECT("'数据-取费表'!u"&amp;$G$1)</f>
        <v>519000</v>
      </c>
      <c r="G6" s="1568"/>
      <c r="H6" s="1201" t="s">
        <v>1003</v>
      </c>
      <c r="I6" s="3254" t="s">
        <v>1368</v>
      </c>
      <c r="J6" s="307">
        <f ca="1">ROUND(M6*M8*M7*(1-M9)/10000,0)</f>
        <v>44</v>
      </c>
      <c r="K6" s="160" t="s">
        <v>2850</v>
      </c>
      <c r="L6" s="308" t="s">
        <v>1370</v>
      </c>
      <c r="M6" s="309">
        <f ca="1">INDIRECT("'数据-取费表'!z"&amp;$G$1)</f>
        <v>519000</v>
      </c>
    </row>
    <row r="7" spans="1:37" ht="18" customHeight="1">
      <c r="A7" s="1205"/>
      <c r="B7" s="3255"/>
      <c r="C7" s="1207"/>
      <c r="D7" s="313"/>
      <c r="E7" s="1208" t="s">
        <v>1371</v>
      </c>
      <c r="F7" s="309">
        <f ca="1">IF(INDIRECT("'数据-取费表'!ah"&amp;$G$1)="",INDIRECT("'数据-取费表'!k"&amp;$G$1),INDIRECT("'数据-取费表'!ah"&amp;$G$1))</f>
        <v>1</v>
      </c>
      <c r="G7" s="1568"/>
      <c r="H7" s="310"/>
      <c r="I7" s="3255"/>
      <c r="J7" s="312"/>
      <c r="K7" s="313"/>
      <c r="L7" s="308" t="s">
        <v>1371</v>
      </c>
      <c r="M7" s="309">
        <f ca="1">F7</f>
        <v>1</v>
      </c>
    </row>
    <row r="8" spans="1:37" ht="18" customHeight="1">
      <c r="A8" s="310"/>
      <c r="B8" s="3255"/>
      <c r="C8" s="312"/>
      <c r="D8" s="313"/>
      <c r="E8" s="308" t="s">
        <v>1372</v>
      </c>
      <c r="F8" s="309">
        <f ca="1">INDIRECT("'数据-取费表'!ai"&amp;$G$1)</f>
        <v>1</v>
      </c>
      <c r="G8" s="1568"/>
      <c r="H8" s="310"/>
      <c r="I8" s="3255"/>
      <c r="J8" s="312"/>
      <c r="K8" s="313"/>
      <c r="L8" s="308" t="s">
        <v>1372</v>
      </c>
      <c r="M8" s="309">
        <f ca="1">INDIRECT("'数据-取费表'!ai"&amp;$G$1)</f>
        <v>1</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3078</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v>
      </c>
      <c r="D13" s="1241" t="s">
        <v>1380</v>
      </c>
      <c r="E13" s="1241" t="s">
        <v>1381</v>
      </c>
      <c r="F13" s="1242">
        <f ca="1">INDIRECT("'数据-取费表'!y"&amp;$G$1)</f>
        <v>0.9</v>
      </c>
      <c r="G13" s="1568"/>
      <c r="H13" s="1239">
        <v>2</v>
      </c>
      <c r="I13" s="1240" t="s">
        <v>1379</v>
      </c>
      <c r="J13" s="1200">
        <f ca="1">ROUND(J14*J15,0)</f>
        <v>48</v>
      </c>
      <c r="K13" s="1247" t="s">
        <v>1380</v>
      </c>
      <c r="L13" s="1576"/>
      <c r="M13" s="1577"/>
    </row>
    <row r="14" spans="1:37" ht="18" customHeight="1">
      <c r="A14" s="1113" t="s">
        <v>1002</v>
      </c>
      <c r="B14" s="308" t="s">
        <v>1382</v>
      </c>
      <c r="C14" s="324">
        <f ca="1">INDIRECT("'数据-取费表'!m"&amp;$G$1)+INDIRECT("'数据-取费表'!t"&amp;$G$1)</f>
        <v>40</v>
      </c>
      <c r="D14" s="1529" t="s">
        <v>1383</v>
      </c>
      <c r="E14" s="1526"/>
      <c r="F14" s="325"/>
      <c r="G14" s="1568"/>
      <c r="H14" s="1113" t="s">
        <v>1003</v>
      </c>
      <c r="I14" s="308" t="s">
        <v>1384</v>
      </c>
      <c r="J14" s="24">
        <f ca="1">C29</f>
        <v>56</v>
      </c>
      <c r="K14" s="15"/>
      <c r="L14" s="916"/>
      <c r="M14" s="917"/>
    </row>
    <row r="15" spans="1:37" s="1581" customFormat="1" ht="18" customHeight="1" thickBot="1">
      <c r="A15" s="1113" t="s">
        <v>1004</v>
      </c>
      <c r="B15" s="308" t="s">
        <v>1385</v>
      </c>
      <c r="C15" s="24">
        <f ca="1">ROUND(C14*F15,0)</f>
        <v>2</v>
      </c>
      <c r="D15" s="326" t="s">
        <v>1386</v>
      </c>
      <c r="E15" s="326" t="s">
        <v>1387</v>
      </c>
      <c r="F15" s="327">
        <f>'数据-取费表'!B33</f>
        <v>0.05</v>
      </c>
      <c r="G15" s="1580"/>
      <c r="H15" s="1249" t="s">
        <v>1007</v>
      </c>
      <c r="I15" s="1250" t="s">
        <v>1381</v>
      </c>
      <c r="J15" s="1259">
        <f ca="1">INDIRECT("'数据-取费表'!ad"&amp;$G$1)</f>
        <v>0.85</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5</v>
      </c>
      <c r="K16" s="1247" t="s">
        <v>1390</v>
      </c>
      <c r="L16" s="1248"/>
      <c r="M16" s="1204"/>
    </row>
    <row r="17" spans="1:37" s="1581" customFormat="1" ht="18" customHeight="1">
      <c r="A17" s="1113" t="s">
        <v>1355</v>
      </c>
      <c r="B17" s="308" t="s">
        <v>1391</v>
      </c>
      <c r="C17" s="24">
        <f ca="1">ROUND(F17*(F43+INDIRECT("'数据-取费表'!S"&amp;$G$1))/10000,0)</f>
        <v>3</v>
      </c>
      <c r="D17" s="308" t="s">
        <v>1392</v>
      </c>
      <c r="E17" s="308" t="s">
        <v>1393</v>
      </c>
      <c r="F17" s="26">
        <f>'数据-取费表'!B35</f>
        <v>140</v>
      </c>
      <c r="G17" s="1580"/>
      <c r="H17" s="1113" t="s">
        <v>1003</v>
      </c>
      <c r="I17" s="308" t="s">
        <v>1394</v>
      </c>
      <c r="J17" s="2534">
        <f ca="1">ROUND(IF(AND(项目基本情况!B11="自然人",项目基本情况!B10="北京市"),J6*M17/(1+'数据-取费表'!C42),J18+J19+J20),0)</f>
        <v>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2.2999999999999998</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46</v>
      </c>
      <c r="D19" s="136" t="s">
        <v>1401</v>
      </c>
      <c r="E19" s="1544"/>
      <c r="F19" s="26"/>
      <c r="G19" s="1568"/>
      <c r="H19" s="1113" t="s">
        <v>1004</v>
      </c>
      <c r="I19" s="308" t="s">
        <v>1402</v>
      </c>
      <c r="J19" s="24">
        <f ca="1">IF(K19="按租金收入计税",ROUND(J6*M19/(1+'数据-取费表'!C42),2),ROUND(C29*M19*0.7,2))</f>
        <v>0.47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v>
      </c>
      <c r="D20" s="329" t="s">
        <v>1405</v>
      </c>
      <c r="E20" s="308" t="s">
        <v>1387</v>
      </c>
      <c r="F20" s="328">
        <f>'数据-取费表'!B37</f>
        <v>0.05</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0.05</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ROUND(J13*M23,1)</f>
        <v>0.1</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0.4</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39</v>
      </c>
      <c r="K25" s="1255" t="s">
        <v>1429</v>
      </c>
      <c r="L25" s="1256"/>
      <c r="M25" s="1257"/>
    </row>
    <row r="26" spans="1:37">
      <c r="A26" s="1113" t="s">
        <v>1002</v>
      </c>
      <c r="B26" s="308" t="s">
        <v>1430</v>
      </c>
      <c r="C26" s="24">
        <f ca="1">ROUND((C19+C20)*F26,0)</f>
        <v>2</v>
      </c>
      <c r="D26" s="329" t="s">
        <v>1431</v>
      </c>
      <c r="E26" s="319" t="s">
        <v>1432</v>
      </c>
      <c r="F26" s="318">
        <f ca="1">INDIRECT("'数据-取费表'!q"&amp;$G$1)</f>
        <v>0.05</v>
      </c>
      <c r="G26" s="1568"/>
      <c r="H26" s="305" t="s">
        <v>1000</v>
      </c>
      <c r="I26" s="306" t="s">
        <v>1433</v>
      </c>
      <c r="J26" s="307">
        <f ca="1">IF(J5&lt;&gt;0,ROUND(J25*(1-((1+M28)/(1+M26))^M27)/(M26-M28),0),0)</f>
        <v>508</v>
      </c>
      <c r="K26" s="330" t="s">
        <v>1434</v>
      </c>
      <c r="L26" s="308" t="s">
        <v>1435</v>
      </c>
      <c r="M26" s="318">
        <f ca="1">INDIRECT("'数据-取费表'!I"&amp;$G$1)</f>
        <v>7.0000000000000007E-2</v>
      </c>
    </row>
    <row r="27" spans="1:37" ht="18" customHeight="1">
      <c r="A27" s="1113" t="s">
        <v>1004</v>
      </c>
      <c r="B27" s="308" t="s">
        <v>1436</v>
      </c>
      <c r="C27" s="24">
        <f ca="1">ROUND(F21*F26,4)</f>
        <v>2.5000000000000001E-3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56</v>
      </c>
      <c r="D29" s="1252"/>
      <c r="E29" s="1250"/>
      <c r="F29" s="1253"/>
      <c r="G29" s="1580"/>
      <c r="H29" s="340" t="s">
        <v>1001</v>
      </c>
      <c r="I29" s="341" t="s">
        <v>1444</v>
      </c>
      <c r="J29" s="342">
        <f ca="1">ROUND(J26/(1+F40)^F41,0)</f>
        <v>384</v>
      </c>
      <c r="K29" s="343" t="s">
        <v>1445</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0.8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0.1</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143</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7220</v>
      </c>
      <c r="D43" s="343" t="s">
        <v>1453</v>
      </c>
      <c r="E43" s="344" t="s">
        <v>1454</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-167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3087</v>
      </c>
      <c r="K47" s="1600" t="s">
        <v>1492</v>
      </c>
      <c r="L47" s="1601">
        <f ca="1">INDIRECT("'数据-取费表'!d"&amp;$G$1)</f>
        <v>40</v>
      </c>
      <c r="M47" s="1564" t="str">
        <f>IF(ISNUMBER(FIND("住宅",C1)),"住宅","非住宅")</f>
        <v>非住宅</v>
      </c>
      <c r="O47" s="1602" t="s">
        <v>1008</v>
      </c>
      <c r="P47" s="1603" t="s">
        <v>1493</v>
      </c>
      <c r="Q47" s="1604">
        <f ca="1">C40+J29</f>
        <v>527</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56</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556</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252" t="s">
        <v>1513</v>
      </c>
      <c r="L53" s="3253"/>
      <c r="O53" s="1602" t="s">
        <v>1014</v>
      </c>
      <c r="P53" s="1603" t="s">
        <v>1514</v>
      </c>
      <c r="Q53" s="1604">
        <f ca="1">Q47+Q48</f>
        <v>527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50</v>
      </c>
      <c r="D56" s="1631"/>
      <c r="E56" s="1632"/>
      <c r="F56" s="1624"/>
      <c r="I56" s="1633" t="s">
        <v>1519</v>
      </c>
      <c r="J56" s="1634" t="s">
        <v>3073</v>
      </c>
      <c r="K56" s="1605" t="s">
        <v>1520</v>
      </c>
      <c r="L56" s="1608" t="str">
        <f ca="1">IF(L48&lt;J51,"——",L48-J53)</f>
        <v>——</v>
      </c>
      <c r="O56" s="1602" t="s">
        <v>1008</v>
      </c>
      <c r="P56" s="1603" t="s">
        <v>1493</v>
      </c>
      <c r="Q56" s="1604">
        <f ca="1">C40+J29</f>
        <v>527</v>
      </c>
      <c r="R56" s="1604" t="s">
        <v>1494</v>
      </c>
    </row>
    <row r="57" spans="1:18" s="1568" customFormat="1" ht="24.75" thickBot="1">
      <c r="A57" s="1635"/>
      <c r="B57" s="1081" t="s">
        <v>1443</v>
      </c>
      <c r="C57" s="244">
        <f ca="1">C29</f>
        <v>56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4.7</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527</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0.1</v>
      </c>
      <c r="D65" s="1095" t="s">
        <v>1419</v>
      </c>
      <c r="E65" s="1081" t="s">
        <v>1420</v>
      </c>
      <c r="F65" s="336">
        <f t="shared" ca="1" si="0"/>
        <v>1.5E-3</v>
      </c>
      <c r="I65" s="1646" t="s">
        <v>1544</v>
      </c>
      <c r="J65" s="1647">
        <v>40</v>
      </c>
      <c r="K65" s="1647">
        <v>30</v>
      </c>
      <c r="L65" s="1647">
        <v>50</v>
      </c>
      <c r="M65" s="1649">
        <v>0.02</v>
      </c>
      <c r="O65" s="1602" t="s">
        <v>1008</v>
      </c>
      <c r="P65" s="1603" t="s">
        <v>1545</v>
      </c>
      <c r="Q65" s="1604">
        <f ca="1">C40+J29</f>
        <v>527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-7</v>
      </c>
      <c r="D67" s="1094" t="s">
        <v>1429</v>
      </c>
      <c r="E67" s="1099"/>
      <c r="F67" s="1100"/>
      <c r="O67" s="1612" t="s">
        <v>1010</v>
      </c>
      <c r="P67" s="1603" t="s">
        <v>1527</v>
      </c>
      <c r="Q67" s="1650">
        <f ca="1">L51</f>
        <v>556</v>
      </c>
      <c r="R67" s="1604" t="s">
        <v>1547</v>
      </c>
    </row>
    <row r="68" spans="1:18" s="1568" customFormat="1" ht="16.5" thickBot="1">
      <c r="A68" s="1078" t="s">
        <v>1000</v>
      </c>
      <c r="B68" s="1079" t="s">
        <v>1450</v>
      </c>
      <c r="C68" s="307">
        <f ca="1">ROUND(C67*(1-((1+F70)/(1+F68))^F69)/(F68-F70),0)</f>
        <v>-24</v>
      </c>
      <c r="D68" s="1096" t="s">
        <v>1434</v>
      </c>
      <c r="E68" s="1081" t="s">
        <v>1435</v>
      </c>
      <c r="F68" s="318">
        <f ca="1">F40</f>
        <v>7.0000000000000007E-2</v>
      </c>
      <c r="O68" s="1612" t="s">
        <v>1011</v>
      </c>
      <c r="P68" s="1651" t="s">
        <v>1548</v>
      </c>
      <c r="Q68" s="1604">
        <f ca="1">ROUND(Q69-Q70*Q71,0)</f>
        <v>37</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41</v>
      </c>
      <c r="R69" s="1604" t="s">
        <v>1494</v>
      </c>
    </row>
    <row r="70" spans="1:18" s="1568" customFormat="1" ht="13.5" thickBot="1">
      <c r="A70" s="1085"/>
      <c r="B70" s="1086"/>
      <c r="C70" s="316"/>
      <c r="D70" s="1097"/>
      <c r="E70" s="1081" t="s">
        <v>1442</v>
      </c>
      <c r="F70" s="1185"/>
      <c r="O70" s="1612" t="s">
        <v>1017</v>
      </c>
      <c r="P70" s="1651" t="s">
        <v>1550</v>
      </c>
      <c r="Q70" s="1604">
        <f ca="1">C13</f>
        <v>50</v>
      </c>
      <c r="R70" s="1604" t="s">
        <v>1494</v>
      </c>
    </row>
    <row r="71" spans="1:18" s="1568" customFormat="1" ht="13.5" thickBot="1">
      <c r="A71" s="1102" t="s">
        <v>1001</v>
      </c>
      <c r="B71" s="1103" t="s">
        <v>1452</v>
      </c>
      <c r="C71" s="342">
        <f ca="1">ROUND(C68*10000/F71,0)</f>
        <v>-1212</v>
      </c>
      <c r="D71" s="1104" t="s">
        <v>1453</v>
      </c>
      <c r="E71" s="1105" t="s">
        <v>1454</v>
      </c>
      <c r="F71" s="345">
        <f ca="1">F43</f>
        <v>198.07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4</v>
      </c>
      <c r="D75" s="1568"/>
      <c r="E75" s="1568"/>
      <c r="F75" s="1568"/>
      <c r="K75" s="1586"/>
      <c r="L75" s="1568"/>
      <c r="O75" s="1602" t="s">
        <v>1014</v>
      </c>
      <c r="P75" s="1603" t="s">
        <v>1514</v>
      </c>
      <c r="Q75" s="1604">
        <f ca="1">Q65+Q66</f>
        <v>527</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0.90200000000000002</v>
      </c>
    </row>
    <row r="80" spans="1:18">
      <c r="B80" s="346" t="s">
        <v>1476</v>
      </c>
      <c r="C80" s="280">
        <f ca="1">ROUND(C75/C39,3)</f>
        <v>9.8000000000000004E-2</v>
      </c>
    </row>
    <row r="81" spans="2:3">
      <c r="B81" s="276" t="s">
        <v>1477</v>
      </c>
      <c r="C81" s="244"/>
    </row>
    <row r="82" spans="2:3">
      <c r="B82" s="279" t="s">
        <v>1478</v>
      </c>
      <c r="C82" s="281">
        <f ca="1">1-C83</f>
        <v>0.65</v>
      </c>
    </row>
    <row r="83" spans="2:3">
      <c r="B83" s="279" t="s">
        <v>1479</v>
      </c>
      <c r="C83" s="280">
        <f ca="1">ROUND(C13/C40,3)</f>
        <v>0.35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541</v>
      </c>
      <c r="C2" s="1571" t="s">
        <v>1556</v>
      </c>
      <c r="D2" s="1655">
        <f ca="1">C40+J29+L46</f>
        <v>5414212</v>
      </c>
      <c r="E2" s="1572" t="s">
        <v>1557</v>
      </c>
      <c r="F2" s="1573"/>
      <c r="G2" s="2935"/>
      <c r="H2" s="2924"/>
      <c r="I2" s="2924"/>
      <c r="J2" s="2924"/>
      <c r="K2" s="2925"/>
      <c r="L2" s="2924"/>
      <c r="M2" s="2924"/>
    </row>
    <row r="3" spans="1:37" ht="18" customHeight="1" thickBot="1">
      <c r="A3" s="1574" t="s">
        <v>1558</v>
      </c>
      <c r="B3" s="1575">
        <f ca="1">IF(ISERROR(D2/F43),0,ROUND(D2/F43,0))</f>
        <v>27335</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441150</v>
      </c>
      <c r="K5" s="1548" t="s">
        <v>1566</v>
      </c>
      <c r="L5" s="1203"/>
      <c r="M5" s="1204"/>
    </row>
    <row r="6" spans="1:37" ht="18" customHeight="1">
      <c r="A6" s="1201" t="s">
        <v>1003</v>
      </c>
      <c r="B6" s="3254" t="s">
        <v>1368</v>
      </c>
      <c r="C6" s="1206">
        <f ca="1">ROUND(F6*F8*F7*(1-F9),0)</f>
        <v>519000</v>
      </c>
      <c r="D6" s="160" t="s">
        <v>2848</v>
      </c>
      <c r="E6" s="308" t="s">
        <v>1370</v>
      </c>
      <c r="F6" s="309">
        <f ca="1">INDIRECT("'数据-取费表'!u"&amp;$G$1)</f>
        <v>519000</v>
      </c>
      <c r="G6" s="1568"/>
      <c r="H6" s="1201" t="s">
        <v>1003</v>
      </c>
      <c r="I6" s="3254" t="s">
        <v>1368</v>
      </c>
      <c r="J6" s="307">
        <f ca="1">ROUND(M6*M8*M7*(1-M9),0)</f>
        <v>441150</v>
      </c>
      <c r="K6" s="1560" t="s">
        <v>2849</v>
      </c>
      <c r="L6" s="308" t="s">
        <v>1370</v>
      </c>
      <c r="M6" s="309">
        <f ca="1">INDIRECT("'数据-取费表'!z"&amp;$G$1)</f>
        <v>519000</v>
      </c>
    </row>
    <row r="7" spans="1:37" ht="18" customHeight="1">
      <c r="A7" s="1205"/>
      <c r="B7" s="3255"/>
      <c r="C7" s="1207"/>
      <c r="D7" s="313"/>
      <c r="E7" s="1208" t="s">
        <v>1371</v>
      </c>
      <c r="F7" s="309">
        <f ca="1">IF(INDIRECT("'数据-取费表'!ah"&amp;$G$1)="",INDIRECT("'数据-取费表'!k"&amp;$G$1),INDIRECT("'数据-取费表'!ah"&amp;$G$1))</f>
        <v>1</v>
      </c>
      <c r="G7" s="1568"/>
      <c r="H7" s="310"/>
      <c r="I7" s="3255"/>
      <c r="J7" s="312"/>
      <c r="K7" s="313"/>
      <c r="L7" s="308" t="s">
        <v>1371</v>
      </c>
      <c r="M7" s="309">
        <f ca="1">F7</f>
        <v>1</v>
      </c>
    </row>
    <row r="8" spans="1:37" ht="18" customHeight="1">
      <c r="A8" s="310"/>
      <c r="B8" s="3255"/>
      <c r="C8" s="312"/>
      <c r="D8" s="313"/>
      <c r="E8" s="308" t="s">
        <v>1372</v>
      </c>
      <c r="F8" s="309">
        <f ca="1">INDIRECT("'数据-取费表'!ai"&amp;$G$1)</f>
        <v>1</v>
      </c>
      <c r="G8" s="1568"/>
      <c r="H8" s="310"/>
      <c r="I8" s="3255"/>
      <c r="J8" s="312"/>
      <c r="K8" s="313"/>
      <c r="L8" s="308" t="s">
        <v>1372</v>
      </c>
      <c r="M8" s="309">
        <f ca="1">INDIRECT("'数据-取费表'!ai"&amp;$G$1)</f>
        <v>1</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503268</v>
      </c>
      <c r="D13" s="1241" t="s">
        <v>1380</v>
      </c>
      <c r="E13" s="1241" t="s">
        <v>1381</v>
      </c>
      <c r="F13" s="1242">
        <f ca="1">INDIRECT("'数据-取费表'!y"&amp;$G$1)</f>
        <v>0.9</v>
      </c>
      <c r="G13" s="1568"/>
      <c r="H13" s="1239">
        <v>2</v>
      </c>
      <c r="I13" s="1240" t="s">
        <v>1379</v>
      </c>
      <c r="J13" s="1200">
        <f ca="1">ROUND(J14*J15,0)</f>
        <v>475309</v>
      </c>
      <c r="K13" s="1247" t="s">
        <v>1380</v>
      </c>
      <c r="L13" s="1576"/>
      <c r="M13" s="1577"/>
    </row>
    <row r="14" spans="1:37" ht="18" customHeight="1">
      <c r="A14" s="1113" t="s">
        <v>1002</v>
      </c>
      <c r="B14" s="308" t="s">
        <v>1382</v>
      </c>
      <c r="C14" s="324">
        <f ca="1">ROUND(INDIRECT("'数据-取费表'!l"&amp;$G$1)*F43+'数据-取费表'!L14*INDIRECT("'数据-取费表'!S"&amp;$G$1),0)</f>
        <v>396140</v>
      </c>
      <c r="D14" s="1529" t="s">
        <v>1383</v>
      </c>
      <c r="E14" s="1526"/>
      <c r="F14" s="325"/>
      <c r="G14" s="1568"/>
      <c r="H14" s="1113" t="s">
        <v>1003</v>
      </c>
      <c r="I14" s="308" t="s">
        <v>1384</v>
      </c>
      <c r="J14" s="24">
        <f ca="1">C29</f>
        <v>559187</v>
      </c>
      <c r="K14" s="15"/>
      <c r="L14" s="916"/>
      <c r="M14" s="917"/>
    </row>
    <row r="15" spans="1:37" s="1581" customFormat="1" ht="18" customHeight="1" thickBot="1">
      <c r="A15" s="1113" t="s">
        <v>1004</v>
      </c>
      <c r="B15" s="308" t="s">
        <v>1385</v>
      </c>
      <c r="C15" s="24">
        <f ca="1">ROUND(C14*F15,0)</f>
        <v>19807</v>
      </c>
      <c r="D15" s="326" t="s">
        <v>1386</v>
      </c>
      <c r="E15" s="326" t="s">
        <v>1387</v>
      </c>
      <c r="F15" s="327">
        <f>'数据-取费表'!B33</f>
        <v>0.05</v>
      </c>
      <c r="G15" s="1580"/>
      <c r="H15" s="1249" t="s">
        <v>1007</v>
      </c>
      <c r="I15" s="1250" t="s">
        <v>1381</v>
      </c>
      <c r="J15" s="1259">
        <f ca="1">INDIRECT("'数据-取费表'!ad"&amp;$G$1)</f>
        <v>0.85</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54300</v>
      </c>
      <c r="K16" s="1247" t="s">
        <v>1390</v>
      </c>
      <c r="L16" s="1248"/>
      <c r="M16" s="1204"/>
    </row>
    <row r="17" spans="1:37" s="1581" customFormat="1" ht="18" customHeight="1">
      <c r="A17" s="1113" t="s">
        <v>1355</v>
      </c>
      <c r="B17" s="308" t="s">
        <v>1391</v>
      </c>
      <c r="C17" s="24">
        <f ca="1">ROUND(F17*(F43+INDIRECT("'数据-取费表'!S"&amp;$G$1)),0)</f>
        <v>27730</v>
      </c>
      <c r="D17" s="308" t="s">
        <v>1392</v>
      </c>
      <c r="E17" s="308" t="s">
        <v>1393</v>
      </c>
      <c r="F17" s="26">
        <f>'数据-取费表'!B35</f>
        <v>140</v>
      </c>
      <c r="G17" s="1580"/>
      <c r="H17" s="1113" t="s">
        <v>1003</v>
      </c>
      <c r="I17" s="308" t="s">
        <v>1394</v>
      </c>
      <c r="J17" s="2534">
        <f ca="1">ROUND(IF(AND(项目基本情况!B11="自然人",项目基本情况!B10="北京市"),J6*M17/(1+'数据-取费表'!C42),J18+J19+J20),0)</f>
        <v>40787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5942</v>
      </c>
      <c r="D18" s="308" t="s">
        <v>1386</v>
      </c>
      <c r="E18" s="308" t="s">
        <v>1387</v>
      </c>
      <c r="F18" s="328">
        <f>'数据-取费表'!B36</f>
        <v>1.4999999999999999E-2</v>
      </c>
      <c r="G18" s="1580"/>
      <c r="H18" s="1113" t="s">
        <v>1002</v>
      </c>
      <c r="I18" s="308" t="s">
        <v>1398</v>
      </c>
      <c r="J18" s="24">
        <f ca="1">ROUND(J6*M18/(1+'数据-取费表'!C42),0)</f>
        <v>23108</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449619</v>
      </c>
      <c r="D19" s="136" t="s">
        <v>1401</v>
      </c>
      <c r="E19" s="1544"/>
      <c r="F19" s="26"/>
      <c r="G19" s="1568"/>
      <c r="H19" s="1113" t="s">
        <v>1004</v>
      </c>
      <c r="I19" s="308" t="s">
        <v>1402</v>
      </c>
      <c r="J19" s="24">
        <f ca="1">IF(K19="按租金收入计税",ROUND(J6*M19/(1+'数据-取费表'!C42),0),ROUND(C29*M19*0.7,0))</f>
        <v>4697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22481</v>
      </c>
      <c r="D20" s="329" t="s">
        <v>1405</v>
      </c>
      <c r="E20" s="308" t="s">
        <v>1387</v>
      </c>
      <c r="F20" s="328">
        <f>'数据-取费表'!B37</f>
        <v>0.05</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0.05</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8388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4544</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ROUND(J13*M23,0)</f>
        <v>713</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4412</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386850</v>
      </c>
      <c r="K25" s="1255" t="s">
        <v>1429</v>
      </c>
      <c r="L25" s="1256"/>
      <c r="M25" s="1257"/>
    </row>
    <row r="26" spans="1:37" ht="18" customHeight="1">
      <c r="A26" s="1113" t="s">
        <v>1002</v>
      </c>
      <c r="B26" s="308" t="s">
        <v>1430</v>
      </c>
      <c r="C26" s="24">
        <f ca="1">ROUND((C19+C20)*F26,0)</f>
        <v>23605</v>
      </c>
      <c r="D26" s="329" t="s">
        <v>1431</v>
      </c>
      <c r="E26" s="319" t="s">
        <v>1432</v>
      </c>
      <c r="F26" s="318">
        <f ca="1">INDIRECT("'数据-取费表'!q"&amp;$G$1)</f>
        <v>0.05</v>
      </c>
      <c r="G26" s="1568"/>
      <c r="H26" s="305" t="s">
        <v>1000</v>
      </c>
      <c r="I26" s="306" t="s">
        <v>1433</v>
      </c>
      <c r="J26" s="307">
        <f ca="1">IF(J5&lt;&gt;0,ROUND(J25*(1-((1+M28)/(1+M26))^M27)/(M26-M28),0),0)</f>
        <v>5038066</v>
      </c>
      <c r="K26" s="330" t="s">
        <v>1434</v>
      </c>
      <c r="L26" s="308" t="s">
        <v>1435</v>
      </c>
      <c r="M26" s="318">
        <f ca="1">INDIRECT("'数据-取费表'!I"&amp;$G$1)</f>
        <v>7.0000000000000007E-2</v>
      </c>
    </row>
    <row r="27" spans="1:37" ht="18" customHeight="1">
      <c r="A27" s="1113" t="s">
        <v>1004</v>
      </c>
      <c r="B27" s="308" t="s">
        <v>1436</v>
      </c>
      <c r="C27" s="24">
        <f ca="1">ROUND(F21*F26,4)</f>
        <v>2.5000000000000001E-3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559187</v>
      </c>
      <c r="D29" s="1252"/>
      <c r="E29" s="1250"/>
      <c r="F29" s="1253"/>
      <c r="G29" s="1580"/>
      <c r="H29" s="340" t="s">
        <v>1001</v>
      </c>
      <c r="I29" s="341" t="s">
        <v>1444</v>
      </c>
      <c r="J29" s="342">
        <f ca="1">ROUND(J26/(1+F40)^F41,0)</f>
        <v>3807282</v>
      </c>
      <c r="K29" s="343" t="s">
        <v>1445</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59205</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44865</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4697</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8388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755</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5196.5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460444</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1606930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8113</v>
      </c>
      <c r="D43" s="343" t="s">
        <v>1453</v>
      </c>
      <c r="E43" s="344" t="s">
        <v>1454</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-1700538</v>
      </c>
      <c r="D45" s="1657" t="s">
        <v>1569</v>
      </c>
      <c r="E45" s="1584"/>
      <c r="F45" s="1584"/>
      <c r="O45" s="1587" t="s">
        <v>1484</v>
      </c>
      <c r="P45" s="1645"/>
      <c r="Q45" s="1645"/>
      <c r="R45" s="1645"/>
    </row>
    <row r="46" spans="1:18" s="1568" customFormat="1" ht="13.5" thickBot="1">
      <c r="A46" s="1588" t="s">
        <v>1485</v>
      </c>
      <c r="C46" s="1589">
        <f ca="1">ROUND(C45/10000,0)</f>
        <v>-170</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5414212</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559187</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6186987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252" t="s">
        <v>1513</v>
      </c>
      <c r="L53" s="3253"/>
      <c r="O53" s="1602" t="s">
        <v>1014</v>
      </c>
      <c r="P53" s="1603" t="s">
        <v>1514</v>
      </c>
      <c r="Q53" s="1604">
        <f ca="1">Q47+Q48</f>
        <v>5414212</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503268</v>
      </c>
      <c r="D56" s="1631"/>
      <c r="E56" s="1632"/>
      <c r="F56" s="1624"/>
      <c r="I56" s="1633" t="s">
        <v>1519</v>
      </c>
      <c r="J56" s="1634" t="s">
        <v>3073</v>
      </c>
      <c r="K56" s="1605" t="s">
        <v>1520</v>
      </c>
      <c r="L56" s="1608" t="str">
        <f ca="1">IF(L48&lt;J51,"——",L48-J51)</f>
        <v>——</v>
      </c>
      <c r="O56" s="1602" t="s">
        <v>1008</v>
      </c>
      <c r="P56" s="1603" t="s">
        <v>1493</v>
      </c>
      <c r="Q56" s="1604">
        <f ca="1">C40+J29</f>
        <v>5414212</v>
      </c>
      <c r="R56" s="1604" t="s">
        <v>1494</v>
      </c>
    </row>
    <row r="57" spans="1:18" s="1568" customFormat="1" ht="24.75" thickBot="1">
      <c r="A57" s="1635"/>
      <c r="B57" s="1081" t="s">
        <v>1443</v>
      </c>
      <c r="C57" s="244">
        <f ca="1">C29</f>
        <v>559187</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26822</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17679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4697</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5414212</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8388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755</v>
      </c>
      <c r="D65" s="1095" t="s">
        <v>1419</v>
      </c>
      <c r="E65" s="1081" t="s">
        <v>1420</v>
      </c>
      <c r="F65" s="336">
        <f t="shared" ca="1" si="0"/>
        <v>1.5E-3</v>
      </c>
      <c r="I65" s="1646" t="s">
        <v>1544</v>
      </c>
      <c r="J65" s="1647">
        <v>40</v>
      </c>
      <c r="K65" s="1647">
        <v>30</v>
      </c>
      <c r="L65" s="1647">
        <v>50</v>
      </c>
      <c r="M65" s="1649">
        <v>0.02</v>
      </c>
      <c r="O65" s="1602" t="s">
        <v>1008</v>
      </c>
      <c r="P65" s="1603" t="s">
        <v>1545</v>
      </c>
      <c r="Q65" s="1604">
        <f ca="1">C40+J29</f>
        <v>5414212</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-26822</v>
      </c>
      <c r="D67" s="1094" t="s">
        <v>1429</v>
      </c>
      <c r="E67" s="1099"/>
      <c r="F67" s="1100"/>
      <c r="O67" s="1612" t="s">
        <v>1010</v>
      </c>
      <c r="P67" s="1603" t="s">
        <v>1527</v>
      </c>
      <c r="Q67" s="1650">
        <f ca="1">L51</f>
        <v>6186987</v>
      </c>
      <c r="R67" s="1604" t="s">
        <v>1547</v>
      </c>
    </row>
    <row r="68" spans="1:18" s="1568" customFormat="1" ht="16.5" thickBot="1">
      <c r="A68" s="1078" t="s">
        <v>1000</v>
      </c>
      <c r="B68" s="1079" t="s">
        <v>1450</v>
      </c>
      <c r="C68" s="307">
        <f ca="1">ROUND(C67*(1-((1+F70)/(1+F68))^F69)/(F68-F70),0)</f>
        <v>-93608</v>
      </c>
      <c r="D68" s="1096" t="s">
        <v>1434</v>
      </c>
      <c r="E68" s="1081" t="s">
        <v>1435</v>
      </c>
      <c r="F68" s="318">
        <f ca="1">F40</f>
        <v>7.0000000000000007E-2</v>
      </c>
      <c r="O68" s="1612" t="s">
        <v>1011</v>
      </c>
      <c r="P68" s="1651" t="s">
        <v>1548</v>
      </c>
      <c r="Q68" s="1604">
        <f ca="1">ROUND(Q69-Q70*Q71,0)</f>
        <v>420183</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460444</v>
      </c>
      <c r="R69" s="1604" t="s">
        <v>1494</v>
      </c>
    </row>
    <row r="70" spans="1:18" s="1568" customFormat="1" ht="13.5" thickBot="1">
      <c r="A70" s="1085"/>
      <c r="B70" s="1086"/>
      <c r="C70" s="316"/>
      <c r="D70" s="1097"/>
      <c r="E70" s="1081" t="s">
        <v>1442</v>
      </c>
      <c r="F70" s="1185">
        <f ca="1">F42</f>
        <v>0</v>
      </c>
      <c r="O70" s="1612" t="s">
        <v>1017</v>
      </c>
      <c r="P70" s="1651" t="s">
        <v>1550</v>
      </c>
      <c r="Q70" s="1604">
        <f ca="1">C13</f>
        <v>503268</v>
      </c>
      <c r="R70" s="1604" t="s">
        <v>1494</v>
      </c>
    </row>
    <row r="71" spans="1:18" s="1568" customFormat="1" ht="13.5" thickBot="1">
      <c r="A71" s="1102" t="s">
        <v>1001</v>
      </c>
      <c r="B71" s="1103" t="s">
        <v>1452</v>
      </c>
      <c r="C71" s="342">
        <f ca="1">ROUND(C68/F71,0)</f>
        <v>-473</v>
      </c>
      <c r="D71" s="1104" t="s">
        <v>1453</v>
      </c>
      <c r="E71" s="1105" t="s">
        <v>1454</v>
      </c>
      <c r="F71" s="345">
        <f ca="1">F43</f>
        <v>198.07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40261</v>
      </c>
      <c r="D75" s="1568"/>
      <c r="E75" s="1568"/>
      <c r="F75" s="1568"/>
      <c r="K75" s="1586"/>
      <c r="L75" s="1568"/>
      <c r="O75" s="1602" t="s">
        <v>1014</v>
      </c>
      <c r="P75" s="1603" t="s">
        <v>1514</v>
      </c>
      <c r="Q75" s="1604">
        <f ca="1">Q65+Q66</f>
        <v>5414212</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0.91300000000000003</v>
      </c>
    </row>
    <row r="80" spans="1:18">
      <c r="B80" s="346" t="s">
        <v>1476</v>
      </c>
      <c r="C80" s="280">
        <f ca="1">ROUND(C75/C39,3)</f>
        <v>8.6999999999999994E-2</v>
      </c>
    </row>
    <row r="81" spans="2:3">
      <c r="B81" s="276" t="s">
        <v>1477</v>
      </c>
      <c r="C81" s="244"/>
    </row>
    <row r="82" spans="2:3">
      <c r="B82" s="279" t="s">
        <v>1478</v>
      </c>
      <c r="C82" s="281">
        <f ca="1">1-C83</f>
        <v>0.68700000000000006</v>
      </c>
    </row>
    <row r="83" spans="2:3">
      <c r="B83" s="279" t="s">
        <v>1479</v>
      </c>
      <c r="C83" s="280">
        <f ca="1">ROUND(C13/C40,3)</f>
        <v>0.313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541</v>
      </c>
      <c r="C2" s="2058" t="s">
        <v>2340</v>
      </c>
      <c r="D2" s="2059" t="s">
        <v>2341</v>
      </c>
      <c r="E2" s="2833">
        <f>SUM(E6:E13)</f>
        <v>198.07</v>
      </c>
      <c r="F2" s="2936"/>
      <c r="G2" s="1674"/>
      <c r="H2" s="1674"/>
      <c r="I2" s="1674"/>
      <c r="J2" s="1674"/>
      <c r="K2" s="1674"/>
      <c r="L2" s="1674"/>
      <c r="M2" s="1674"/>
      <c r="N2" s="1674"/>
      <c r="O2" s="1674"/>
      <c r="P2" s="1674"/>
      <c r="Q2" s="1674"/>
      <c r="R2" s="1674"/>
      <c r="S2" s="1674"/>
    </row>
    <row r="3" spans="1:22" ht="15.75">
      <c r="A3" s="2056" t="s">
        <v>1360</v>
      </c>
      <c r="B3" s="2827">
        <f ca="1">ROUND(B2*10000/E2,0)</f>
        <v>27314</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7" t="s">
        <v>2343</v>
      </c>
      <c r="C5" s="3258"/>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541</v>
      </c>
      <c r="C6" s="2058" t="s">
        <v>2340</v>
      </c>
      <c r="D6" s="2938"/>
      <c r="E6" s="2832">
        <f>IF(OR(A6=0,F6="否"),0,'数据-取费表'!K6+'数据-取费表'!S6)</f>
        <v>198.07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30" activeCellId="1" sqref="H5 D30"/>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8"/>
      <c r="C21" s="3268"/>
      <c r="D21" s="3268"/>
      <c r="E21" s="3268"/>
      <c r="F21" s="3268"/>
      <c r="G21" s="3268"/>
      <c r="H21" s="1502">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62">
        <f>C27-C30-C31-C32</f>
        <v>0</v>
      </c>
      <c r="F26" s="3262"/>
      <c r="G26" s="3262"/>
      <c r="H26" s="1499" t="s">
        <v>1306</v>
      </c>
    </row>
    <row r="27" spans="1:9">
      <c r="A27" s="1234">
        <v>1</v>
      </c>
      <c r="B27" s="1235" t="s">
        <v>1086</v>
      </c>
      <c r="C27" s="1235">
        <f>C28+C29</f>
        <v>0</v>
      </c>
      <c r="D27" s="1235"/>
      <c r="E27" s="3263"/>
      <c r="F27" s="3263"/>
      <c r="G27" s="3263"/>
    </row>
    <row r="28" spans="1:9">
      <c r="A28" s="1236" t="s">
        <v>1087</v>
      </c>
      <c r="B28" s="1235" t="s">
        <v>1088</v>
      </c>
      <c r="C28" s="1235"/>
      <c r="D28" s="1235"/>
      <c r="E28" s="3263"/>
      <c r="F28" s="3263"/>
      <c r="G28" s="326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59" t="s">
        <v>1097</v>
      </c>
      <c r="B33" s="3260"/>
      <c r="C33" s="3260"/>
      <c r="D33" s="3261"/>
      <c r="E33" s="3262"/>
      <c r="F33" s="3262"/>
      <c r="G33" s="3262"/>
    </row>
    <row r="34" spans="1:7" hidden="1">
      <c r="A34" s="1238">
        <v>1</v>
      </c>
      <c r="B34" s="1235" t="s">
        <v>1098</v>
      </c>
      <c r="C34" s="1235"/>
      <c r="D34" s="1235"/>
      <c r="E34" s="3263"/>
      <c r="F34" s="3263"/>
      <c r="G34" s="3263"/>
    </row>
    <row r="35" spans="1:7" hidden="1">
      <c r="A35" s="1238">
        <v>2</v>
      </c>
      <c r="B35" s="1235" t="s">
        <v>1099</v>
      </c>
      <c r="C35" s="1235"/>
      <c r="D35" s="1235"/>
      <c r="E35" s="3263"/>
      <c r="F35" s="3263"/>
      <c r="G35" s="3263"/>
    </row>
    <row r="36" spans="1:7" hidden="1">
      <c r="A36" s="1238">
        <v>3</v>
      </c>
      <c r="B36" s="1235" t="s">
        <v>1100</v>
      </c>
      <c r="C36" s="1235"/>
      <c r="D36" s="1235"/>
      <c r="E36" s="3263"/>
      <c r="F36" s="3263"/>
      <c r="G36" s="3263"/>
    </row>
    <row r="37" spans="1:7" hidden="1">
      <c r="A37" s="1238">
        <v>4</v>
      </c>
      <c r="B37" s="1235" t="s">
        <v>1101</v>
      </c>
      <c r="C37" s="1235"/>
      <c r="D37" s="1235"/>
      <c r="E37" s="3263"/>
      <c r="F37" s="3263"/>
      <c r="G37" s="3263"/>
    </row>
    <row r="38" spans="1:7" hidden="1">
      <c r="A38" s="3259" t="s">
        <v>1102</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198.07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8" t="s">
        <v>2357</v>
      </c>
      <c r="D4" s="3299"/>
      <c r="E4" s="3300" t="s">
        <v>2358</v>
      </c>
      <c r="F4" s="3301"/>
      <c r="G4" s="3298" t="s">
        <v>2359</v>
      </c>
      <c r="H4" s="3299"/>
      <c r="I4" s="3298" t="s">
        <v>2360</v>
      </c>
      <c r="J4" s="3299"/>
      <c r="K4" s="2075" t="s">
        <v>2361</v>
      </c>
      <c r="L4" s="2944"/>
      <c r="M4" s="2945"/>
      <c r="N4" s="2945"/>
      <c r="O4" s="2945"/>
      <c r="P4" s="3302" t="s">
        <v>2362</v>
      </c>
      <c r="Q4" s="3303"/>
      <c r="R4" s="3308" t="s">
        <v>2358</v>
      </c>
      <c r="S4" s="3309"/>
      <c r="T4" s="3308" t="s">
        <v>2359</v>
      </c>
      <c r="U4" s="3309"/>
      <c r="V4" s="3314" t="s">
        <v>2360</v>
      </c>
      <c r="W4" s="3314"/>
      <c r="X4" s="1539"/>
      <c r="Y4" s="3308" t="s">
        <v>2362</v>
      </c>
      <c r="Z4" s="3309"/>
      <c r="AA4" s="3295" t="s">
        <v>2358</v>
      </c>
      <c r="AB4" s="3295" t="s">
        <v>2359</v>
      </c>
      <c r="AC4" s="3295" t="s">
        <v>2360</v>
      </c>
    </row>
    <row r="5" spans="1:29" ht="15">
      <c r="A5" s="364"/>
      <c r="B5" s="365"/>
      <c r="C5" s="3317" t="s">
        <v>2363</v>
      </c>
      <c r="D5" s="3318"/>
      <c r="E5" s="3324" t="s">
        <v>2364</v>
      </c>
      <c r="F5" s="3325"/>
      <c r="G5" s="3317" t="s">
        <v>2365</v>
      </c>
      <c r="H5" s="3318"/>
      <c r="I5" s="3317" t="s">
        <v>2366</v>
      </c>
      <c r="J5" s="3318"/>
      <c r="K5" s="2076"/>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2076"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9" t="s">
        <v>2370</v>
      </c>
      <c r="Q7" s="3321"/>
      <c r="R7" s="710" t="s">
        <v>23</v>
      </c>
      <c r="S7" s="711">
        <f t="shared" ref="S7:S15" si="0">F7</f>
        <v>0</v>
      </c>
      <c r="T7" s="710" t="s">
        <v>23</v>
      </c>
      <c r="U7" s="711">
        <f t="shared" ref="U7:U15" si="1">H7</f>
        <v>0</v>
      </c>
      <c r="V7" s="710" t="s">
        <v>23</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9" t="s">
        <v>2373</v>
      </c>
      <c r="Q8" s="3320"/>
      <c r="R8" s="710" t="s">
        <v>23</v>
      </c>
      <c r="S8" s="711">
        <f t="shared" si="0"/>
        <v>0</v>
      </c>
      <c r="T8" s="710" t="s">
        <v>23</v>
      </c>
      <c r="U8" s="711">
        <f t="shared" si="1"/>
        <v>0</v>
      </c>
      <c r="V8" s="710" t="s">
        <v>23</v>
      </c>
      <c r="W8" s="711">
        <f t="shared" si="2"/>
        <v>0</v>
      </c>
      <c r="X8" s="712"/>
      <c r="Y8" s="3319" t="s">
        <v>2373</v>
      </c>
      <c r="Z8" s="332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4"/>
      <c r="Q11" s="1527" t="str">
        <f t="shared" si="6"/>
        <v>容积率</v>
      </c>
      <c r="R11" s="710" t="s">
        <v>21</v>
      </c>
      <c r="S11" s="711" t="e">
        <f t="shared" si="0"/>
        <v>#N/A</v>
      </c>
      <c r="T11" s="710" t="s">
        <v>21</v>
      </c>
      <c r="U11" s="711" t="e">
        <f t="shared" si="1"/>
        <v>#N/A</v>
      </c>
      <c r="V11" s="710" t="s">
        <v>21</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4"/>
      <c r="Q12" s="1527">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4"/>
      <c r="Q13" s="1527">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4"/>
      <c r="Q14" s="1527">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2" t="s">
        <v>2381</v>
      </c>
      <c r="Q15" s="1536" t="str">
        <f t="shared" si="6"/>
        <v>居住社区成熟度</v>
      </c>
      <c r="R15" s="714" t="s">
        <v>21</v>
      </c>
      <c r="S15" s="715">
        <f t="shared" si="0"/>
        <v>100</v>
      </c>
      <c r="T15" s="714" t="s">
        <v>21</v>
      </c>
      <c r="U15" s="715">
        <f t="shared" si="1"/>
        <v>100</v>
      </c>
      <c r="V15" s="714" t="s">
        <v>21</v>
      </c>
      <c r="W15" s="715">
        <f t="shared" si="2"/>
        <v>100</v>
      </c>
      <c r="X15" s="1539"/>
      <c r="Y15" s="328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3"/>
      <c r="Q17" s="1536" t="str">
        <f>B17</f>
        <v>交通便捷度</v>
      </c>
      <c r="R17" s="714" t="s">
        <v>21</v>
      </c>
      <c r="S17" s="715">
        <f>F17</f>
        <v>100</v>
      </c>
      <c r="T17" s="714" t="s">
        <v>21</v>
      </c>
      <c r="U17" s="715">
        <f>H17</f>
        <v>100</v>
      </c>
      <c r="V17" s="714" t="s">
        <v>21</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3"/>
      <c r="Q19" s="1536" t="str">
        <f>B19</f>
        <v>公共配套设施</v>
      </c>
      <c r="R19" s="714" t="s">
        <v>21</v>
      </c>
      <c r="S19" s="715">
        <f>F19</f>
        <v>100</v>
      </c>
      <c r="T19" s="714" t="s">
        <v>21</v>
      </c>
      <c r="U19" s="715">
        <f>H19</f>
        <v>100</v>
      </c>
      <c r="V19" s="714" t="s">
        <v>21</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3"/>
      <c r="Q23" s="1536" t="str">
        <f>B23</f>
        <v>自然及人文环境</v>
      </c>
      <c r="R23" s="714" t="s">
        <v>21</v>
      </c>
      <c r="S23" s="715">
        <f>F23</f>
        <v>100</v>
      </c>
      <c r="T23" s="714" t="s">
        <v>21</v>
      </c>
      <c r="U23" s="715">
        <f>H23</f>
        <v>100</v>
      </c>
      <c r="V23" s="714" t="s">
        <v>21</v>
      </c>
      <c r="W23" s="715">
        <f>J23</f>
        <v>100</v>
      </c>
      <c r="X23" s="1539"/>
      <c r="Y23" s="328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3"/>
      <c r="Q26" s="1536" t="str">
        <f t="shared" si="11"/>
        <v>朝向</v>
      </c>
      <c r="R26" s="714" t="s">
        <v>21</v>
      </c>
      <c r="S26" s="715">
        <f t="shared" si="12"/>
        <v>100</v>
      </c>
      <c r="T26" s="714" t="s">
        <v>21</v>
      </c>
      <c r="U26" s="715">
        <f t="shared" si="13"/>
        <v>100</v>
      </c>
      <c r="V26" s="714" t="s">
        <v>21</v>
      </c>
      <c r="W26" s="715">
        <f t="shared" si="14"/>
        <v>100</v>
      </c>
      <c r="X26" s="1539"/>
      <c r="Y26" s="328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3"/>
      <c r="Q27" s="1527">
        <f t="shared" si="11"/>
        <v>111</v>
      </c>
      <c r="R27" s="710" t="s">
        <v>21</v>
      </c>
      <c r="S27" s="711">
        <f t="shared" si="12"/>
        <v>100</v>
      </c>
      <c r="T27" s="710" t="s">
        <v>21</v>
      </c>
      <c r="U27" s="711">
        <f t="shared" si="13"/>
        <v>100</v>
      </c>
      <c r="V27" s="710" t="s">
        <v>21</v>
      </c>
      <c r="W27" s="711">
        <f t="shared" si="14"/>
        <v>100</v>
      </c>
      <c r="X27" s="712"/>
      <c r="Y27" s="328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3"/>
      <c r="Q28" s="1536">
        <f t="shared" si="11"/>
        <v>111</v>
      </c>
      <c r="R28" s="714" t="s">
        <v>21</v>
      </c>
      <c r="S28" s="715">
        <f t="shared" si="12"/>
        <v>100</v>
      </c>
      <c r="T28" s="714" t="s">
        <v>21</v>
      </c>
      <c r="U28" s="715">
        <f t="shared" si="13"/>
        <v>100</v>
      </c>
      <c r="V28" s="714" t="s">
        <v>21</v>
      </c>
      <c r="W28" s="715">
        <f t="shared" si="14"/>
        <v>100</v>
      </c>
      <c r="X28" s="1539"/>
      <c r="Y28" s="328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3"/>
      <c r="Q29" s="1536">
        <f t="shared" si="11"/>
        <v>111</v>
      </c>
      <c r="R29" s="714" t="s">
        <v>21</v>
      </c>
      <c r="S29" s="715">
        <f t="shared" si="12"/>
        <v>100</v>
      </c>
      <c r="T29" s="714" t="s">
        <v>21</v>
      </c>
      <c r="U29" s="715">
        <f t="shared" si="13"/>
        <v>100</v>
      </c>
      <c r="V29" s="714" t="s">
        <v>21</v>
      </c>
      <c r="W29" s="715">
        <f t="shared" si="14"/>
        <v>100</v>
      </c>
      <c r="X29" s="1539"/>
      <c r="Y29" s="328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3"/>
      <c r="Q30" s="1536">
        <f t="shared" si="11"/>
        <v>111</v>
      </c>
      <c r="R30" s="714" t="s">
        <v>21</v>
      </c>
      <c r="S30" s="715">
        <f t="shared" si="12"/>
        <v>100</v>
      </c>
      <c r="T30" s="714" t="s">
        <v>21</v>
      </c>
      <c r="U30" s="715">
        <f t="shared" si="13"/>
        <v>100</v>
      </c>
      <c r="V30" s="714" t="s">
        <v>21</v>
      </c>
      <c r="W30" s="715">
        <f t="shared" si="14"/>
        <v>100</v>
      </c>
      <c r="X30" s="1539"/>
      <c r="Y30" s="328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3"/>
      <c r="Q31" s="1536">
        <f t="shared" si="11"/>
        <v>111</v>
      </c>
      <c r="R31" s="714" t="s">
        <v>21</v>
      </c>
      <c r="S31" s="715">
        <f t="shared" si="12"/>
        <v>100</v>
      </c>
      <c r="T31" s="714" t="s">
        <v>21</v>
      </c>
      <c r="U31" s="715">
        <f t="shared" si="13"/>
        <v>100</v>
      </c>
      <c r="V31" s="714" t="s">
        <v>21</v>
      </c>
      <c r="W31" s="715">
        <f t="shared" si="14"/>
        <v>100</v>
      </c>
      <c r="X31" s="1539"/>
      <c r="Y31" s="328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7" t="s">
        <v>2386</v>
      </c>
      <c r="Q32" s="1536" t="str">
        <f t="shared" si="11"/>
        <v>建筑类型</v>
      </c>
      <c r="R32" s="714" t="s">
        <v>21</v>
      </c>
      <c r="S32" s="715">
        <f t="shared" si="12"/>
        <v>100</v>
      </c>
      <c r="T32" s="714" t="s">
        <v>21</v>
      </c>
      <c r="U32" s="715">
        <f t="shared" si="13"/>
        <v>100</v>
      </c>
      <c r="V32" s="714" t="s">
        <v>21</v>
      </c>
      <c r="W32" s="715">
        <f t="shared" si="14"/>
        <v>100</v>
      </c>
      <c r="X32" s="1539"/>
      <c r="Y32" s="329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8"/>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8"/>
      <c r="Q34" s="1536" t="str">
        <f t="shared" si="11"/>
        <v>建筑结构</v>
      </c>
      <c r="R34" s="714" t="s">
        <v>21</v>
      </c>
      <c r="S34" s="715">
        <f t="shared" si="12"/>
        <v>100</v>
      </c>
      <c r="T34" s="714" t="s">
        <v>21</v>
      </c>
      <c r="U34" s="715">
        <f t="shared" si="13"/>
        <v>100</v>
      </c>
      <c r="V34" s="714" t="s">
        <v>21</v>
      </c>
      <c r="W34" s="715">
        <f t="shared" si="14"/>
        <v>100</v>
      </c>
      <c r="X34" s="1539"/>
      <c r="Y34" s="329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8"/>
      <c r="Q35" s="1536" t="str">
        <f t="shared" si="11"/>
        <v>建筑品质</v>
      </c>
      <c r="R35" s="714" t="s">
        <v>21</v>
      </c>
      <c r="S35" s="715">
        <f t="shared" si="12"/>
        <v>100</v>
      </c>
      <c r="T35" s="714" t="s">
        <v>21</v>
      </c>
      <c r="U35" s="715">
        <f t="shared" si="13"/>
        <v>100</v>
      </c>
      <c r="V35" s="714" t="s">
        <v>21</v>
      </c>
      <c r="W35" s="715">
        <f t="shared" si="14"/>
        <v>100</v>
      </c>
      <c r="X35" s="1539"/>
      <c r="Y35" s="329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8"/>
      <c r="Q36" s="1536" t="str">
        <f t="shared" si="11"/>
        <v>公共部分装修</v>
      </c>
      <c r="R36" s="714" t="s">
        <v>21</v>
      </c>
      <c r="S36" s="715">
        <f t="shared" si="12"/>
        <v>100</v>
      </c>
      <c r="T36" s="714" t="s">
        <v>21</v>
      </c>
      <c r="U36" s="715">
        <f t="shared" si="13"/>
        <v>100</v>
      </c>
      <c r="V36" s="714" t="s">
        <v>21</v>
      </c>
      <c r="W36" s="715">
        <f t="shared" si="14"/>
        <v>100</v>
      </c>
      <c r="X36" s="1539"/>
      <c r="Y36" s="329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8"/>
      <c r="Q37" s="1527"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8" t="s">
        <v>2386</v>
      </c>
      <c r="Q38" s="1536" t="str">
        <f t="shared" si="11"/>
        <v>物业管理</v>
      </c>
      <c r="R38" s="714" t="s">
        <v>21</v>
      </c>
      <c r="S38" s="715">
        <f t="shared" si="12"/>
        <v>100</v>
      </c>
      <c r="T38" s="714" t="s">
        <v>21</v>
      </c>
      <c r="U38" s="715">
        <f t="shared" si="13"/>
        <v>100</v>
      </c>
      <c r="V38" s="714" t="s">
        <v>21</v>
      </c>
      <c r="W38" s="715">
        <f t="shared" si="14"/>
        <v>100</v>
      </c>
      <c r="X38" s="1539"/>
      <c r="Y38" s="329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8"/>
      <c r="Q39" s="1536" t="str">
        <f t="shared" si="11"/>
        <v>市政基础设施</v>
      </c>
      <c r="R39" s="714" t="s">
        <v>21</v>
      </c>
      <c r="S39" s="715">
        <f t="shared" si="12"/>
        <v>100</v>
      </c>
      <c r="T39" s="714" t="s">
        <v>21</v>
      </c>
      <c r="U39" s="715">
        <f t="shared" si="13"/>
        <v>100</v>
      </c>
      <c r="V39" s="714" t="s">
        <v>21</v>
      </c>
      <c r="W39" s="715">
        <f t="shared" si="14"/>
        <v>100</v>
      </c>
      <c r="X39" s="1539"/>
      <c r="Y39" s="329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8"/>
      <c r="Q40" s="1536" t="str">
        <f t="shared" si="11"/>
        <v>房型</v>
      </c>
      <c r="R40" s="714" t="s">
        <v>21</v>
      </c>
      <c r="S40" s="715">
        <f t="shared" si="12"/>
        <v>100</v>
      </c>
      <c r="T40" s="714" t="s">
        <v>21</v>
      </c>
      <c r="U40" s="715">
        <f t="shared" si="13"/>
        <v>100</v>
      </c>
      <c r="V40" s="714" t="s">
        <v>21</v>
      </c>
      <c r="W40" s="715">
        <f t="shared" si="14"/>
        <v>100</v>
      </c>
      <c r="X40" s="1539"/>
      <c r="Y40" s="329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8"/>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8"/>
      <c r="Q42" s="1536" t="str">
        <f t="shared" si="11"/>
        <v>内部装修</v>
      </c>
      <c r="R42" s="714" t="s">
        <v>21</v>
      </c>
      <c r="S42" s="715">
        <f t="shared" si="12"/>
        <v>100</v>
      </c>
      <c r="T42" s="714" t="s">
        <v>21</v>
      </c>
      <c r="U42" s="715">
        <f t="shared" si="13"/>
        <v>100</v>
      </c>
      <c r="V42" s="714" t="s">
        <v>21</v>
      </c>
      <c r="W42" s="715">
        <f t="shared" si="14"/>
        <v>100</v>
      </c>
      <c r="X42" s="1539"/>
      <c r="Y42" s="329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8"/>
      <c r="Q43" s="1536" t="str">
        <f t="shared" si="11"/>
        <v>内部装修维护情况</v>
      </c>
      <c r="R43" s="714" t="s">
        <v>21</v>
      </c>
      <c r="S43" s="715">
        <f t="shared" si="12"/>
        <v>100</v>
      </c>
      <c r="T43" s="714" t="s">
        <v>21</v>
      </c>
      <c r="U43" s="715">
        <f t="shared" si="13"/>
        <v>100</v>
      </c>
      <c r="V43" s="714" t="s">
        <v>21</v>
      </c>
      <c r="W43" s="715">
        <f t="shared" si="14"/>
        <v>100</v>
      </c>
      <c r="X43" s="1539"/>
      <c r="Y43" s="329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8"/>
      <c r="Q44" s="1527">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8"/>
      <c r="Q45" s="1536">
        <f t="shared" si="11"/>
        <v>111</v>
      </c>
      <c r="R45" s="714" t="s">
        <v>21</v>
      </c>
      <c r="S45" s="715">
        <f t="shared" si="12"/>
        <v>100</v>
      </c>
      <c r="T45" s="714" t="s">
        <v>21</v>
      </c>
      <c r="U45" s="715">
        <f t="shared" si="13"/>
        <v>100</v>
      </c>
      <c r="V45" s="714" t="s">
        <v>21</v>
      </c>
      <c r="W45" s="715">
        <f t="shared" si="14"/>
        <v>100</v>
      </c>
      <c r="X45" s="1539"/>
      <c r="Y45" s="329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9"/>
      <c r="Q46" s="1536">
        <f t="shared" si="11"/>
        <v>111</v>
      </c>
      <c r="R46" s="714" t="s">
        <v>20</v>
      </c>
      <c r="S46" s="715">
        <f t="shared" si="12"/>
        <v>100</v>
      </c>
      <c r="T46" s="714" t="s">
        <v>20</v>
      </c>
      <c r="U46" s="715">
        <f t="shared" si="13"/>
        <v>100</v>
      </c>
      <c r="V46" s="714" t="s">
        <v>20</v>
      </c>
      <c r="W46" s="715">
        <f t="shared" si="14"/>
        <v>100</v>
      </c>
      <c r="X46" s="1539"/>
      <c r="Y46" s="329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83" t="str">
        <f>A47</f>
        <v>成交单价（元/平方米）</v>
      </c>
      <c r="Q47" s="3283"/>
      <c r="R47" s="3284">
        <f>E47</f>
        <v>0</v>
      </c>
      <c r="S47" s="3284"/>
      <c r="T47" s="3284">
        <f>G47</f>
        <v>0</v>
      </c>
      <c r="U47" s="3284"/>
      <c r="V47" s="3284">
        <f>I47</f>
        <v>0</v>
      </c>
      <c r="W47" s="3284"/>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198.07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314"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314"/>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314"/>
      <c r="AC6" s="3297"/>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2" t="s">
        <v>2381</v>
      </c>
      <c r="Q15" s="1536" t="str">
        <f t="shared" si="6"/>
        <v>商业繁华度</v>
      </c>
      <c r="R15" s="714" t="s">
        <v>17</v>
      </c>
      <c r="S15" s="715">
        <f t="shared" si="0"/>
        <v>100</v>
      </c>
      <c r="T15" s="714" t="s">
        <v>17</v>
      </c>
      <c r="U15" s="715">
        <f t="shared" si="1"/>
        <v>100</v>
      </c>
      <c r="V15" s="714" t="s">
        <v>17</v>
      </c>
      <c r="W15" s="715">
        <f t="shared" si="2"/>
        <v>100</v>
      </c>
      <c r="X15" s="1539"/>
      <c r="Y15" s="328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3"/>
      <c r="Q23" s="1536" t="str">
        <f>B23</f>
        <v>自然及人文环境</v>
      </c>
      <c r="R23" s="714" t="s">
        <v>17</v>
      </c>
      <c r="S23" s="715">
        <f>F23</f>
        <v>100</v>
      </c>
      <c r="T23" s="714" t="s">
        <v>17</v>
      </c>
      <c r="U23" s="715">
        <f>H23</f>
        <v>100</v>
      </c>
      <c r="V23" s="714" t="s">
        <v>17</v>
      </c>
      <c r="W23" s="715">
        <f>J23</f>
        <v>100</v>
      </c>
      <c r="X23" s="1539"/>
      <c r="Y23" s="328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3"/>
      <c r="Q25" s="1536" t="str">
        <f t="shared" ref="Q25:Q46" si="11">B25</f>
        <v>临街状况</v>
      </c>
      <c r="R25" s="714" t="s">
        <v>17</v>
      </c>
      <c r="S25" s="715">
        <f>F25</f>
        <v>100</v>
      </c>
      <c r="T25" s="714" t="s">
        <v>17</v>
      </c>
      <c r="U25" s="715">
        <f>H25</f>
        <v>100</v>
      </c>
      <c r="V25" s="714" t="s">
        <v>17</v>
      </c>
      <c r="W25" s="715">
        <f>J25</f>
        <v>100</v>
      </c>
      <c r="X25" s="1539"/>
      <c r="Y25" s="328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3"/>
      <c r="Q26" s="1536" t="str">
        <f t="shared" si="11"/>
        <v>平面位置/可视性</v>
      </c>
      <c r="R26" s="714" t="s">
        <v>17</v>
      </c>
      <c r="S26" s="715">
        <f>F26</f>
        <v>100</v>
      </c>
      <c r="T26" s="714" t="s">
        <v>17</v>
      </c>
      <c r="U26" s="715">
        <f>H26</f>
        <v>100</v>
      </c>
      <c r="V26" s="714" t="s">
        <v>17</v>
      </c>
      <c r="W26" s="715">
        <f>J26</f>
        <v>100</v>
      </c>
      <c r="X26" s="1539"/>
      <c r="Y26" s="328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3"/>
      <c r="Q27" s="1527" t="str">
        <f t="shared" si="11"/>
        <v>人流量</v>
      </c>
      <c r="R27" s="710" t="s">
        <v>17</v>
      </c>
      <c r="S27" s="711">
        <f>F27</f>
        <v>100</v>
      </c>
      <c r="T27" s="710" t="s">
        <v>17</v>
      </c>
      <c r="U27" s="711">
        <f>H27</f>
        <v>100</v>
      </c>
      <c r="V27" s="710" t="s">
        <v>17</v>
      </c>
      <c r="W27" s="711">
        <f>J27</f>
        <v>100</v>
      </c>
      <c r="X27" s="712"/>
      <c r="Y27" s="328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3"/>
      <c r="Q29" s="1536">
        <f t="shared" si="11"/>
        <v>111</v>
      </c>
      <c r="R29" s="714" t="s">
        <v>17</v>
      </c>
      <c r="S29" s="715">
        <f t="shared" si="12"/>
        <v>100</v>
      </c>
      <c r="T29" s="714" t="s">
        <v>17</v>
      </c>
      <c r="U29" s="715">
        <f t="shared" si="13"/>
        <v>100</v>
      </c>
      <c r="V29" s="714" t="s">
        <v>17</v>
      </c>
      <c r="W29" s="715">
        <f t="shared" si="14"/>
        <v>100</v>
      </c>
      <c r="X29" s="1539"/>
      <c r="Y29" s="328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7" t="s">
        <v>2386</v>
      </c>
      <c r="Q32" s="1536" t="str">
        <f t="shared" si="11"/>
        <v>商业类型</v>
      </c>
      <c r="R32" s="714" t="s">
        <v>17</v>
      </c>
      <c r="S32" s="715">
        <f t="shared" si="12"/>
        <v>100</v>
      </c>
      <c r="T32" s="714" t="s">
        <v>17</v>
      </c>
      <c r="U32" s="715">
        <f t="shared" si="13"/>
        <v>100</v>
      </c>
      <c r="V32" s="714" t="s">
        <v>17</v>
      </c>
      <c r="W32" s="715">
        <f t="shared" si="14"/>
        <v>100</v>
      </c>
      <c r="X32" s="1539"/>
      <c r="Y32" s="329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88"/>
      <c r="Q33" s="716" t="str">
        <f t="shared" si="11"/>
        <v>项目建筑规模</v>
      </c>
      <c r="R33" s="717" t="s">
        <v>17</v>
      </c>
      <c r="S33" s="718" t="e">
        <f t="shared" si="12"/>
        <v>#N/A</v>
      </c>
      <c r="T33" s="717" t="s">
        <v>17</v>
      </c>
      <c r="U33" s="718" t="e">
        <f t="shared" si="13"/>
        <v>#N/A</v>
      </c>
      <c r="V33" s="717" t="s">
        <v>17</v>
      </c>
      <c r="W33" s="718" t="e">
        <f t="shared" si="14"/>
        <v>#N/A</v>
      </c>
      <c r="X33" s="719"/>
      <c r="Y33" s="329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8"/>
      <c r="Q34" s="1536" t="str">
        <f t="shared" si="11"/>
        <v>建筑结构</v>
      </c>
      <c r="R34" s="714" t="s">
        <v>17</v>
      </c>
      <c r="S34" s="715">
        <f t="shared" si="12"/>
        <v>100</v>
      </c>
      <c r="T34" s="714" t="s">
        <v>17</v>
      </c>
      <c r="U34" s="715">
        <f t="shared" si="13"/>
        <v>100</v>
      </c>
      <c r="V34" s="714" t="s">
        <v>17</v>
      </c>
      <c r="W34" s="715">
        <f t="shared" si="14"/>
        <v>100</v>
      </c>
      <c r="X34" s="1539"/>
      <c r="Y34" s="329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8"/>
      <c r="Q35" s="1536" t="str">
        <f t="shared" si="11"/>
        <v>公共部分装修</v>
      </c>
      <c r="R35" s="714" t="s">
        <v>17</v>
      </c>
      <c r="S35" s="715">
        <f t="shared" si="12"/>
        <v>100</v>
      </c>
      <c r="T35" s="714" t="s">
        <v>17</v>
      </c>
      <c r="U35" s="715">
        <f t="shared" si="13"/>
        <v>100</v>
      </c>
      <c r="V35" s="714" t="s">
        <v>17</v>
      </c>
      <c r="W35" s="715">
        <f t="shared" si="14"/>
        <v>100</v>
      </c>
      <c r="X35" s="1539"/>
      <c r="Y35" s="329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88"/>
      <c r="Q36" s="1536" t="str">
        <f t="shared" si="11"/>
        <v>成新度</v>
      </c>
      <c r="R36" s="714" t="s">
        <v>17</v>
      </c>
      <c r="S36" s="715" t="e">
        <f t="shared" si="12"/>
        <v>#N/A</v>
      </c>
      <c r="T36" s="714" t="s">
        <v>17</v>
      </c>
      <c r="U36" s="715" t="e">
        <f t="shared" si="13"/>
        <v>#N/A</v>
      </c>
      <c r="V36" s="714" t="s">
        <v>17</v>
      </c>
      <c r="W36" s="715" t="e">
        <f t="shared" si="14"/>
        <v>#N/A</v>
      </c>
      <c r="X36" s="1539"/>
      <c r="Y36" s="329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8"/>
      <c r="Q37" s="1527"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8" t="s">
        <v>2386</v>
      </c>
      <c r="Q38" s="1536" t="str">
        <f t="shared" si="11"/>
        <v>业态</v>
      </c>
      <c r="R38" s="714" t="s">
        <v>17</v>
      </c>
      <c r="S38" s="715">
        <f t="shared" si="12"/>
        <v>100</v>
      </c>
      <c r="T38" s="714" t="s">
        <v>17</v>
      </c>
      <c r="U38" s="715">
        <f t="shared" si="13"/>
        <v>100</v>
      </c>
      <c r="V38" s="714" t="s">
        <v>17</v>
      </c>
      <c r="W38" s="715">
        <f t="shared" si="14"/>
        <v>100</v>
      </c>
      <c r="X38" s="1539"/>
      <c r="Y38" s="329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8"/>
      <c r="Q39" s="1536" t="str">
        <f t="shared" si="11"/>
        <v>层高</v>
      </c>
      <c r="R39" s="714" t="s">
        <v>17</v>
      </c>
      <c r="S39" s="715">
        <f t="shared" si="12"/>
        <v>100</v>
      </c>
      <c r="T39" s="714" t="s">
        <v>17</v>
      </c>
      <c r="U39" s="715">
        <f t="shared" si="13"/>
        <v>100</v>
      </c>
      <c r="V39" s="714" t="s">
        <v>17</v>
      </c>
      <c r="W39" s="715">
        <f t="shared" si="14"/>
        <v>100</v>
      </c>
      <c r="X39" s="1539"/>
      <c r="Y39" s="329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8"/>
      <c r="Q40" s="1536" t="str">
        <f t="shared" si="11"/>
        <v>单套建筑面积</v>
      </c>
      <c r="R40" s="714" t="s">
        <v>17</v>
      </c>
      <c r="S40" s="715">
        <f t="shared" si="12"/>
        <v>100</v>
      </c>
      <c r="T40" s="714" t="s">
        <v>17</v>
      </c>
      <c r="U40" s="715">
        <f t="shared" si="13"/>
        <v>100</v>
      </c>
      <c r="V40" s="714" t="s">
        <v>17</v>
      </c>
      <c r="W40" s="715">
        <f t="shared" si="14"/>
        <v>100</v>
      </c>
      <c r="X40" s="1539"/>
      <c r="Y40" s="329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8"/>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8"/>
      <c r="Q42" s="1536" t="str">
        <f t="shared" si="11"/>
        <v>内部装修</v>
      </c>
      <c r="R42" s="714" t="s">
        <v>17</v>
      </c>
      <c r="S42" s="715">
        <f t="shared" si="12"/>
        <v>100</v>
      </c>
      <c r="T42" s="714" t="s">
        <v>17</v>
      </c>
      <c r="U42" s="715">
        <f t="shared" si="13"/>
        <v>100</v>
      </c>
      <c r="V42" s="714" t="s">
        <v>17</v>
      </c>
      <c r="W42" s="715">
        <f t="shared" si="14"/>
        <v>100</v>
      </c>
      <c r="X42" s="1539"/>
      <c r="Y42" s="329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8"/>
      <c r="Q43" s="1536" t="str">
        <f t="shared" si="11"/>
        <v>内部装修维护情况</v>
      </c>
      <c r="R43" s="714" t="s">
        <v>17</v>
      </c>
      <c r="S43" s="715">
        <f t="shared" si="12"/>
        <v>100</v>
      </c>
      <c r="T43" s="714" t="s">
        <v>17</v>
      </c>
      <c r="U43" s="715">
        <f t="shared" si="13"/>
        <v>100</v>
      </c>
      <c r="V43" s="714" t="s">
        <v>17</v>
      </c>
      <c r="W43" s="715">
        <f t="shared" si="14"/>
        <v>100</v>
      </c>
      <c r="X43" s="1539"/>
      <c r="Y43" s="329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8"/>
      <c r="Q44" s="1527">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8"/>
      <c r="Q45" s="1536">
        <f t="shared" si="11"/>
        <v>111</v>
      </c>
      <c r="R45" s="714" t="s">
        <v>17</v>
      </c>
      <c r="S45" s="715">
        <f t="shared" si="12"/>
        <v>100</v>
      </c>
      <c r="T45" s="714" t="s">
        <v>17</v>
      </c>
      <c r="U45" s="715">
        <f t="shared" si="13"/>
        <v>100</v>
      </c>
      <c r="V45" s="714" t="s">
        <v>17</v>
      </c>
      <c r="W45" s="715">
        <f t="shared" si="14"/>
        <v>100</v>
      </c>
      <c r="X45" s="1539"/>
      <c r="Y45" s="329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9"/>
      <c r="Q46" s="1536">
        <f t="shared" si="11"/>
        <v>111</v>
      </c>
      <c r="R46" s="714" t="s">
        <v>17</v>
      </c>
      <c r="S46" s="715">
        <f t="shared" si="12"/>
        <v>100</v>
      </c>
      <c r="T46" s="714" t="s">
        <v>17</v>
      </c>
      <c r="U46" s="715">
        <f t="shared" si="13"/>
        <v>100</v>
      </c>
      <c r="V46" s="714" t="s">
        <v>17</v>
      </c>
      <c r="W46" s="715">
        <f t="shared" si="14"/>
        <v>100</v>
      </c>
      <c r="X46" s="1539"/>
      <c r="Y46" s="329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83" t="str">
        <f>A47</f>
        <v>成交单价（元/平方米）</v>
      </c>
      <c r="Q47" s="3283"/>
      <c r="R47" s="3314">
        <f>E47</f>
        <v>0</v>
      </c>
      <c r="S47" s="3314"/>
      <c r="T47" s="3314">
        <f>G47</f>
        <v>0</v>
      </c>
      <c r="U47" s="3314"/>
      <c r="V47" s="3314">
        <f>I47</f>
        <v>0</v>
      </c>
      <c r="W47" s="3314"/>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198.07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32" t="s">
        <v>2472</v>
      </c>
      <c r="Q4" s="3333"/>
      <c r="R4" s="3336" t="s">
        <v>2468</v>
      </c>
      <c r="S4" s="3337"/>
      <c r="T4" s="3336" t="s">
        <v>2469</v>
      </c>
      <c r="U4" s="3337"/>
      <c r="V4" s="3338" t="s">
        <v>2470</v>
      </c>
      <c r="W4" s="3338"/>
      <c r="X4" s="2144"/>
      <c r="Y4" s="3336" t="s">
        <v>2472</v>
      </c>
      <c r="Z4" s="3337"/>
      <c r="AA4" s="3340" t="s">
        <v>2468</v>
      </c>
      <c r="AB4" s="3340" t="s">
        <v>2469</v>
      </c>
      <c r="AC4" s="3329" t="s">
        <v>2470</v>
      </c>
    </row>
    <row r="5" spans="1:29" ht="15">
      <c r="A5" s="364"/>
      <c r="B5" s="365"/>
      <c r="C5" s="3317" t="s">
        <v>2363</v>
      </c>
      <c r="D5" s="3318"/>
      <c r="E5" s="3324" t="s">
        <v>2364</v>
      </c>
      <c r="F5" s="3325"/>
      <c r="G5" s="3317" t="s">
        <v>2365</v>
      </c>
      <c r="H5" s="3318"/>
      <c r="I5" s="3317" t="s">
        <v>2366</v>
      </c>
      <c r="J5" s="3318"/>
      <c r="K5" s="567"/>
      <c r="L5" s="2944"/>
      <c r="M5" s="2945"/>
      <c r="N5" s="2945"/>
      <c r="O5" s="2945"/>
      <c r="P5" s="3334"/>
      <c r="Q5" s="3305"/>
      <c r="R5" s="3310"/>
      <c r="S5" s="3311"/>
      <c r="T5" s="3310"/>
      <c r="U5" s="3311"/>
      <c r="V5" s="3314"/>
      <c r="W5" s="3314"/>
      <c r="X5" s="1539"/>
      <c r="Y5" s="3310"/>
      <c r="Z5" s="3311"/>
      <c r="AA5" s="3296"/>
      <c r="AB5" s="3296"/>
      <c r="AC5" s="3330"/>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35"/>
      <c r="Q6" s="3307"/>
      <c r="R6" s="3310"/>
      <c r="S6" s="3311"/>
      <c r="T6" s="3312"/>
      <c r="U6" s="3313"/>
      <c r="V6" s="3314"/>
      <c r="W6" s="3314"/>
      <c r="X6" s="1539"/>
      <c r="Y6" s="3312"/>
      <c r="Z6" s="3313"/>
      <c r="AA6" s="3297"/>
      <c r="AB6" s="3297"/>
      <c r="AC6" s="3331"/>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9" t="s">
        <v>2373</v>
      </c>
      <c r="Q8" s="3320"/>
      <c r="R8" s="710" t="s">
        <v>17</v>
      </c>
      <c r="S8" s="711">
        <f t="shared" si="0"/>
        <v>0</v>
      </c>
      <c r="T8" s="710" t="s">
        <v>17</v>
      </c>
      <c r="U8" s="711">
        <f t="shared" si="1"/>
        <v>0</v>
      </c>
      <c r="V8" s="710" t="s">
        <v>17</v>
      </c>
      <c r="W8" s="711">
        <f t="shared" si="2"/>
        <v>0</v>
      </c>
      <c r="X8" s="712"/>
      <c r="Y8" s="3319" t="s">
        <v>2373</v>
      </c>
      <c r="Z8" s="332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2" t="s">
        <v>2381</v>
      </c>
      <c r="Q15" s="1536" t="str">
        <f t="shared" si="6"/>
        <v>办公集聚程度</v>
      </c>
      <c r="R15" s="714" t="s">
        <v>17</v>
      </c>
      <c r="S15" s="715">
        <f t="shared" si="0"/>
        <v>100</v>
      </c>
      <c r="T15" s="714" t="s">
        <v>17</v>
      </c>
      <c r="U15" s="715">
        <f t="shared" si="1"/>
        <v>100</v>
      </c>
      <c r="V15" s="714" t="s">
        <v>17</v>
      </c>
      <c r="W15" s="715">
        <f t="shared" si="2"/>
        <v>100</v>
      </c>
      <c r="X15" s="1539"/>
      <c r="Y15" s="328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93"/>
      <c r="Q22" s="1536"/>
      <c r="R22" s="714"/>
      <c r="S22" s="715"/>
      <c r="T22" s="714"/>
      <c r="U22" s="715"/>
      <c r="V22" s="714"/>
      <c r="W22" s="715"/>
      <c r="X22" s="1539"/>
      <c r="Y22" s="328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3"/>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3"/>
      <c r="Q25" s="1536" t="str">
        <f>B25</f>
        <v>毗邻道路的类型与等级</v>
      </c>
      <c r="R25" s="714" t="s">
        <v>17</v>
      </c>
      <c r="S25" s="715">
        <f>F25</f>
        <v>100</v>
      </c>
      <c r="T25" s="714" t="s">
        <v>17</v>
      </c>
      <c r="U25" s="715">
        <f>H25</f>
        <v>100</v>
      </c>
      <c r="V25" s="714" t="s">
        <v>17</v>
      </c>
      <c r="W25" s="715">
        <f>J25</f>
        <v>100</v>
      </c>
      <c r="X25" s="1539"/>
      <c r="Y25" s="328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93"/>
      <c r="Q26" s="1536"/>
      <c r="R26" s="714"/>
      <c r="S26" s="715"/>
      <c r="T26" s="714"/>
      <c r="U26" s="715"/>
      <c r="V26" s="714"/>
      <c r="W26" s="715"/>
      <c r="X26" s="1539"/>
      <c r="Y26" s="328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3"/>
      <c r="Q27" s="1536" t="str">
        <f t="shared" ref="Q27:Q47" si="11">B27</f>
        <v>楼层</v>
      </c>
      <c r="R27" s="714" t="s">
        <v>17</v>
      </c>
      <c r="S27" s="715">
        <f>F27</f>
        <v>100</v>
      </c>
      <c r="T27" s="714" t="s">
        <v>17</v>
      </c>
      <c r="U27" s="715">
        <f>H27</f>
        <v>100</v>
      </c>
      <c r="V27" s="714" t="s">
        <v>17</v>
      </c>
      <c r="W27" s="715">
        <f>J27</f>
        <v>100</v>
      </c>
      <c r="X27" s="1539"/>
      <c r="Y27" s="328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3"/>
      <c r="Q28" s="1527" t="str">
        <f t="shared" si="11"/>
        <v>朝向</v>
      </c>
      <c r="R28" s="710" t="s">
        <v>17</v>
      </c>
      <c r="S28" s="711">
        <f>F28</f>
        <v>100</v>
      </c>
      <c r="T28" s="710" t="s">
        <v>17</v>
      </c>
      <c r="U28" s="711">
        <f>H28</f>
        <v>100</v>
      </c>
      <c r="V28" s="710" t="s">
        <v>17</v>
      </c>
      <c r="W28" s="711">
        <f>J28</f>
        <v>100</v>
      </c>
      <c r="X28" s="712"/>
      <c r="Y28" s="328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3"/>
      <c r="Q29" s="1536">
        <f t="shared" si="11"/>
        <v>111</v>
      </c>
      <c r="R29" s="714" t="s">
        <v>17</v>
      </c>
      <c r="S29" s="715">
        <f t="shared" ref="S29:S47" si="12">F29</f>
        <v>100</v>
      </c>
      <c r="T29" s="714" t="s">
        <v>17</v>
      </c>
      <c r="U29" s="715">
        <f t="shared" ref="U29:U47" si="13">H29</f>
        <v>100</v>
      </c>
      <c r="V29" s="714" t="s">
        <v>17</v>
      </c>
      <c r="W29" s="715">
        <f t="shared" ref="W29:W47" si="14">J29</f>
        <v>100</v>
      </c>
      <c r="X29" s="1539"/>
      <c r="Y29" s="328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3"/>
      <c r="Q32" s="1536">
        <f t="shared" si="11"/>
        <v>111</v>
      </c>
      <c r="R32" s="714" t="s">
        <v>17</v>
      </c>
      <c r="S32" s="715">
        <f t="shared" si="12"/>
        <v>100</v>
      </c>
      <c r="T32" s="714" t="s">
        <v>17</v>
      </c>
      <c r="U32" s="715">
        <f t="shared" si="13"/>
        <v>100</v>
      </c>
      <c r="V32" s="714" t="s">
        <v>17</v>
      </c>
      <c r="W32" s="715">
        <f t="shared" si="14"/>
        <v>100</v>
      </c>
      <c r="X32" s="1539"/>
      <c r="Y32" s="328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87" t="s">
        <v>2386</v>
      </c>
      <c r="Q33" s="1536" t="str">
        <f t="shared" si="11"/>
        <v>建筑类型</v>
      </c>
      <c r="R33" s="714" t="s">
        <v>17</v>
      </c>
      <c r="S33" s="715">
        <f t="shared" si="12"/>
        <v>100</v>
      </c>
      <c r="T33" s="714" t="s">
        <v>17</v>
      </c>
      <c r="U33" s="715">
        <f t="shared" si="13"/>
        <v>100</v>
      </c>
      <c r="V33" s="714" t="s">
        <v>17</v>
      </c>
      <c r="W33" s="715">
        <f t="shared" si="14"/>
        <v>100</v>
      </c>
      <c r="X33" s="1539"/>
      <c r="Y33" s="329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88"/>
      <c r="Q34" s="716" t="str">
        <f t="shared" si="11"/>
        <v>项目建筑规模</v>
      </c>
      <c r="R34" s="717" t="s">
        <v>17</v>
      </c>
      <c r="S34" s="718" t="e">
        <f t="shared" si="12"/>
        <v>#N/A</v>
      </c>
      <c r="T34" s="717" t="s">
        <v>17</v>
      </c>
      <c r="U34" s="718" t="e">
        <f t="shared" si="13"/>
        <v>#N/A</v>
      </c>
      <c r="V34" s="717" t="s">
        <v>17</v>
      </c>
      <c r="W34" s="718" t="e">
        <f t="shared" si="14"/>
        <v>#N/A</v>
      </c>
      <c r="X34" s="719"/>
      <c r="Y34" s="329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8"/>
      <c r="Q35" s="1536" t="str">
        <f t="shared" si="11"/>
        <v>建筑结构</v>
      </c>
      <c r="R35" s="714" t="s">
        <v>17</v>
      </c>
      <c r="S35" s="715">
        <f t="shared" si="12"/>
        <v>100</v>
      </c>
      <c r="T35" s="714" t="s">
        <v>17</v>
      </c>
      <c r="U35" s="715">
        <f t="shared" si="13"/>
        <v>100</v>
      </c>
      <c r="V35" s="714" t="s">
        <v>17</v>
      </c>
      <c r="W35" s="715">
        <f t="shared" si="14"/>
        <v>100</v>
      </c>
      <c r="X35" s="1539"/>
      <c r="Y35" s="329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8"/>
      <c r="Q36" s="1536" t="str">
        <f t="shared" si="11"/>
        <v>公共部分装修</v>
      </c>
      <c r="R36" s="714" t="s">
        <v>17</v>
      </c>
      <c r="S36" s="715">
        <f t="shared" si="12"/>
        <v>100</v>
      </c>
      <c r="T36" s="714" t="s">
        <v>17</v>
      </c>
      <c r="U36" s="715">
        <f t="shared" si="13"/>
        <v>100</v>
      </c>
      <c r="V36" s="714" t="s">
        <v>17</v>
      </c>
      <c r="W36" s="715">
        <f t="shared" si="14"/>
        <v>100</v>
      </c>
      <c r="X36" s="1539"/>
      <c r="Y36" s="329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88"/>
      <c r="Q37" s="1536" t="str">
        <f t="shared" si="11"/>
        <v>成新度</v>
      </c>
      <c r="R37" s="714" t="s">
        <v>17</v>
      </c>
      <c r="S37" s="715" t="e">
        <f t="shared" si="12"/>
        <v>#N/A</v>
      </c>
      <c r="T37" s="714" t="s">
        <v>17</v>
      </c>
      <c r="U37" s="715" t="e">
        <f t="shared" si="13"/>
        <v>#N/A</v>
      </c>
      <c r="V37" s="714" t="s">
        <v>17</v>
      </c>
      <c r="W37" s="715" t="e">
        <f t="shared" si="14"/>
        <v>#N/A</v>
      </c>
      <c r="X37" s="1539"/>
      <c r="Y37" s="329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8"/>
      <c r="Q38" s="1527"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8" t="s">
        <v>2386</v>
      </c>
      <c r="Q39" s="1536" t="str">
        <f t="shared" si="11"/>
        <v>物业管理</v>
      </c>
      <c r="R39" s="714" t="s">
        <v>17</v>
      </c>
      <c r="S39" s="715">
        <f t="shared" si="12"/>
        <v>100</v>
      </c>
      <c r="T39" s="714" t="s">
        <v>17</v>
      </c>
      <c r="U39" s="715">
        <f t="shared" si="13"/>
        <v>100</v>
      </c>
      <c r="V39" s="714" t="s">
        <v>17</v>
      </c>
      <c r="W39" s="715">
        <f t="shared" si="14"/>
        <v>100</v>
      </c>
      <c r="X39" s="1539"/>
      <c r="Y39" s="329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8"/>
      <c r="Q40" s="1536" t="str">
        <f t="shared" si="11"/>
        <v>市政基础设施</v>
      </c>
      <c r="R40" s="714" t="s">
        <v>17</v>
      </c>
      <c r="S40" s="715">
        <f t="shared" si="12"/>
        <v>100</v>
      </c>
      <c r="T40" s="714" t="s">
        <v>17</v>
      </c>
      <c r="U40" s="715">
        <f t="shared" si="13"/>
        <v>100</v>
      </c>
      <c r="V40" s="714" t="s">
        <v>17</v>
      </c>
      <c r="W40" s="715">
        <f t="shared" si="14"/>
        <v>100</v>
      </c>
      <c r="X40" s="1539"/>
      <c r="Y40" s="329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8"/>
      <c r="Q41" s="1536" t="str">
        <f t="shared" si="11"/>
        <v>层高</v>
      </c>
      <c r="R41" s="714" t="s">
        <v>17</v>
      </c>
      <c r="S41" s="715">
        <f t="shared" si="12"/>
        <v>100</v>
      </c>
      <c r="T41" s="714" t="s">
        <v>17</v>
      </c>
      <c r="U41" s="715">
        <f t="shared" si="13"/>
        <v>100</v>
      </c>
      <c r="V41" s="714" t="s">
        <v>17</v>
      </c>
      <c r="W41" s="715">
        <f t="shared" si="14"/>
        <v>100</v>
      </c>
      <c r="X41" s="1539"/>
      <c r="Y41" s="329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8"/>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8"/>
      <c r="Q43" s="1536" t="str">
        <f t="shared" si="11"/>
        <v>内部装修</v>
      </c>
      <c r="R43" s="714" t="s">
        <v>17</v>
      </c>
      <c r="S43" s="715">
        <f t="shared" si="12"/>
        <v>100</v>
      </c>
      <c r="T43" s="714" t="s">
        <v>17</v>
      </c>
      <c r="U43" s="715">
        <f t="shared" si="13"/>
        <v>100</v>
      </c>
      <c r="V43" s="714" t="s">
        <v>17</v>
      </c>
      <c r="W43" s="715">
        <f t="shared" si="14"/>
        <v>100</v>
      </c>
      <c r="X43" s="1539"/>
      <c r="Y43" s="329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88"/>
      <c r="Q44" s="1536" t="str">
        <f t="shared" si="11"/>
        <v>内部装修维护情况</v>
      </c>
      <c r="R44" s="714" t="s">
        <v>17</v>
      </c>
      <c r="S44" s="715">
        <f t="shared" si="12"/>
        <v>100</v>
      </c>
      <c r="T44" s="714" t="s">
        <v>17</v>
      </c>
      <c r="U44" s="715">
        <f t="shared" si="13"/>
        <v>100</v>
      </c>
      <c r="V44" s="714" t="s">
        <v>17</v>
      </c>
      <c r="W44" s="715">
        <f t="shared" si="14"/>
        <v>100</v>
      </c>
      <c r="X44" s="1539"/>
      <c r="Y44" s="329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8"/>
      <c r="Q45" s="1527">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8"/>
      <c r="Q46" s="1536">
        <f t="shared" si="11"/>
        <v>111</v>
      </c>
      <c r="R46" s="714" t="s">
        <v>17</v>
      </c>
      <c r="S46" s="715">
        <f t="shared" si="12"/>
        <v>100</v>
      </c>
      <c r="T46" s="714" t="s">
        <v>17</v>
      </c>
      <c r="U46" s="715">
        <f t="shared" si="13"/>
        <v>100</v>
      </c>
      <c r="V46" s="714" t="s">
        <v>17</v>
      </c>
      <c r="W46" s="715">
        <f t="shared" si="14"/>
        <v>100</v>
      </c>
      <c r="X46" s="1539"/>
      <c r="Y46" s="329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9"/>
      <c r="Q47" s="1536">
        <f t="shared" si="11"/>
        <v>111</v>
      </c>
      <c r="R47" s="714" t="s">
        <v>17</v>
      </c>
      <c r="S47" s="715">
        <f t="shared" si="12"/>
        <v>100</v>
      </c>
      <c r="T47" s="714" t="s">
        <v>17</v>
      </c>
      <c r="U47" s="715">
        <f t="shared" si="13"/>
        <v>100</v>
      </c>
      <c r="V47" s="714" t="s">
        <v>17</v>
      </c>
      <c r="W47" s="715">
        <f t="shared" si="14"/>
        <v>100</v>
      </c>
      <c r="X47" s="1539"/>
      <c r="Y47" s="329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4" t="str">
        <f>A48</f>
        <v>成交单价（元/平方米）</v>
      </c>
      <c r="Q48" s="3283"/>
      <c r="R48" s="3284">
        <f>E48</f>
        <v>0</v>
      </c>
      <c r="S48" s="3284"/>
      <c r="T48" s="3284">
        <f>G48</f>
        <v>0</v>
      </c>
      <c r="U48" s="3284"/>
      <c r="V48" s="3284">
        <f>I48</f>
        <v>0</v>
      </c>
      <c r="W48" s="3284"/>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294"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26" t="str">
        <f>A50</f>
        <v>估价对象XX用房的比较价值（楼面单价，元/平方米）</v>
      </c>
      <c r="Q50" s="3327"/>
      <c r="R50" s="3328" t="e">
        <f>IF(F1="售价",ROUND(IF(D49="简单平均",AVERAGE(R49:V49),R49*F49+T49*H49+V49*J49),0),ROUND(IF(D49="简单平均",AVERAGE(R49:V49),R49*F49+T49*H49+V49*J49),1))</f>
        <v>#DIV/0!</v>
      </c>
      <c r="S50" s="3328"/>
      <c r="T50" s="3328"/>
      <c r="U50" s="3328"/>
      <c r="V50" s="3328"/>
      <c r="W50" s="332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198.07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1044"/>
      <c r="M5" s="1045"/>
      <c r="N5" s="1045"/>
      <c r="O5" s="10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1044"/>
      <c r="M6" s="1045"/>
      <c r="N6" s="1045"/>
      <c r="O6" s="10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6"/>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6"/>
      <c r="Q18" s="1536"/>
      <c r="R18" s="714"/>
      <c r="S18" s="715"/>
      <c r="T18" s="714"/>
      <c r="U18" s="715"/>
      <c r="V18" s="714"/>
      <c r="W18" s="715"/>
      <c r="X18" s="1539"/>
      <c r="Y18" s="328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6"/>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6"/>
      <c r="Q20" s="1536"/>
      <c r="R20" s="714"/>
      <c r="S20" s="715"/>
      <c r="T20" s="714"/>
      <c r="U20" s="715"/>
      <c r="V20" s="714"/>
      <c r="W20" s="715"/>
      <c r="X20" s="1539"/>
      <c r="Y20" s="328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6"/>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6"/>
      <c r="Q22" s="1536"/>
      <c r="R22" s="714"/>
      <c r="S22" s="715"/>
      <c r="T22" s="714"/>
      <c r="U22" s="715"/>
      <c r="V22" s="714"/>
      <c r="W22" s="715"/>
      <c r="X22" s="1539"/>
      <c r="Y22" s="328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6"/>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6"/>
      <c r="Q24" s="1536"/>
      <c r="R24" s="714"/>
      <c r="S24" s="715"/>
      <c r="T24" s="714"/>
      <c r="U24" s="715"/>
      <c r="V24" s="714"/>
      <c r="W24" s="715"/>
      <c r="X24" s="1539"/>
      <c r="Y24" s="328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6"/>
      <c r="Q25" s="1536">
        <f>B25</f>
        <v>111</v>
      </c>
      <c r="R25" s="714" t="s">
        <v>17</v>
      </c>
      <c r="S25" s="715">
        <f>F25</f>
        <v>100</v>
      </c>
      <c r="T25" s="714" t="s">
        <v>17</v>
      </c>
      <c r="U25" s="715">
        <f>H25</f>
        <v>100</v>
      </c>
      <c r="V25" s="714" t="s">
        <v>17</v>
      </c>
      <c r="W25" s="715">
        <f>J25</f>
        <v>100</v>
      </c>
      <c r="X25" s="1539"/>
      <c r="Y25" s="328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6"/>
      <c r="Q26" s="1536">
        <f t="shared" ref="Q26:Q40" si="11">B26</f>
        <v>111</v>
      </c>
      <c r="R26" s="714" t="s">
        <v>17</v>
      </c>
      <c r="S26" s="715">
        <f>F26</f>
        <v>100</v>
      </c>
      <c r="T26" s="714" t="s">
        <v>17</v>
      </c>
      <c r="U26" s="715">
        <f>H26</f>
        <v>100</v>
      </c>
      <c r="V26" s="714" t="s">
        <v>17</v>
      </c>
      <c r="W26" s="715">
        <f>J26</f>
        <v>100</v>
      </c>
      <c r="X26" s="1539"/>
      <c r="Y26" s="328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6"/>
      <c r="Q27" s="1527">
        <f t="shared" si="11"/>
        <v>111</v>
      </c>
      <c r="R27" s="710" t="s">
        <v>17</v>
      </c>
      <c r="S27" s="711">
        <f>F27</f>
        <v>100</v>
      </c>
      <c r="T27" s="710" t="s">
        <v>17</v>
      </c>
      <c r="U27" s="711">
        <f>H27</f>
        <v>100</v>
      </c>
      <c r="V27" s="710" t="s">
        <v>17</v>
      </c>
      <c r="W27" s="711">
        <f>J27</f>
        <v>100</v>
      </c>
      <c r="X27" s="712"/>
      <c r="Y27" s="328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6"/>
      <c r="Q28" s="1536">
        <f t="shared" si="11"/>
        <v>111</v>
      </c>
      <c r="R28" s="714" t="s">
        <v>17</v>
      </c>
      <c r="S28" s="715">
        <f t="shared" ref="S28:S40" si="12">F28</f>
        <v>100</v>
      </c>
      <c r="T28" s="714" t="s">
        <v>17</v>
      </c>
      <c r="U28" s="715">
        <f t="shared" ref="U28:U40" si="13">H28</f>
        <v>100</v>
      </c>
      <c r="V28" s="714" t="s">
        <v>17</v>
      </c>
      <c r="W28" s="715">
        <f t="shared" ref="W28:W40" si="14">J28</f>
        <v>100</v>
      </c>
      <c r="X28" s="1539"/>
      <c r="Y28" s="3286"/>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1" t="s">
        <v>2386</v>
      </c>
      <c r="Q29" s="1536" t="str">
        <f t="shared" si="11"/>
        <v>建筑类型</v>
      </c>
      <c r="R29" s="714" t="s">
        <v>17</v>
      </c>
      <c r="S29" s="715">
        <f t="shared" si="12"/>
        <v>100</v>
      </c>
      <c r="T29" s="714" t="s">
        <v>17</v>
      </c>
      <c r="U29" s="715">
        <f t="shared" si="13"/>
        <v>100</v>
      </c>
      <c r="V29" s="714" t="s">
        <v>17</v>
      </c>
      <c r="W29" s="715">
        <f t="shared" si="14"/>
        <v>100</v>
      </c>
      <c r="X29" s="1539"/>
      <c r="Y29" s="329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6" t="str">
        <f t="shared" si="11"/>
        <v>建筑结构</v>
      </c>
      <c r="R31" s="714" t="s">
        <v>17</v>
      </c>
      <c r="S31" s="715">
        <f t="shared" si="12"/>
        <v>100</v>
      </c>
      <c r="T31" s="714" t="s">
        <v>17</v>
      </c>
      <c r="U31" s="715">
        <f t="shared" si="13"/>
        <v>100</v>
      </c>
      <c r="V31" s="714" t="s">
        <v>17</v>
      </c>
      <c r="W31" s="715">
        <f t="shared" si="14"/>
        <v>100</v>
      </c>
      <c r="X31" s="1539"/>
      <c r="Y31" s="329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6" t="str">
        <f t="shared" si="11"/>
        <v>公共部分装修</v>
      </c>
      <c r="R32" s="714" t="s">
        <v>17</v>
      </c>
      <c r="S32" s="715">
        <f t="shared" si="12"/>
        <v>100</v>
      </c>
      <c r="T32" s="714" t="s">
        <v>17</v>
      </c>
      <c r="U32" s="715">
        <f t="shared" si="13"/>
        <v>100</v>
      </c>
      <c r="V32" s="714" t="s">
        <v>17</v>
      </c>
      <c r="W32" s="715">
        <f t="shared" si="14"/>
        <v>100</v>
      </c>
      <c r="X32" s="1539"/>
      <c r="Y32" s="329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6" t="str">
        <f t="shared" si="11"/>
        <v>成新度</v>
      </c>
      <c r="R33" s="714" t="s">
        <v>17</v>
      </c>
      <c r="S33" s="715" t="e">
        <f t="shared" si="12"/>
        <v>#N/A</v>
      </c>
      <c r="T33" s="714" t="s">
        <v>17</v>
      </c>
      <c r="U33" s="715" t="e">
        <f t="shared" si="13"/>
        <v>#N/A</v>
      </c>
      <c r="V33" s="714" t="s">
        <v>17</v>
      </c>
      <c r="W33" s="715" t="e">
        <f t="shared" si="14"/>
        <v>#N/A</v>
      </c>
      <c r="X33" s="1539"/>
      <c r="Y33" s="329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7"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2386</v>
      </c>
      <c r="Q35" s="1536" t="str">
        <f t="shared" si="11"/>
        <v>市政基础设施</v>
      </c>
      <c r="R35" s="714" t="s">
        <v>17</v>
      </c>
      <c r="S35" s="715">
        <f t="shared" si="12"/>
        <v>100</v>
      </c>
      <c r="T35" s="714" t="s">
        <v>17</v>
      </c>
      <c r="U35" s="715">
        <f t="shared" si="13"/>
        <v>100</v>
      </c>
      <c r="V35" s="714" t="s">
        <v>17</v>
      </c>
      <c r="W35" s="715">
        <f t="shared" si="14"/>
        <v>100</v>
      </c>
      <c r="X35" s="1539"/>
      <c r="Y35" s="329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6" t="str">
        <f t="shared" si="11"/>
        <v>内部装修</v>
      </c>
      <c r="R36" s="714" t="s">
        <v>17</v>
      </c>
      <c r="S36" s="715">
        <f t="shared" si="12"/>
        <v>100</v>
      </c>
      <c r="T36" s="714" t="s">
        <v>17</v>
      </c>
      <c r="U36" s="715">
        <f t="shared" si="13"/>
        <v>100</v>
      </c>
      <c r="V36" s="714" t="s">
        <v>17</v>
      </c>
      <c r="W36" s="715">
        <f t="shared" si="14"/>
        <v>100</v>
      </c>
      <c r="X36" s="1539"/>
      <c r="Y36" s="329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6" t="str">
        <f t="shared" si="11"/>
        <v>内部装修状况</v>
      </c>
      <c r="R37" s="714" t="s">
        <v>17</v>
      </c>
      <c r="S37" s="715">
        <f t="shared" si="12"/>
        <v>100</v>
      </c>
      <c r="T37" s="714" t="s">
        <v>17</v>
      </c>
      <c r="U37" s="715">
        <f t="shared" si="13"/>
        <v>100</v>
      </c>
      <c r="V37" s="714" t="s">
        <v>17</v>
      </c>
      <c r="W37" s="715">
        <f t="shared" si="14"/>
        <v>100</v>
      </c>
      <c r="X37" s="1539"/>
      <c r="Y37" s="329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6">
        <f t="shared" si="11"/>
        <v>111</v>
      </c>
      <c r="R39" s="714" t="s">
        <v>17</v>
      </c>
      <c r="S39" s="715">
        <f t="shared" si="12"/>
        <v>100</v>
      </c>
      <c r="T39" s="714" t="s">
        <v>17</v>
      </c>
      <c r="U39" s="715">
        <f t="shared" si="13"/>
        <v>100</v>
      </c>
      <c r="V39" s="714" t="s">
        <v>17</v>
      </c>
      <c r="W39" s="715">
        <f t="shared" si="14"/>
        <v>100</v>
      </c>
      <c r="X39" s="1539"/>
      <c r="Y39" s="329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1"/>
      <c r="Q40" s="1536">
        <f t="shared" si="11"/>
        <v>111</v>
      </c>
      <c r="R40" s="714" t="s">
        <v>17</v>
      </c>
      <c r="S40" s="715">
        <f t="shared" si="12"/>
        <v>100</v>
      </c>
      <c r="T40" s="714" t="s">
        <v>17</v>
      </c>
      <c r="U40" s="715">
        <f t="shared" si="13"/>
        <v>100</v>
      </c>
      <c r="V40" s="714" t="s">
        <v>17</v>
      </c>
      <c r="W40" s="715">
        <f t="shared" si="14"/>
        <v>100</v>
      </c>
      <c r="X40" s="1539"/>
      <c r="Y40" s="329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3" t="str">
        <f>A41</f>
        <v>成交单价（元/平方米）</v>
      </c>
      <c r="Q41" s="3283"/>
      <c r="R41" s="3284">
        <f>E41</f>
        <v>0</v>
      </c>
      <c r="S41" s="3284"/>
      <c r="T41" s="3284">
        <f>G41</f>
        <v>0</v>
      </c>
      <c r="U41" s="3284"/>
      <c r="V41" s="3284">
        <f>I41</f>
        <v>0</v>
      </c>
      <c r="W41" s="3284"/>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估价对象为房地产，为所有。根据《国有土地使用证》[]，估价对象（分摊）出让国有建设用地使用权面积为1442.46平方米，建筑面积为198.07平方米。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估价对象为房地产,属开发建设的，该项目尚在开发建设中。根据《国有土地使用证》[]，估价对象（分摊）出让国有建设用地使用权面积为1442.46平方米，规划建筑面积为198.07平方米。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6"/>
      <c r="Q15" s="1536"/>
      <c r="R15" s="714"/>
      <c r="S15" s="715"/>
      <c r="T15" s="714"/>
      <c r="U15" s="715"/>
      <c r="V15" s="714"/>
      <c r="W15" s="715"/>
      <c r="X15" s="1539"/>
      <c r="Y15" s="328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6"/>
      <c r="Q17" s="1536"/>
      <c r="R17" s="714"/>
      <c r="S17" s="715"/>
      <c r="T17" s="714"/>
      <c r="U17" s="715"/>
      <c r="V17" s="714"/>
      <c r="W17" s="715"/>
      <c r="X17" s="1539"/>
      <c r="Y17" s="328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6"/>
      <c r="Q19" s="1536"/>
      <c r="R19" s="714"/>
      <c r="S19" s="715"/>
      <c r="T19" s="714"/>
      <c r="U19" s="715"/>
      <c r="V19" s="714"/>
      <c r="W19" s="715"/>
      <c r="X19" s="1539"/>
      <c r="Y19" s="328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6"/>
      <c r="Q21" s="1536"/>
      <c r="R21" s="714"/>
      <c r="S21" s="715"/>
      <c r="T21" s="714"/>
      <c r="U21" s="715"/>
      <c r="V21" s="714"/>
      <c r="W21" s="715"/>
      <c r="X21" s="1539"/>
      <c r="Y21" s="328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6"/>
      <c r="Q24" s="1536">
        <f t="shared" ref="Q24:Q36"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0"/>
      <c r="Q28" s="1536" t="str">
        <f t="shared" si="11"/>
        <v>公共部分装修</v>
      </c>
      <c r="R28" s="714" t="s">
        <v>17</v>
      </c>
      <c r="S28" s="715">
        <f t="shared" si="12"/>
        <v>100</v>
      </c>
      <c r="T28" s="714" t="s">
        <v>17</v>
      </c>
      <c r="U28" s="715">
        <f t="shared" si="13"/>
        <v>100</v>
      </c>
      <c r="V28" s="714" t="s">
        <v>17</v>
      </c>
      <c r="W28" s="715">
        <f t="shared" si="14"/>
        <v>100</v>
      </c>
      <c r="X28" s="1539"/>
      <c r="Y28" s="329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0"/>
      <c r="Q29" s="1536" t="str">
        <f t="shared" si="11"/>
        <v>成新率</v>
      </c>
      <c r="R29" s="714" t="s">
        <v>17</v>
      </c>
      <c r="S29" s="715" t="e">
        <f t="shared" si="12"/>
        <v>#N/A</v>
      </c>
      <c r="T29" s="714" t="s">
        <v>17</v>
      </c>
      <c r="U29" s="715" t="e">
        <f t="shared" si="13"/>
        <v>#N/A</v>
      </c>
      <c r="V29" s="714" t="s">
        <v>17</v>
      </c>
      <c r="W29" s="715" t="e">
        <f t="shared" si="14"/>
        <v>#N/A</v>
      </c>
      <c r="X29" s="1539"/>
      <c r="Y29" s="329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0"/>
      <c r="Q30" s="1536" t="str">
        <f t="shared" si="11"/>
        <v>物业等级</v>
      </c>
      <c r="R30" s="714" t="s">
        <v>17</v>
      </c>
      <c r="S30" s="715">
        <f t="shared" si="12"/>
        <v>100</v>
      </c>
      <c r="T30" s="714" t="s">
        <v>17</v>
      </c>
      <c r="U30" s="715">
        <f t="shared" si="13"/>
        <v>100</v>
      </c>
      <c r="V30" s="714" t="s">
        <v>17</v>
      </c>
      <c r="W30" s="715">
        <f t="shared" si="14"/>
        <v>100</v>
      </c>
      <c r="X30" s="1539"/>
      <c r="Y30" s="329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0"/>
      <c r="Q31" s="1527"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0" t="s">
        <v>2386</v>
      </c>
      <c r="Q32" s="1536" t="str">
        <f t="shared" si="11"/>
        <v>车位类型</v>
      </c>
      <c r="R32" s="714" t="s">
        <v>17</v>
      </c>
      <c r="S32" s="715">
        <f t="shared" si="12"/>
        <v>100</v>
      </c>
      <c r="T32" s="714" t="s">
        <v>17</v>
      </c>
      <c r="U32" s="715">
        <f t="shared" si="13"/>
        <v>100</v>
      </c>
      <c r="V32" s="714" t="s">
        <v>17</v>
      </c>
      <c r="W32" s="715">
        <f t="shared" si="14"/>
        <v>100</v>
      </c>
      <c r="X32" s="1539"/>
      <c r="Y32" s="329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0"/>
      <c r="Q33" s="1536" t="str">
        <f t="shared" si="11"/>
        <v>是否直接入户</v>
      </c>
      <c r="R33" s="714" t="s">
        <v>17</v>
      </c>
      <c r="S33" s="715">
        <f t="shared" si="12"/>
        <v>100</v>
      </c>
      <c r="T33" s="714" t="s">
        <v>17</v>
      </c>
      <c r="U33" s="715">
        <f t="shared" si="13"/>
        <v>100</v>
      </c>
      <c r="V33" s="714" t="s">
        <v>17</v>
      </c>
      <c r="W33" s="715">
        <f t="shared" si="14"/>
        <v>100</v>
      </c>
      <c r="X33" s="1539"/>
      <c r="Y33" s="329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0"/>
      <c r="Q36" s="1536">
        <f t="shared" si="11"/>
        <v>111</v>
      </c>
      <c r="R36" s="714" t="s">
        <v>17</v>
      </c>
      <c r="S36" s="715">
        <f t="shared" si="12"/>
        <v>100</v>
      </c>
      <c r="T36" s="714" t="s">
        <v>17</v>
      </c>
      <c r="U36" s="715">
        <f t="shared" si="13"/>
        <v>100</v>
      </c>
      <c r="V36" s="714" t="s">
        <v>17</v>
      </c>
      <c r="W36" s="715">
        <f t="shared" si="14"/>
        <v>100</v>
      </c>
      <c r="X36" s="1539"/>
      <c r="Y36" s="329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3" t="str">
        <f>A37</f>
        <v>成交单价</v>
      </c>
      <c r="Q37" s="3283"/>
      <c r="R37" s="3284">
        <f>E37</f>
        <v>0</v>
      </c>
      <c r="S37" s="3284"/>
      <c r="T37" s="3284">
        <f>G37</f>
        <v>0</v>
      </c>
      <c r="U37" s="3284"/>
      <c r="V37" s="3284">
        <f>I37</f>
        <v>0</v>
      </c>
      <c r="W37" s="3284"/>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0" t="str">
        <f>A39</f>
        <v>估价对象XX用房的比较价值（楼面单价，元/平方米）</v>
      </c>
      <c r="Q39" s="3281"/>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6"/>
      <c r="Q15" s="1536"/>
      <c r="R15" s="714"/>
      <c r="S15" s="715"/>
      <c r="T15" s="714"/>
      <c r="U15" s="715"/>
      <c r="V15" s="714"/>
      <c r="W15" s="715"/>
      <c r="X15" s="1539"/>
      <c r="Y15" s="328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6"/>
      <c r="Q17" s="1536"/>
      <c r="R17" s="714"/>
      <c r="S17" s="715"/>
      <c r="T17" s="714"/>
      <c r="U17" s="715"/>
      <c r="V17" s="714"/>
      <c r="W17" s="715"/>
      <c r="X17" s="1539"/>
      <c r="Y17" s="328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6"/>
      <c r="Q19" s="1536"/>
      <c r="R19" s="714"/>
      <c r="S19" s="715"/>
      <c r="T19" s="714"/>
      <c r="U19" s="715"/>
      <c r="V19" s="714"/>
      <c r="W19" s="715"/>
      <c r="X19" s="1539"/>
      <c r="Y19" s="328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6"/>
      <c r="Q21" s="1536"/>
      <c r="R21" s="714"/>
      <c r="S21" s="715"/>
      <c r="T21" s="714"/>
      <c r="U21" s="715"/>
      <c r="V21" s="714"/>
      <c r="W21" s="715"/>
      <c r="X21" s="1539"/>
      <c r="Y21" s="328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6"/>
      <c r="Q24" s="1536">
        <f t="shared" ref="Q24:Q34"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0"/>
      <c r="Q28" s="1536" t="str">
        <f t="shared" si="11"/>
        <v>物业等级</v>
      </c>
      <c r="R28" s="714" t="s">
        <v>17</v>
      </c>
      <c r="S28" s="715">
        <f t="shared" si="12"/>
        <v>100</v>
      </c>
      <c r="T28" s="714" t="s">
        <v>17</v>
      </c>
      <c r="U28" s="715">
        <f t="shared" si="13"/>
        <v>100</v>
      </c>
      <c r="V28" s="714" t="s">
        <v>17</v>
      </c>
      <c r="W28" s="715">
        <f t="shared" si="14"/>
        <v>100</v>
      </c>
      <c r="X28" s="1539"/>
      <c r="Y28" s="329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0"/>
      <c r="Q29" s="1536" t="str">
        <f t="shared" si="11"/>
        <v>有无电梯</v>
      </c>
      <c r="R29" s="714" t="s">
        <v>17</v>
      </c>
      <c r="S29" s="715">
        <f t="shared" si="12"/>
        <v>100</v>
      </c>
      <c r="T29" s="714" t="s">
        <v>17</v>
      </c>
      <c r="U29" s="715">
        <f t="shared" si="13"/>
        <v>100</v>
      </c>
      <c r="V29" s="714" t="s">
        <v>17</v>
      </c>
      <c r="W29" s="715">
        <f t="shared" si="14"/>
        <v>100</v>
      </c>
      <c r="X29" s="1539"/>
      <c r="Y29" s="329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0"/>
      <c r="Q30" s="1536" t="str">
        <f t="shared" si="11"/>
        <v>建筑面积</v>
      </c>
      <c r="R30" s="714" t="s">
        <v>17</v>
      </c>
      <c r="S30" s="715" t="e">
        <f t="shared" si="12"/>
        <v>#N/A</v>
      </c>
      <c r="T30" s="714" t="s">
        <v>17</v>
      </c>
      <c r="U30" s="715" t="e">
        <f t="shared" si="13"/>
        <v>#N/A</v>
      </c>
      <c r="V30" s="714" t="s">
        <v>17</v>
      </c>
      <c r="W30" s="715" t="e">
        <f t="shared" si="14"/>
        <v>#N/A</v>
      </c>
      <c r="X30" s="1539"/>
      <c r="Y30" s="329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0"/>
      <c r="Q31" s="1527"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0" t="s">
        <v>2386</v>
      </c>
      <c r="Q32" s="1536">
        <f t="shared" si="11"/>
        <v>111</v>
      </c>
      <c r="R32" s="714" t="s">
        <v>17</v>
      </c>
      <c r="S32" s="715">
        <f t="shared" si="12"/>
        <v>100</v>
      </c>
      <c r="T32" s="714" t="s">
        <v>17</v>
      </c>
      <c r="U32" s="715">
        <f t="shared" si="13"/>
        <v>100</v>
      </c>
      <c r="V32" s="714" t="s">
        <v>17</v>
      </c>
      <c r="W32" s="715">
        <f t="shared" si="14"/>
        <v>100</v>
      </c>
      <c r="X32" s="1539"/>
      <c r="Y32" s="329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0"/>
      <c r="Q33" s="1536">
        <f t="shared" si="11"/>
        <v>111</v>
      </c>
      <c r="R33" s="714" t="s">
        <v>17</v>
      </c>
      <c r="S33" s="715">
        <f t="shared" si="12"/>
        <v>100</v>
      </c>
      <c r="T33" s="714" t="s">
        <v>17</v>
      </c>
      <c r="U33" s="715">
        <f t="shared" si="13"/>
        <v>100</v>
      </c>
      <c r="V33" s="714" t="s">
        <v>17</v>
      </c>
      <c r="W33" s="715">
        <f t="shared" si="14"/>
        <v>100</v>
      </c>
      <c r="X33" s="1539"/>
      <c r="Y33" s="329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83" t="str">
        <f>A35</f>
        <v>成交单价（元/平方米）</v>
      </c>
      <c r="Q35" s="3283"/>
      <c r="R35" s="3284">
        <f>E35</f>
        <v>0</v>
      </c>
      <c r="S35" s="3284"/>
      <c r="T35" s="3284">
        <f>G35</f>
        <v>0</v>
      </c>
      <c r="U35" s="3284"/>
      <c r="V35" s="3284">
        <f>I35</f>
        <v>0</v>
      </c>
      <c r="W35" s="3284"/>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0" t="str">
        <f>A37</f>
        <v>估价对象XX用房的比较价值（楼面单价，元/平方米）</v>
      </c>
      <c r="Q37" s="3281"/>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30"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30"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3"/>
      <c r="Q12" s="1527"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5" t="s">
        <v>2381</v>
      </c>
      <c r="Q15" s="1536" t="str">
        <f t="shared" si="6"/>
        <v>居住社区成熟度</v>
      </c>
      <c r="R15" s="714" t="s">
        <v>17</v>
      </c>
      <c r="S15" s="715">
        <f t="shared" si="0"/>
        <v>100</v>
      </c>
      <c r="T15" s="714" t="s">
        <v>17</v>
      </c>
      <c r="U15" s="715">
        <f t="shared" si="1"/>
        <v>100</v>
      </c>
      <c r="V15" s="714" t="s">
        <v>17</v>
      </c>
      <c r="W15" s="715">
        <f t="shared" si="2"/>
        <v>100</v>
      </c>
      <c r="X15" s="1539"/>
      <c r="Y15" s="328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6"/>
      <c r="Q17" s="1536" t="str">
        <f>B17</f>
        <v>商业繁华度</v>
      </c>
      <c r="R17" s="714" t="s">
        <v>17</v>
      </c>
      <c r="S17" s="715">
        <f>F17</f>
        <v>100</v>
      </c>
      <c r="T17" s="714" t="s">
        <v>17</v>
      </c>
      <c r="U17" s="715">
        <f>H17</f>
        <v>100</v>
      </c>
      <c r="V17" s="714" t="s">
        <v>17</v>
      </c>
      <c r="W17" s="715">
        <f>J17</f>
        <v>100</v>
      </c>
      <c r="X17" s="1539"/>
      <c r="Y17" s="328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6"/>
      <c r="Q19" s="1536" t="str">
        <f>B19</f>
        <v>办公集聚程度</v>
      </c>
      <c r="R19" s="714" t="s">
        <v>17</v>
      </c>
      <c r="S19" s="715">
        <f>F19</f>
        <v>100</v>
      </c>
      <c r="T19" s="714" t="s">
        <v>17</v>
      </c>
      <c r="U19" s="715">
        <f>H19</f>
        <v>100</v>
      </c>
      <c r="V19" s="714" t="s">
        <v>17</v>
      </c>
      <c r="W19" s="715">
        <f>J19</f>
        <v>100</v>
      </c>
      <c r="X19" s="1539"/>
      <c r="Y19" s="328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6"/>
      <c r="Q20" s="1536"/>
      <c r="R20" s="714"/>
      <c r="S20" s="715"/>
      <c r="T20" s="714"/>
      <c r="U20" s="715"/>
      <c r="V20" s="714"/>
      <c r="W20" s="715"/>
      <c r="X20" s="1539"/>
      <c r="Y20" s="328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6"/>
      <c r="Q21" s="1536" t="str">
        <f>B21</f>
        <v>交通便捷度</v>
      </c>
      <c r="R21" s="714" t="s">
        <v>17</v>
      </c>
      <c r="S21" s="715">
        <f>F21</f>
        <v>100</v>
      </c>
      <c r="T21" s="714" t="s">
        <v>17</v>
      </c>
      <c r="U21" s="715">
        <f>H21</f>
        <v>100</v>
      </c>
      <c r="V21" s="714" t="s">
        <v>17</v>
      </c>
      <c r="W21" s="715">
        <f>J21</f>
        <v>100</v>
      </c>
      <c r="X21" s="1539"/>
      <c r="Y21" s="328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6"/>
      <c r="Q23" s="1536" t="str">
        <f t="shared" ref="Q23:Q37" si="8">B23</f>
        <v>区域土地利用方向</v>
      </c>
      <c r="R23" s="714" t="s">
        <v>17</v>
      </c>
      <c r="S23" s="715">
        <f>F23</f>
        <v>100</v>
      </c>
      <c r="T23" s="714" t="s">
        <v>17</v>
      </c>
      <c r="U23" s="715">
        <f>H23</f>
        <v>100</v>
      </c>
      <c r="V23" s="714" t="s">
        <v>17</v>
      </c>
      <c r="W23" s="715">
        <f>J23</f>
        <v>100</v>
      </c>
      <c r="X23" s="1539"/>
      <c r="Y23" s="328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6"/>
      <c r="Q24" s="1536"/>
      <c r="R24" s="714"/>
      <c r="S24" s="715"/>
      <c r="T24" s="714"/>
      <c r="U24" s="715"/>
      <c r="V24" s="714"/>
      <c r="W24" s="715"/>
      <c r="X24" s="1539"/>
      <c r="Y24" s="328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6"/>
      <c r="Q25" s="1536" t="str">
        <f t="shared" si="8"/>
        <v>自然及人文环境状况</v>
      </c>
      <c r="R25" s="714" t="s">
        <v>17</v>
      </c>
      <c r="S25" s="715">
        <f>F25</f>
        <v>100</v>
      </c>
      <c r="T25" s="714" t="s">
        <v>17</v>
      </c>
      <c r="U25" s="715">
        <f>H25</f>
        <v>100</v>
      </c>
      <c r="V25" s="714" t="s">
        <v>17</v>
      </c>
      <c r="W25" s="715">
        <f>J25</f>
        <v>100</v>
      </c>
      <c r="X25" s="1539"/>
      <c r="Y25" s="328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6"/>
      <c r="Q26" s="1536"/>
      <c r="R26" s="714"/>
      <c r="S26" s="715"/>
      <c r="T26" s="714"/>
      <c r="U26" s="715"/>
      <c r="V26" s="714"/>
      <c r="W26" s="715"/>
      <c r="X26" s="1539"/>
      <c r="Y26" s="328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6"/>
      <c r="Q27" s="1527" t="str">
        <f t="shared" si="8"/>
        <v>公共配套设施</v>
      </c>
      <c r="R27" s="710" t="s">
        <v>17</v>
      </c>
      <c r="S27" s="711">
        <f>F27</f>
        <v>100</v>
      </c>
      <c r="T27" s="710" t="s">
        <v>17</v>
      </c>
      <c r="U27" s="711">
        <f>H27</f>
        <v>100</v>
      </c>
      <c r="V27" s="710" t="s">
        <v>17</v>
      </c>
      <c r="W27" s="711">
        <f>J27</f>
        <v>100</v>
      </c>
      <c r="X27" s="712"/>
      <c r="Y27" s="328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6"/>
      <c r="Q28" s="1527"/>
      <c r="R28" s="710"/>
      <c r="S28" s="711"/>
      <c r="T28" s="710"/>
      <c r="U28" s="711"/>
      <c r="V28" s="710"/>
      <c r="W28" s="711"/>
      <c r="X28" s="712"/>
      <c r="Y28" s="328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6"/>
      <c r="Q29" s="1527" t="str">
        <f t="shared" ref="Q29" si="9">B29</f>
        <v>基础设施水平</v>
      </c>
      <c r="R29" s="710" t="s">
        <v>17</v>
      </c>
      <c r="S29" s="711">
        <f>F29</f>
        <v>100</v>
      </c>
      <c r="T29" s="710" t="s">
        <v>17</v>
      </c>
      <c r="U29" s="711">
        <f>H29</f>
        <v>100</v>
      </c>
      <c r="V29" s="710" t="s">
        <v>17</v>
      </c>
      <c r="W29" s="711">
        <f>J29</f>
        <v>100</v>
      </c>
      <c r="X29" s="712"/>
      <c r="Y29" s="328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6"/>
      <c r="Q30" s="1527"/>
      <c r="R30" s="710"/>
      <c r="S30" s="711"/>
      <c r="T30" s="710"/>
      <c r="U30" s="711"/>
      <c r="V30" s="710"/>
      <c r="W30" s="711"/>
      <c r="X30" s="712"/>
      <c r="Y30" s="328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6"/>
      <c r="Q32" s="1536" t="str">
        <f t="shared" si="8"/>
        <v>毗邻道路的类型与等级</v>
      </c>
      <c r="R32" s="714" t="s">
        <v>17</v>
      </c>
      <c r="S32" s="715">
        <f t="shared" si="10"/>
        <v>100</v>
      </c>
      <c r="T32" s="714" t="s">
        <v>17</v>
      </c>
      <c r="U32" s="715">
        <f t="shared" si="11"/>
        <v>100</v>
      </c>
      <c r="V32" s="714" t="s">
        <v>17</v>
      </c>
      <c r="W32" s="715">
        <f t="shared" si="12"/>
        <v>100</v>
      </c>
      <c r="X32" s="1539"/>
      <c r="Y32" s="328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6"/>
      <c r="Q33" s="1536"/>
      <c r="R33" s="714"/>
      <c r="S33" s="715"/>
      <c r="T33" s="714"/>
      <c r="U33" s="715"/>
      <c r="V33" s="714"/>
      <c r="W33" s="715"/>
      <c r="X33" s="1539"/>
      <c r="Y33" s="328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6"/>
      <c r="Q34" s="1536" t="str">
        <f t="shared" si="8"/>
        <v>土地级别</v>
      </c>
      <c r="R34" s="714" t="s">
        <v>17</v>
      </c>
      <c r="S34" s="715">
        <f t="shared" si="10"/>
        <v>100</v>
      </c>
      <c r="T34" s="714" t="s">
        <v>17</v>
      </c>
      <c r="U34" s="715">
        <f t="shared" si="11"/>
        <v>100</v>
      </c>
      <c r="V34" s="714" t="s">
        <v>17</v>
      </c>
      <c r="W34" s="715">
        <f t="shared" si="12"/>
        <v>100</v>
      </c>
      <c r="X34" s="1539"/>
      <c r="Y34" s="328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6"/>
      <c r="Q35" s="1536">
        <f t="shared" si="8"/>
        <v>111</v>
      </c>
      <c r="R35" s="714" t="s">
        <v>17</v>
      </c>
      <c r="S35" s="715">
        <f t="shared" si="10"/>
        <v>100</v>
      </c>
      <c r="T35" s="714" t="s">
        <v>17</v>
      </c>
      <c r="U35" s="715">
        <f t="shared" si="11"/>
        <v>100</v>
      </c>
      <c r="V35" s="714" t="s">
        <v>17</v>
      </c>
      <c r="W35" s="715">
        <f t="shared" si="12"/>
        <v>100</v>
      </c>
      <c r="X35" s="1539"/>
      <c r="Y35" s="328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1" t="s">
        <v>2386</v>
      </c>
      <c r="Q36" s="1536">
        <f t="shared" si="8"/>
        <v>111</v>
      </c>
      <c r="R36" s="714" t="s">
        <v>17</v>
      </c>
      <c r="S36" s="715">
        <f t="shared" si="10"/>
        <v>100</v>
      </c>
      <c r="T36" s="714" t="s">
        <v>17</v>
      </c>
      <c r="U36" s="715">
        <f t="shared" si="11"/>
        <v>100</v>
      </c>
      <c r="V36" s="714" t="s">
        <v>17</v>
      </c>
      <c r="W36" s="715">
        <f t="shared" si="12"/>
        <v>100</v>
      </c>
      <c r="X36" s="1539"/>
      <c r="Y36" s="329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0"/>
      <c r="Q37" s="1536">
        <f t="shared" si="8"/>
        <v>111</v>
      </c>
      <c r="R37" s="717" t="s">
        <v>17</v>
      </c>
      <c r="S37" s="718">
        <f t="shared" si="10"/>
        <v>100</v>
      </c>
      <c r="T37" s="717" t="s">
        <v>17</v>
      </c>
      <c r="U37" s="718">
        <f t="shared" si="11"/>
        <v>100</v>
      </c>
      <c r="V37" s="717" t="s">
        <v>17</v>
      </c>
      <c r="W37" s="718">
        <f t="shared" si="12"/>
        <v>100</v>
      </c>
      <c r="X37" s="719"/>
      <c r="Y37" s="329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0"/>
      <c r="Q38" s="1536" t="str">
        <f>B38</f>
        <v>宗地面积</v>
      </c>
      <c r="R38" s="714" t="s">
        <v>17</v>
      </c>
      <c r="S38" s="715" t="e">
        <f t="shared" si="10"/>
        <v>#N/A</v>
      </c>
      <c r="T38" s="714" t="s">
        <v>17</v>
      </c>
      <c r="U38" s="715" t="e">
        <f t="shared" si="11"/>
        <v>#N/A</v>
      </c>
      <c r="V38" s="714" t="s">
        <v>17</v>
      </c>
      <c r="W38" s="715" t="e">
        <f t="shared" si="12"/>
        <v>#N/A</v>
      </c>
      <c r="X38" s="1539"/>
      <c r="Y38" s="329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0"/>
      <c r="Q39" s="1536" t="str">
        <f t="shared" ref="Q39:Q45" si="14">B39</f>
        <v>宗地形状</v>
      </c>
      <c r="R39" s="714" t="s">
        <v>17</v>
      </c>
      <c r="S39" s="715">
        <f t="shared" si="10"/>
        <v>100</v>
      </c>
      <c r="T39" s="714" t="s">
        <v>17</v>
      </c>
      <c r="U39" s="715">
        <f t="shared" si="11"/>
        <v>100</v>
      </c>
      <c r="V39" s="714" t="s">
        <v>17</v>
      </c>
      <c r="W39" s="715">
        <f t="shared" si="12"/>
        <v>100</v>
      </c>
      <c r="X39" s="1539"/>
      <c r="Y39" s="329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0"/>
      <c r="Q40" s="1536" t="str">
        <f t="shared" si="14"/>
        <v>临街宽度及深度</v>
      </c>
      <c r="R40" s="714" t="s">
        <v>17</v>
      </c>
      <c r="S40" s="715">
        <f t="shared" si="10"/>
        <v>100</v>
      </c>
      <c r="T40" s="714" t="s">
        <v>17</v>
      </c>
      <c r="U40" s="715">
        <f t="shared" si="11"/>
        <v>100</v>
      </c>
      <c r="V40" s="714" t="s">
        <v>17</v>
      </c>
      <c r="W40" s="715">
        <f t="shared" si="12"/>
        <v>100</v>
      </c>
      <c r="X40" s="1539"/>
      <c r="Y40" s="329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0"/>
      <c r="Q41" s="1536"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0" t="s">
        <v>2386</v>
      </c>
      <c r="Q42" s="1536" t="str">
        <f t="shared" si="14"/>
        <v>工程地质条件</v>
      </c>
      <c r="R42" s="714" t="s">
        <v>17</v>
      </c>
      <c r="S42" s="715">
        <f t="shared" si="10"/>
        <v>100</v>
      </c>
      <c r="T42" s="714" t="s">
        <v>17</v>
      </c>
      <c r="U42" s="715">
        <f t="shared" si="11"/>
        <v>100</v>
      </c>
      <c r="V42" s="714" t="s">
        <v>17</v>
      </c>
      <c r="W42" s="715">
        <f t="shared" si="12"/>
        <v>100</v>
      </c>
      <c r="X42" s="1539"/>
      <c r="Y42" s="329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0"/>
      <c r="Q43" s="1536">
        <f t="shared" si="14"/>
        <v>111</v>
      </c>
      <c r="R43" s="714" t="s">
        <v>17</v>
      </c>
      <c r="S43" s="715">
        <f t="shared" si="10"/>
        <v>100</v>
      </c>
      <c r="T43" s="714" t="s">
        <v>17</v>
      </c>
      <c r="U43" s="715">
        <f t="shared" si="11"/>
        <v>100</v>
      </c>
      <c r="V43" s="714" t="s">
        <v>17</v>
      </c>
      <c r="W43" s="715">
        <f t="shared" si="12"/>
        <v>100</v>
      </c>
      <c r="X43" s="1539"/>
      <c r="Y43" s="329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0"/>
      <c r="Q44" s="1536">
        <f t="shared" si="14"/>
        <v>111</v>
      </c>
      <c r="R44" s="714" t="s">
        <v>17</v>
      </c>
      <c r="S44" s="715">
        <f t="shared" si="10"/>
        <v>100</v>
      </c>
      <c r="T44" s="714" t="s">
        <v>17</v>
      </c>
      <c r="U44" s="715">
        <f t="shared" si="11"/>
        <v>100</v>
      </c>
      <c r="V44" s="714" t="s">
        <v>17</v>
      </c>
      <c r="W44" s="715">
        <f t="shared" si="12"/>
        <v>100</v>
      </c>
      <c r="X44" s="1539"/>
      <c r="Y44" s="329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0"/>
      <c r="Q45" s="1536">
        <f t="shared" si="14"/>
        <v>111</v>
      </c>
      <c r="R45" s="717" t="s">
        <v>17</v>
      </c>
      <c r="S45" s="718">
        <f t="shared" si="10"/>
        <v>100</v>
      </c>
      <c r="T45" s="717" t="s">
        <v>17</v>
      </c>
      <c r="U45" s="718">
        <f t="shared" si="11"/>
        <v>100</v>
      </c>
      <c r="V45" s="717" t="s">
        <v>17</v>
      </c>
      <c r="W45" s="718">
        <f t="shared" si="12"/>
        <v>100</v>
      </c>
      <c r="X45" s="719"/>
      <c r="Y45" s="329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83" t="str">
        <f>A46</f>
        <v>成交单价</v>
      </c>
      <c r="Q46" s="3283"/>
      <c r="R46" s="3314">
        <f>E46</f>
        <v>0</v>
      </c>
      <c r="S46" s="3314"/>
      <c r="T46" s="3314">
        <f>G46</f>
        <v>0</v>
      </c>
      <c r="U46" s="3314"/>
      <c r="V46" s="3314">
        <f>I46</f>
        <v>0</v>
      </c>
      <c r="W46" s="3314"/>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283" t="str">
        <f>A47</f>
        <v>比较价值（元/平方米）</v>
      </c>
      <c r="Q47" s="3283"/>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80" t="str">
        <f>A48</f>
        <v>估价对象XX用房的比较价值（楼面单价，元/平方米）</v>
      </c>
      <c r="Q48" s="3281"/>
      <c r="R48" s="3344" t="e">
        <f>ROUND(IF(D47="简单平均",AVERAGE(R47:W47),R47*F47+T47*H47+V47*J47),0)</f>
        <v>#DIV/0!</v>
      </c>
      <c r="S48" s="3344"/>
      <c r="T48" s="3344"/>
      <c r="U48" s="3344"/>
      <c r="V48" s="3344"/>
      <c r="W48" s="334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8" t="s">
        <v>2585</v>
      </c>
      <c r="H55" s="334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198.07</v>
      </c>
      <c r="F56" s="1017" t="e">
        <f t="shared" ref="F56:F65" si="15">ROUND(B56*E56/10000,0)</f>
        <v>#DIV/0!</v>
      </c>
      <c r="G56" s="3294"/>
      <c r="H56" s="328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6"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198.07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47" t="s">
        <v>2618</v>
      </c>
      <c r="D6" s="3348"/>
      <c r="E6" s="3349" t="s">
        <v>2618</v>
      </c>
      <c r="F6" s="3350"/>
      <c r="G6" s="3347" t="s">
        <v>2618</v>
      </c>
      <c r="H6" s="3348"/>
      <c r="I6" s="3347" t="s">
        <v>2618</v>
      </c>
      <c r="J6" s="3348"/>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6"/>
      <c r="Q19" s="1536" t="str">
        <f t="shared" ref="Q19:Q33" si="8">B19</f>
        <v>区域土地利用方向</v>
      </c>
      <c r="R19" s="714" t="s">
        <v>17</v>
      </c>
      <c r="S19" s="715">
        <f>F19</f>
        <v>100</v>
      </c>
      <c r="T19" s="714" t="s">
        <v>17</v>
      </c>
      <c r="U19" s="715">
        <f>H19</f>
        <v>100</v>
      </c>
      <c r="V19" s="714" t="s">
        <v>17</v>
      </c>
      <c r="W19" s="715">
        <f>J19</f>
        <v>100</v>
      </c>
      <c r="X19" s="1539"/>
      <c r="Y19" s="328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6"/>
      <c r="Q20" s="1536"/>
      <c r="R20" s="714"/>
      <c r="S20" s="715"/>
      <c r="T20" s="714"/>
      <c r="U20" s="715"/>
      <c r="V20" s="714"/>
      <c r="W20" s="715"/>
      <c r="X20" s="1539"/>
      <c r="Y20" s="328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6"/>
      <c r="Q21" s="1536" t="str">
        <f t="shared" si="8"/>
        <v>环境状况</v>
      </c>
      <c r="R21" s="714" t="s">
        <v>17</v>
      </c>
      <c r="S21" s="715">
        <f>F21</f>
        <v>100</v>
      </c>
      <c r="T21" s="714" t="s">
        <v>17</v>
      </c>
      <c r="U21" s="715">
        <f>H21</f>
        <v>100</v>
      </c>
      <c r="V21" s="714" t="s">
        <v>17</v>
      </c>
      <c r="W21" s="715">
        <f>J21</f>
        <v>100</v>
      </c>
      <c r="X21" s="1539"/>
      <c r="Y21" s="328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6"/>
      <c r="Q23" s="1527" t="str">
        <f t="shared" si="8"/>
        <v>公共配套设施</v>
      </c>
      <c r="R23" s="710" t="s">
        <v>17</v>
      </c>
      <c r="S23" s="711">
        <f>F23</f>
        <v>100</v>
      </c>
      <c r="T23" s="710" t="s">
        <v>17</v>
      </c>
      <c r="U23" s="711">
        <f>H23</f>
        <v>100</v>
      </c>
      <c r="V23" s="710" t="s">
        <v>17</v>
      </c>
      <c r="W23" s="711">
        <f>J23</f>
        <v>100</v>
      </c>
      <c r="X23" s="712"/>
      <c r="Y23" s="328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6"/>
      <c r="Q24" s="1527"/>
      <c r="R24" s="710"/>
      <c r="S24" s="711"/>
      <c r="T24" s="710"/>
      <c r="U24" s="711"/>
      <c r="V24" s="710"/>
      <c r="W24" s="711"/>
      <c r="X24" s="712"/>
      <c r="Y24" s="328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6"/>
      <c r="Q25" s="1527" t="str">
        <f t="shared" ref="Q25" si="9">B25</f>
        <v>基础设施水平</v>
      </c>
      <c r="R25" s="710" t="s">
        <v>17</v>
      </c>
      <c r="S25" s="711">
        <f>F25</f>
        <v>100</v>
      </c>
      <c r="T25" s="710" t="s">
        <v>17</v>
      </c>
      <c r="U25" s="711">
        <f>H25</f>
        <v>100</v>
      </c>
      <c r="V25" s="710" t="s">
        <v>17</v>
      </c>
      <c r="W25" s="711">
        <f>J25</f>
        <v>100</v>
      </c>
      <c r="X25" s="712"/>
      <c r="Y25" s="328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6"/>
      <c r="Q26" s="1527"/>
      <c r="R26" s="710"/>
      <c r="S26" s="711"/>
      <c r="T26" s="710"/>
      <c r="U26" s="711"/>
      <c r="V26" s="710"/>
      <c r="W26" s="711"/>
      <c r="X26" s="712"/>
      <c r="Y26" s="328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6"/>
      <c r="Q28" s="1536" t="str">
        <f t="shared" si="8"/>
        <v>毗邻道路的类型与等级</v>
      </c>
      <c r="R28" s="714" t="s">
        <v>17</v>
      </c>
      <c r="S28" s="715">
        <f t="shared" si="10"/>
        <v>100</v>
      </c>
      <c r="T28" s="714" t="s">
        <v>17</v>
      </c>
      <c r="U28" s="715">
        <f t="shared" si="11"/>
        <v>100</v>
      </c>
      <c r="V28" s="714" t="s">
        <v>17</v>
      </c>
      <c r="W28" s="715">
        <f t="shared" si="12"/>
        <v>100</v>
      </c>
      <c r="X28" s="1539"/>
      <c r="Y28" s="328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6"/>
      <c r="Q29" s="1536"/>
      <c r="R29" s="714"/>
      <c r="S29" s="715"/>
      <c r="T29" s="714"/>
      <c r="U29" s="715"/>
      <c r="V29" s="714"/>
      <c r="W29" s="715"/>
      <c r="X29" s="1539"/>
      <c r="Y29" s="328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6"/>
      <c r="Q30" s="1536" t="str">
        <f t="shared" si="8"/>
        <v>土地级别</v>
      </c>
      <c r="R30" s="714" t="s">
        <v>17</v>
      </c>
      <c r="S30" s="715">
        <f t="shared" si="10"/>
        <v>100</v>
      </c>
      <c r="T30" s="714" t="s">
        <v>17</v>
      </c>
      <c r="U30" s="715">
        <f t="shared" si="11"/>
        <v>100</v>
      </c>
      <c r="V30" s="714" t="s">
        <v>17</v>
      </c>
      <c r="W30" s="715">
        <f t="shared" si="12"/>
        <v>100</v>
      </c>
      <c r="X30" s="1539"/>
      <c r="Y30" s="328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6"/>
      <c r="Q31" s="1536">
        <f t="shared" si="8"/>
        <v>111</v>
      </c>
      <c r="R31" s="714" t="s">
        <v>17</v>
      </c>
      <c r="S31" s="715">
        <f t="shared" si="10"/>
        <v>100</v>
      </c>
      <c r="T31" s="714" t="s">
        <v>17</v>
      </c>
      <c r="U31" s="715">
        <f t="shared" si="11"/>
        <v>100</v>
      </c>
      <c r="V31" s="714" t="s">
        <v>17</v>
      </c>
      <c r="W31" s="715">
        <f t="shared" si="12"/>
        <v>100</v>
      </c>
      <c r="X31" s="1539"/>
      <c r="Y31" s="328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1" t="s">
        <v>2386</v>
      </c>
      <c r="Q32" s="1536">
        <f t="shared" si="8"/>
        <v>111</v>
      </c>
      <c r="R32" s="714" t="s">
        <v>17</v>
      </c>
      <c r="S32" s="715">
        <f t="shared" si="10"/>
        <v>100</v>
      </c>
      <c r="T32" s="714" t="s">
        <v>17</v>
      </c>
      <c r="U32" s="715">
        <f t="shared" si="11"/>
        <v>100</v>
      </c>
      <c r="V32" s="714" t="s">
        <v>17</v>
      </c>
      <c r="W32" s="715">
        <f t="shared" si="12"/>
        <v>100</v>
      </c>
      <c r="X32" s="1539"/>
      <c r="Y32" s="329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0"/>
      <c r="Q33" s="1536">
        <f t="shared" si="8"/>
        <v>111</v>
      </c>
      <c r="R33" s="717" t="s">
        <v>17</v>
      </c>
      <c r="S33" s="718">
        <f t="shared" si="10"/>
        <v>100</v>
      </c>
      <c r="T33" s="717" t="s">
        <v>17</v>
      </c>
      <c r="U33" s="718">
        <f t="shared" si="11"/>
        <v>100</v>
      </c>
      <c r="V33" s="717" t="s">
        <v>17</v>
      </c>
      <c r="W33" s="718">
        <f t="shared" si="12"/>
        <v>100</v>
      </c>
      <c r="X33" s="719"/>
      <c r="Y33" s="329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0"/>
      <c r="Q34" s="1536" t="str">
        <f>B34</f>
        <v>宗地面积</v>
      </c>
      <c r="R34" s="714" t="s">
        <v>17</v>
      </c>
      <c r="S34" s="715" t="e">
        <f t="shared" si="10"/>
        <v>#N/A</v>
      </c>
      <c r="T34" s="714" t="s">
        <v>17</v>
      </c>
      <c r="U34" s="715" t="e">
        <f t="shared" si="11"/>
        <v>#N/A</v>
      </c>
      <c r="V34" s="714" t="s">
        <v>17</v>
      </c>
      <c r="W34" s="715" t="e">
        <f t="shared" si="12"/>
        <v>#N/A</v>
      </c>
      <c r="X34" s="1539"/>
      <c r="Y34" s="329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0"/>
      <c r="Q35" s="1536" t="str">
        <f t="shared" ref="Q35:Q40" si="14">B35</f>
        <v>宗地形状</v>
      </c>
      <c r="R35" s="714" t="s">
        <v>17</v>
      </c>
      <c r="S35" s="715">
        <f t="shared" si="10"/>
        <v>100</v>
      </c>
      <c r="T35" s="714" t="s">
        <v>17</v>
      </c>
      <c r="U35" s="715">
        <f t="shared" si="11"/>
        <v>100</v>
      </c>
      <c r="V35" s="714" t="s">
        <v>17</v>
      </c>
      <c r="W35" s="715">
        <f t="shared" si="12"/>
        <v>100</v>
      </c>
      <c r="X35" s="1539"/>
      <c r="Y35" s="329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0"/>
      <c r="Q36" s="1536"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0" t="s">
        <v>2386</v>
      </c>
      <c r="Q37" s="1536" t="str">
        <f t="shared" si="14"/>
        <v>工程地质条件</v>
      </c>
      <c r="R37" s="714" t="s">
        <v>17</v>
      </c>
      <c r="S37" s="715">
        <f t="shared" si="10"/>
        <v>100</v>
      </c>
      <c r="T37" s="714" t="s">
        <v>17</v>
      </c>
      <c r="U37" s="715">
        <f t="shared" si="11"/>
        <v>100</v>
      </c>
      <c r="V37" s="714" t="s">
        <v>17</v>
      </c>
      <c r="W37" s="715">
        <f t="shared" si="12"/>
        <v>100</v>
      </c>
      <c r="X37" s="1539"/>
      <c r="Y37" s="329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0"/>
      <c r="Q38" s="1536">
        <f t="shared" si="14"/>
        <v>111</v>
      </c>
      <c r="R38" s="714" t="s">
        <v>17</v>
      </c>
      <c r="S38" s="715">
        <f t="shared" si="10"/>
        <v>100</v>
      </c>
      <c r="T38" s="714" t="s">
        <v>17</v>
      </c>
      <c r="U38" s="715">
        <f t="shared" si="11"/>
        <v>100</v>
      </c>
      <c r="V38" s="714" t="s">
        <v>17</v>
      </c>
      <c r="W38" s="715">
        <f t="shared" si="12"/>
        <v>100</v>
      </c>
      <c r="X38" s="1539"/>
      <c r="Y38" s="329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0"/>
      <c r="Q39" s="1536">
        <f t="shared" si="14"/>
        <v>111</v>
      </c>
      <c r="R39" s="714" t="s">
        <v>17</v>
      </c>
      <c r="S39" s="715">
        <f t="shared" si="10"/>
        <v>100</v>
      </c>
      <c r="T39" s="714" t="s">
        <v>17</v>
      </c>
      <c r="U39" s="715">
        <f t="shared" si="11"/>
        <v>100</v>
      </c>
      <c r="V39" s="714" t="s">
        <v>17</v>
      </c>
      <c r="W39" s="715">
        <f t="shared" si="12"/>
        <v>100</v>
      </c>
      <c r="X39" s="1539"/>
      <c r="Y39" s="329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0"/>
      <c r="Q40" s="1536">
        <f t="shared" si="14"/>
        <v>111</v>
      </c>
      <c r="R40" s="717" t="s">
        <v>17</v>
      </c>
      <c r="S40" s="718">
        <f t="shared" si="10"/>
        <v>100</v>
      </c>
      <c r="T40" s="717" t="s">
        <v>17</v>
      </c>
      <c r="U40" s="718">
        <f t="shared" si="11"/>
        <v>100</v>
      </c>
      <c r="V40" s="717" t="s">
        <v>17</v>
      </c>
      <c r="W40" s="718">
        <f t="shared" si="12"/>
        <v>100</v>
      </c>
      <c r="X40" s="719"/>
      <c r="Y40" s="329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83" t="str">
        <f>A41</f>
        <v>成交单价</v>
      </c>
      <c r="Q41" s="3283"/>
      <c r="R41" s="3314">
        <f>E41</f>
        <v>0</v>
      </c>
      <c r="S41" s="3314"/>
      <c r="T41" s="3314">
        <f>G41</f>
        <v>0</v>
      </c>
      <c r="U41" s="3314"/>
      <c r="V41" s="3314">
        <f>I41</f>
        <v>0</v>
      </c>
      <c r="W41" s="3314"/>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283" t="str">
        <f>A42</f>
        <v>比较价值（元/平方米）</v>
      </c>
      <c r="Q42" s="3283"/>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0" t="str">
        <f>A43</f>
        <v>估价对象XX用房的比较价值（楼面单价，元/平方米）</v>
      </c>
      <c r="Q43" s="3281"/>
      <c r="R43" s="3344" t="e">
        <f>ROUND(IF(D42="简单平均",AVERAGE(R42:W42),R42*F42+T42*H42+V42*J42),0)</f>
        <v>#DIV/0!</v>
      </c>
      <c r="S43" s="3344"/>
      <c r="T43" s="3344"/>
      <c r="U43" s="3344"/>
      <c r="V43" s="3344"/>
      <c r="W43" s="334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8" t="s">
        <v>2585</v>
      </c>
      <c r="H50" s="334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198.07</v>
      </c>
      <c r="F51" s="647" t="e">
        <f t="shared" ref="F51:F60" si="15">ROUND(B51*E51/10000,0)</f>
        <v>#DIV/0!</v>
      </c>
      <c r="G51" s="3294"/>
      <c r="H51" s="328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6"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0.14000000000000001</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4"/>
      <c r="B4" s="3355"/>
      <c r="C4" s="3355"/>
      <c r="D4" s="3356"/>
      <c r="E4" s="3356"/>
      <c r="F4" s="3356"/>
      <c r="G4" s="3356"/>
      <c r="H4" s="3356"/>
      <c r="I4" s="3356"/>
      <c r="J4" s="3357"/>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58"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0.14000000000000001</v>
      </c>
      <c r="AA7" s="1378"/>
      <c r="AB7" s="1378"/>
      <c r="AC7" s="1379"/>
      <c r="AD7" s="1380"/>
      <c r="AE7" s="1380"/>
      <c r="AF7" s="1380"/>
      <c r="AG7" s="1380"/>
      <c r="AH7" s="1380"/>
      <c r="AI7" s="1380"/>
      <c r="AJ7" s="1381"/>
    </row>
    <row r="8" spans="1:36" ht="15">
      <c r="A8" s="3359"/>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1" t="s">
        <v>2661</v>
      </c>
      <c r="X8" s="335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59"/>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3"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3" t="s">
        <v>2685</v>
      </c>
      <c r="X11" s="1386" t="s">
        <v>2686</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358"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53"/>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360"/>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61"/>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8" t="s">
        <v>2704</v>
      </c>
      <c r="B16" s="2209" t="s">
        <v>2705</v>
      </c>
      <c r="C16" s="2371" t="e">
        <f>ROUND(IF(F17="与级别开发程度一致",0,(G17-E17)/C17),0)</f>
        <v>#DIV/0!</v>
      </c>
      <c r="D16" s="3374" t="s">
        <v>2709</v>
      </c>
      <c r="E16" s="3375"/>
      <c r="F16" s="3374" t="s">
        <v>2706</v>
      </c>
      <c r="G16" s="337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2"/>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1"/>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6"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2"/>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2"/>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3"/>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3" t="s">
        <v>2792</v>
      </c>
      <c r="B90" s="3363"/>
      <c r="C90" s="3363"/>
      <c r="D90" s="3363"/>
      <c r="E90" s="3363"/>
      <c r="F90" s="3363"/>
      <c r="G90" s="3363"/>
      <c r="H90" s="3363"/>
      <c r="I90" s="3363"/>
      <c r="J90" s="3363"/>
      <c r="K90" s="2343"/>
      <c r="L90" s="2343"/>
      <c r="M90" s="2343"/>
      <c r="N90" s="2343"/>
    </row>
    <row r="91" spans="1:37">
      <c r="A91" s="3365" t="s">
        <v>2793</v>
      </c>
      <c r="B91" s="3365" t="s">
        <v>2794</v>
      </c>
      <c r="C91" s="2297" t="s">
        <v>2795</v>
      </c>
      <c r="D91" s="2298"/>
      <c r="E91" s="2298"/>
      <c r="F91" s="2298"/>
      <c r="G91" s="2298"/>
      <c r="H91" s="2298"/>
      <c r="I91" s="2298"/>
      <c r="J91" s="2344"/>
      <c r="K91" s="2345"/>
      <c r="L91" s="2345"/>
      <c r="M91" s="2345"/>
      <c r="N91" s="2345"/>
    </row>
    <row r="92" spans="1:37">
      <c r="A92" s="3365"/>
      <c r="B92" s="336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6"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7"/>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6" t="s">
        <v>2797</v>
      </c>
      <c r="B101" s="2350" t="s">
        <v>2798</v>
      </c>
      <c r="C101" s="2351">
        <f>$G$3</f>
        <v>0.14000000000000001</v>
      </c>
      <c r="D101" s="2351">
        <f t="shared" ref="D101:N101" si="31">$G$3</f>
        <v>0.14000000000000001</v>
      </c>
      <c r="E101" s="2351">
        <f t="shared" si="31"/>
        <v>0.14000000000000001</v>
      </c>
      <c r="F101" s="2351">
        <f t="shared" si="31"/>
        <v>0.14000000000000001</v>
      </c>
      <c r="G101" s="2351">
        <f t="shared" si="31"/>
        <v>0.14000000000000001</v>
      </c>
      <c r="H101" s="2351">
        <f t="shared" si="31"/>
        <v>0.14000000000000001</v>
      </c>
      <c r="I101" s="2351">
        <f t="shared" si="31"/>
        <v>0.14000000000000001</v>
      </c>
      <c r="J101" s="2351">
        <f t="shared" si="31"/>
        <v>0.14000000000000001</v>
      </c>
      <c r="K101" s="2351">
        <f t="shared" si="31"/>
        <v>0.14000000000000001</v>
      </c>
      <c r="L101" s="2351">
        <f t="shared" si="31"/>
        <v>0.14000000000000001</v>
      </c>
      <c r="M101" s="2351">
        <f t="shared" si="31"/>
        <v>0.14000000000000001</v>
      </c>
      <c r="N101" s="2351">
        <f t="shared" si="31"/>
        <v>0.14000000000000001</v>
      </c>
    </row>
    <row r="102" spans="1:14">
      <c r="A102" s="3367"/>
      <c r="B102" s="2346">
        <v>1</v>
      </c>
      <c r="C102" s="2347">
        <f>1.9362/C101</f>
        <v>13.829999999999998</v>
      </c>
      <c r="D102" s="2347">
        <f>1.9362/D101</f>
        <v>13.829999999999998</v>
      </c>
      <c r="E102" s="2347">
        <f>1.8629/E101</f>
        <v>13.306428571428571</v>
      </c>
      <c r="F102" s="2347">
        <f>1.8629/F101</f>
        <v>13.306428571428571</v>
      </c>
      <c r="G102" s="2347">
        <f>1.8629/G101</f>
        <v>13.306428571428571</v>
      </c>
      <c r="H102" s="2347">
        <f>1.8629/H101</f>
        <v>13.306428571428571</v>
      </c>
      <c r="I102" s="2347">
        <f>1.8629/I101</f>
        <v>13.306428571428571</v>
      </c>
      <c r="J102" s="2347">
        <f>1.942/J101</f>
        <v>13.87142857142857</v>
      </c>
      <c r="K102" s="2347">
        <f>1.942/K101</f>
        <v>13.87142857142857</v>
      </c>
      <c r="L102" s="2347">
        <f>1.942/L101</f>
        <v>13.87142857142857</v>
      </c>
      <c r="M102" s="2347">
        <f>1.942/M101</f>
        <v>13.87142857142857</v>
      </c>
      <c r="N102" s="2347">
        <f>1.942/N101</f>
        <v>13.87142857142857</v>
      </c>
    </row>
    <row r="103" spans="1:14">
      <c r="A103" s="3367"/>
      <c r="B103" s="2346">
        <v>2</v>
      </c>
      <c r="C103" s="2347">
        <f>1.4198/C101</f>
        <v>10.14142857142857</v>
      </c>
      <c r="D103" s="2347">
        <f>1.4198/D101</f>
        <v>10.14142857142857</v>
      </c>
      <c r="E103" s="2347">
        <f>1.3372/E101</f>
        <v>9.5514285714285698</v>
      </c>
      <c r="F103" s="2347">
        <f>1.3372/F101</f>
        <v>9.5514285714285698</v>
      </c>
      <c r="G103" s="2347">
        <f>1.3372/G101</f>
        <v>9.5514285714285698</v>
      </c>
      <c r="H103" s="2347">
        <f>1.3372/H101</f>
        <v>9.5514285714285698</v>
      </c>
      <c r="I103" s="2347">
        <f>1.3372/I101</f>
        <v>9.5514285714285698</v>
      </c>
      <c r="J103" s="2347">
        <f>1.2799/J101</f>
        <v>9.142142857142856</v>
      </c>
      <c r="K103" s="2347">
        <f>1.2799/K101</f>
        <v>9.142142857142856</v>
      </c>
      <c r="L103" s="2347">
        <f>1.2799/L101</f>
        <v>9.142142857142856</v>
      </c>
      <c r="M103" s="2347">
        <f>1.2799/M101</f>
        <v>9.142142857142856</v>
      </c>
      <c r="N103" s="2347">
        <f>1.2799/N101</f>
        <v>9.142142857142856</v>
      </c>
    </row>
    <row r="104" spans="1:14">
      <c r="A104" s="3367"/>
      <c r="B104" s="2346">
        <v>3</v>
      </c>
      <c r="C104" s="2347">
        <f>1.1594/C101</f>
        <v>8.2814285714285703</v>
      </c>
      <c r="D104" s="2347">
        <f>1.1594/D101</f>
        <v>8.2814285714285703</v>
      </c>
      <c r="E104" s="2347">
        <f>1.0788/E101</f>
        <v>7.7057142857142846</v>
      </c>
      <c r="F104" s="2347">
        <f>1.0788/F101</f>
        <v>7.7057142857142846</v>
      </c>
      <c r="G104" s="2347">
        <f>1.0788/G101</f>
        <v>7.7057142857142846</v>
      </c>
      <c r="H104" s="2347">
        <f>1.0788/H101</f>
        <v>7.7057142857142846</v>
      </c>
      <c r="I104" s="2347">
        <f>1.0788/I101</f>
        <v>7.7057142857142846</v>
      </c>
      <c r="J104" s="2347">
        <f>1.0072/J101</f>
        <v>7.194285714285714</v>
      </c>
      <c r="K104" s="2347">
        <f>1.0072/K101</f>
        <v>7.194285714285714</v>
      </c>
      <c r="L104" s="2347">
        <f>1.0072/L101</f>
        <v>7.194285714285714</v>
      </c>
      <c r="M104" s="2347">
        <f>1.0072/M101</f>
        <v>7.194285714285714</v>
      </c>
      <c r="N104" s="2347">
        <f>1.0072/N101</f>
        <v>7.194285714285714</v>
      </c>
    </row>
    <row r="105" spans="1:14">
      <c r="A105" s="3367"/>
      <c r="B105" s="2346">
        <v>4</v>
      </c>
      <c r="C105" s="2347">
        <f>0.9622/C101</f>
        <v>6.8728571428571428</v>
      </c>
      <c r="D105" s="2347">
        <f>0.9622/D101</f>
        <v>6.8728571428571428</v>
      </c>
      <c r="E105" s="2347">
        <f>0.8656/E101</f>
        <v>6.1828571428571424</v>
      </c>
      <c r="F105" s="2347">
        <f>0.8656/F101</f>
        <v>6.1828571428571424</v>
      </c>
      <c r="G105" s="2347">
        <f>0.8656/G101</f>
        <v>6.1828571428571424</v>
      </c>
      <c r="H105" s="2347">
        <f>0.8656/H101</f>
        <v>6.1828571428571424</v>
      </c>
      <c r="I105" s="2347">
        <f>0.8656/I101</f>
        <v>6.1828571428571424</v>
      </c>
      <c r="J105" s="2347">
        <f>0.7525/J101</f>
        <v>5.3749999999999991</v>
      </c>
      <c r="K105" s="2347">
        <f>0.7525/K101</f>
        <v>5.3749999999999991</v>
      </c>
      <c r="L105" s="2347">
        <f>0.7525/L101</f>
        <v>5.3749999999999991</v>
      </c>
      <c r="M105" s="2347">
        <f>0.7525/M101</f>
        <v>5.3749999999999991</v>
      </c>
      <c r="N105" s="2347">
        <f>0.7525/N101</f>
        <v>5.3749999999999991</v>
      </c>
    </row>
    <row r="106" spans="1:14">
      <c r="A106" s="3367"/>
      <c r="B106" s="2346">
        <v>5</v>
      </c>
      <c r="C106" s="2347">
        <f>0.8417/C101</f>
        <v>6.012142857142857</v>
      </c>
      <c r="D106" s="2347">
        <f>0.8417/D101</f>
        <v>6.012142857142857</v>
      </c>
      <c r="E106" s="2347">
        <f>0.7371/E101</f>
        <v>5.2649999999999997</v>
      </c>
      <c r="F106" s="2347">
        <f>0.7371/F101</f>
        <v>5.2649999999999997</v>
      </c>
      <c r="G106" s="2347">
        <f>0.7371/G101</f>
        <v>5.2649999999999997</v>
      </c>
      <c r="H106" s="2347">
        <f>0.7371/H101</f>
        <v>5.2649999999999997</v>
      </c>
      <c r="I106" s="2347">
        <f>0.7371/I101</f>
        <v>5.2649999999999997</v>
      </c>
      <c r="J106" s="2347">
        <f>0.5659/J101</f>
        <v>4.0421428571428564</v>
      </c>
      <c r="K106" s="2347">
        <f>0.5659/K101</f>
        <v>4.0421428571428564</v>
      </c>
      <c r="L106" s="2347">
        <f>0.5659/L101</f>
        <v>4.0421428571428564</v>
      </c>
      <c r="M106" s="2347">
        <f>0.5659/M101</f>
        <v>4.0421428571428564</v>
      </c>
      <c r="N106" s="2347">
        <f>0.5659/N101</f>
        <v>4.0421428571428564</v>
      </c>
    </row>
    <row r="107" spans="1:14">
      <c r="A107" s="3367"/>
      <c r="B107" s="2346">
        <v>6</v>
      </c>
      <c r="C107" s="2347">
        <f>0.7608/C101</f>
        <v>5.4342857142857142</v>
      </c>
      <c r="D107" s="2347">
        <f>0.7608/D101</f>
        <v>5.4342857142857142</v>
      </c>
      <c r="E107" s="2347">
        <f>0.6482/E101</f>
        <v>4.63</v>
      </c>
      <c r="F107" s="2347">
        <f>0.6482/F101</f>
        <v>4.63</v>
      </c>
      <c r="G107" s="2347">
        <f>0.6482/G101</f>
        <v>4.63</v>
      </c>
      <c r="H107" s="2347">
        <f>0.6482/H101</f>
        <v>4.63</v>
      </c>
      <c r="I107" s="2347">
        <f>0.6482/I101</f>
        <v>4.63</v>
      </c>
      <c r="J107" s="2347">
        <f>0.4525/J101</f>
        <v>3.2321428571428568</v>
      </c>
      <c r="K107" s="2347">
        <f>0.4525/K101</f>
        <v>3.2321428571428568</v>
      </c>
      <c r="L107" s="2347">
        <f>0.4525/L101</f>
        <v>3.2321428571428568</v>
      </c>
      <c r="M107" s="2347">
        <f>0.4525/M101</f>
        <v>3.2321428571428568</v>
      </c>
      <c r="N107" s="2347">
        <f>0.4525/N101</f>
        <v>3.2321428571428568</v>
      </c>
    </row>
    <row r="108" spans="1:14">
      <c r="A108" s="3367"/>
      <c r="B108" s="3369"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8"/>
      <c r="B109" s="3370"/>
      <c r="C109" s="2349">
        <f>(-0.163*(C108^2)-0.59*C108+7617)*(10^(-4))/C101</f>
        <v>5.4407142857142858</v>
      </c>
      <c r="D109" s="2349">
        <f>(-0.163*(D108^2)-0.59*D108+7617)*(10^(-4))/D101</f>
        <v>5.4407142857142858</v>
      </c>
      <c r="E109" s="2349">
        <f>(-0.161*(E108^2)-7.509*E108+6533)*(10^(-4))/E101</f>
        <v>4.6664285714285709</v>
      </c>
      <c r="F109" s="2349">
        <f>(-0.161*(F108^2)-7.509*F108+6533)*(10^(-4))/F101</f>
        <v>4.6664285714285709</v>
      </c>
      <c r="G109" s="2349">
        <f>(-0.161*(G108^2)-7.509*G108+6533)*(10^(-4))/G101</f>
        <v>4.6664285714285709</v>
      </c>
      <c r="H109" s="2349">
        <f>(-0.161*(H108^2)-7.509*H108+6533)*(10^(-4))/H101</f>
        <v>4.6664285714285709</v>
      </c>
      <c r="I109" s="2349">
        <f>(-0.161*(I108^2)-7.509*I108+6533)*(10^(-4))/I101</f>
        <v>4.6664285714285709</v>
      </c>
      <c r="J109" s="2349">
        <f>(-0.214*(J108^2)-21.991*J108+4665)*(10^(-4))/J101</f>
        <v>3.3321428571428569</v>
      </c>
      <c r="K109" s="2349">
        <f>(-0.214*(K108^2)-21.991*K108+4665)*(10^(-4))/K101</f>
        <v>3.3321428571428569</v>
      </c>
      <c r="L109" s="2349">
        <f>(-0.214*(L108^2)-21.991*L108+4665)*(10^(-4))/L101</f>
        <v>3.3321428571428569</v>
      </c>
      <c r="M109" s="2349">
        <f>(-0.214*(M108^2)-21.991*M108+4665)*(10^(-4))/M101</f>
        <v>3.3321428571428569</v>
      </c>
      <c r="N109" s="2349">
        <f>(-0.214*(N108^2)-21.991*N108+4665)*(10^(-4))/N101</f>
        <v>3.3321428571428569</v>
      </c>
    </row>
    <row r="110" spans="1:14">
      <c r="A110" s="3364" t="s">
        <v>2800</v>
      </c>
      <c r="B110" s="3364"/>
      <c r="C110" s="3364"/>
      <c r="D110" s="3364"/>
      <c r="E110" s="3364"/>
      <c r="F110" s="3364"/>
      <c r="G110" s="3364"/>
      <c r="H110" s="3364"/>
      <c r="I110" s="3364"/>
      <c r="J110" s="3364"/>
      <c r="K110" s="2352"/>
      <c r="L110" s="2352"/>
      <c r="M110" s="2352"/>
      <c r="N110" s="2352"/>
    </row>
    <row r="112" spans="1:14" ht="13.5" thickBot="1"/>
    <row r="113" spans="1:13" ht="25.5" thickBot="1">
      <c r="A113" s="842" t="s">
        <v>2801</v>
      </c>
      <c r="B113" s="1197">
        <f>G3</f>
        <v>0.14000000000000001</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2701</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2702</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2703</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9">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9"/>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9"/>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8"/>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84">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9"/>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9"/>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8"/>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4">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9"/>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9"/>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0"/>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78">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9"/>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9"/>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0"/>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78">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9"/>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9"/>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0"/>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5">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6"/>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6"/>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7"/>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78">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9"/>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9"/>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0"/>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78">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9">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9">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0">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78">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9">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9">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0">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78">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9">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9">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0">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78">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9">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9">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0">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78">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9">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9">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0">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78">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9">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9">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0">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78">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9">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9">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0">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78">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9">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9">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0">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7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9">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9">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7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9">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9">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0">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2" t="s">
        <v>2826</v>
      </c>
      <c r="D1" s="3393"/>
      <c r="E1" s="3393"/>
      <c r="F1" s="3393"/>
      <c r="G1" s="3393"/>
      <c r="H1" s="3393"/>
      <c r="I1" s="3393"/>
      <c r="J1" s="3393"/>
      <c r="K1" s="3393"/>
      <c r="L1" s="3393"/>
      <c r="M1" s="3393"/>
      <c r="N1" s="3393"/>
      <c r="O1" s="3393"/>
      <c r="P1" s="3393"/>
      <c r="Q1" s="3393"/>
      <c r="R1" s="3393"/>
      <c r="S1" s="3394"/>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估价结果一览表（市场价值不需“结果表-1”）</v>
      </c>
      <c r="B3" s="3066"/>
      <c r="C3" s="3066"/>
      <c r="D3" s="3066"/>
      <c r="E3" s="3066"/>
    </row>
    <row r="4" spans="1:5" ht="19.5" thickBot="1">
      <c r="A4" s="1678"/>
      <c r="B4" s="3064" t="s">
        <v>1595</v>
      </c>
      <c r="C4" s="3064"/>
      <c r="D4" s="3064"/>
      <c r="E4" s="1678"/>
    </row>
    <row r="5" spans="1:5" ht="16.5" thickTop="1">
      <c r="A5" s="1676"/>
      <c r="B5" s="3062" t="s">
        <v>1587</v>
      </c>
      <c r="C5" s="1679" t="s">
        <v>1588</v>
      </c>
      <c r="D5" s="959">
        <f ca="1">结果表!H101</f>
        <v>333</v>
      </c>
      <c r="E5" s="1676"/>
    </row>
    <row r="6" spans="1:5" ht="15.75">
      <c r="A6" s="1676"/>
      <c r="B6" s="3062"/>
      <c r="C6" s="1679" t="s">
        <v>1589</v>
      </c>
      <c r="D6" s="959" t="str">
        <f ca="1">NUMBERSTRING(INT(D5*10000),2)&amp;"元整"</f>
        <v>叁佰叁拾叁万元整</v>
      </c>
      <c r="E6" s="1676"/>
    </row>
    <row r="7" spans="1:5" ht="15.75">
      <c r="A7" s="1676"/>
      <c r="B7" s="3067"/>
      <c r="C7" s="1680" t="s">
        <v>1590</v>
      </c>
      <c r="D7" s="960">
        <f ca="1">结果表!H102</f>
        <v>16792</v>
      </c>
      <c r="E7" s="1676"/>
    </row>
    <row r="8" spans="1:5" ht="15.75">
      <c r="A8" s="1676"/>
      <c r="B8" s="3068" t="str">
        <f>结果表!E103</f>
        <v>2.估价师知悉的法定优先受偿款</v>
      </c>
      <c r="C8" s="1681" t="s">
        <v>1591</v>
      </c>
      <c r="D8" s="960">
        <f>结果表!H103</f>
        <v>0</v>
      </c>
      <c r="E8" s="1676"/>
    </row>
    <row r="9" spans="1:5" ht="15.75">
      <c r="A9" s="1676"/>
      <c r="B9" s="307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1" t="str">
        <f>结果表!E107</f>
        <v>——</v>
      </c>
      <c r="C13" s="1684" t="s">
        <v>1588</v>
      </c>
      <c r="D13" s="962" t="str">
        <f>结果表!H107</f>
        <v>——</v>
      </c>
      <c r="E13" s="1676"/>
    </row>
    <row r="14" spans="1:5" ht="15.75">
      <c r="A14" s="1676"/>
      <c r="B14" s="3062"/>
      <c r="C14" s="1679" t="s">
        <v>1589</v>
      </c>
      <c r="D14" s="959" t="e">
        <f>NUMBERSTRING(INT(D13*10000),2)&amp;"元整"</f>
        <v>#VALUE!</v>
      </c>
      <c r="E14" s="1676"/>
    </row>
    <row r="15" spans="1:5" ht="15">
      <c r="A15" s="1676"/>
      <c r="B15" s="3067"/>
      <c r="C15" s="1680" t="s">
        <v>1599</v>
      </c>
      <c r="D15" s="968" t="e">
        <f>结果表!H108</f>
        <v>#VALUE!</v>
      </c>
      <c r="E15" s="1676"/>
    </row>
    <row r="16" spans="1:5" ht="15">
      <c r="A16" s="1676"/>
      <c r="B16" s="3068" t="str">
        <f>结果表!E109</f>
        <v>3.抵押担保权已注销时的房地产抵押价值</v>
      </c>
      <c r="C16" s="1684" t="s">
        <v>1600</v>
      </c>
      <c r="D16" s="1685">
        <f ca="1">结果表!H109</f>
        <v>333</v>
      </c>
      <c r="E16" s="1676"/>
    </row>
    <row r="17" spans="1:5" ht="15.75">
      <c r="A17" s="1676"/>
      <c r="B17" s="3069"/>
      <c r="C17" s="1679" t="s">
        <v>1601</v>
      </c>
      <c r="D17" s="959" t="str">
        <f ca="1">NUMBERSTRING(INT(D16*10000),2)&amp;"元整"</f>
        <v>叁佰叁拾叁万元整</v>
      </c>
      <c r="E17" s="1676"/>
    </row>
    <row r="18" spans="1:5" ht="15">
      <c r="A18" s="1676"/>
      <c r="B18" s="3070"/>
      <c r="C18" s="1680" t="s">
        <v>1590</v>
      </c>
      <c r="D18" s="968">
        <f ca="1">结果表!H110</f>
        <v>16812</v>
      </c>
      <c r="E18" s="1676"/>
    </row>
    <row r="19" spans="1:5" ht="15.75">
      <c r="A19" s="1676"/>
      <c r="B19" s="3061" t="str">
        <f>结果表!E111</f>
        <v>——</v>
      </c>
      <c r="C19" s="1684" t="s">
        <v>1588</v>
      </c>
      <c r="D19" s="960" t="str">
        <f>结果表!H111</f>
        <v>——</v>
      </c>
      <c r="E19" s="1676"/>
    </row>
    <row r="20" spans="1:5" ht="15.75">
      <c r="A20" s="1676"/>
      <c r="B20" s="3062"/>
      <c r="C20" s="1679" t="s">
        <v>1601</v>
      </c>
      <c r="D20" s="959" t="e">
        <f>NUMBERSTRING(INT(D19*10000),2)&amp;"元整"</f>
        <v>#VALUE!</v>
      </c>
      <c r="E20" s="1676"/>
    </row>
    <row r="21" spans="1:5" ht="15.75" thickBot="1">
      <c r="A21" s="1676"/>
      <c r="B21" s="306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26378</v>
      </c>
      <c r="C2" s="2" t="s">
        <v>133</v>
      </c>
      <c r="D2" s="205"/>
      <c r="E2" s="205"/>
      <c r="F2" s="205"/>
      <c r="G2" s="205"/>
    </row>
    <row r="3" spans="1:7" s="206" customFormat="1" ht="18" customHeight="1" thickBot="1">
      <c r="A3" s="209" t="s">
        <v>85</v>
      </c>
      <c r="B3" s="210">
        <f ca="1">ROUND(B2*10000/'数据-汇总表'!E3,0)</f>
        <v>1331751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v>
      </c>
      <c r="D10" s="954">
        <f>'数据-汇总表'!E6</f>
        <v>198.07</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198.07</v>
      </c>
      <c r="E19" s="217">
        <f>'数据-取费表'!B31</f>
        <v>200</v>
      </c>
      <c r="F19" s="237"/>
      <c r="G19" s="1" t="s">
        <v>1042</v>
      </c>
    </row>
    <row r="20" spans="1:7" s="220" customFormat="1" ht="13.5" customHeight="1">
      <c r="A20" s="885" t="s">
        <v>1025</v>
      </c>
      <c r="B20" s="216" t="s">
        <v>104</v>
      </c>
      <c r="C20" s="238">
        <f>ROUND((C5+C19)*F20,0)</f>
        <v>1031</v>
      </c>
      <c r="D20" s="238"/>
      <c r="E20" s="238"/>
      <c r="F20" s="239">
        <f>'数据-取费表'!B37</f>
        <v>0.05</v>
      </c>
      <c r="G20" s="1199" t="s">
        <v>1036</v>
      </c>
    </row>
    <row r="21" spans="1:7" s="220" customFormat="1" ht="13.5" customHeight="1">
      <c r="A21" s="885" t="s">
        <v>1027</v>
      </c>
      <c r="B21" s="216" t="s">
        <v>105</v>
      </c>
      <c r="C21" s="241">
        <f>F21</f>
        <v>0.05</v>
      </c>
      <c r="D21" s="242" t="s">
        <v>126</v>
      </c>
      <c r="E21" s="238"/>
      <c r="F21" s="239">
        <f>'数据-取费表'!B38</f>
        <v>0.05</v>
      </c>
      <c r="G21" s="240" t="s">
        <v>106</v>
      </c>
    </row>
    <row r="22" spans="1:7" s="220" customFormat="1" ht="13.5" customHeight="1">
      <c r="A22" s="885" t="s">
        <v>786</v>
      </c>
      <c r="B22" s="216" t="s">
        <v>107</v>
      </c>
      <c r="C22" s="1264">
        <f ca="1">ROUND(SUM(C23:C25),0)</f>
        <v>813</v>
      </c>
      <c r="D22" s="241">
        <f ca="1">C26</f>
        <v>1E-3</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1082</v>
      </c>
      <c r="D27" s="241">
        <f>C29</f>
        <v>2.5000000000000001E-3</v>
      </c>
      <c r="E27" s="242" t="s">
        <v>126</v>
      </c>
      <c r="F27" s="252">
        <f>'数据-取费表'!Q16</f>
        <v>0.05</v>
      </c>
      <c r="G27" s="253" t="s">
        <v>1037</v>
      </c>
    </row>
    <row r="28" spans="1:7" s="220" customFormat="1" ht="13.5" customHeight="1">
      <c r="A28" s="888" t="s">
        <v>794</v>
      </c>
      <c r="B28" s="254" t="s">
        <v>1030</v>
      </c>
      <c r="C28" s="255">
        <f>ROUND((C5+C19+C20)*F27*'数据-取费表'!B21/'数据-取费表'!B20,0)</f>
        <v>1082</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26328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v>
      </c>
      <c r="D34" s="223"/>
      <c r="E34" s="226"/>
      <c r="F34" s="263">
        <f>IF('数据-取费表'!B24=0,1,'数据-取费表'!N16)</f>
        <v>1</v>
      </c>
      <c r="G34" s="225" t="s">
        <v>116</v>
      </c>
    </row>
    <row r="35" spans="1:7" ht="13.5" customHeight="1">
      <c r="A35" s="888" t="s">
        <v>796</v>
      </c>
      <c r="B35" s="221" t="s">
        <v>60</v>
      </c>
      <c r="C35" s="226">
        <f>ROUND(C34*F35,0)</f>
        <v>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198.07</v>
      </c>
      <c r="E37" s="255">
        <f>'数据-取费表'!B35</f>
        <v>140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2</v>
      </c>
      <c r="D39" s="238"/>
      <c r="E39" s="238"/>
      <c r="F39" s="239"/>
      <c r="G39" s="1199" t="s">
        <v>1039</v>
      </c>
    </row>
    <row r="40" spans="1:7" s="220" customFormat="1" ht="13.5" customHeight="1">
      <c r="A40" s="885" t="s">
        <v>784</v>
      </c>
      <c r="B40" s="216" t="s">
        <v>105</v>
      </c>
      <c r="C40" s="268">
        <f>F21</f>
        <v>0.05</v>
      </c>
      <c r="D40" s="242" t="s">
        <v>129</v>
      </c>
      <c r="E40" s="238"/>
      <c r="F40" s="239"/>
      <c r="G40" s="240" t="s">
        <v>120</v>
      </c>
    </row>
    <row r="41" spans="1:7" s="220" customFormat="1" ht="13.5" customHeight="1">
      <c r="A41" s="885" t="s">
        <v>785</v>
      </c>
      <c r="B41" s="216" t="s">
        <v>107</v>
      </c>
      <c r="C41" s="238">
        <f ca="1">ROUND(SUM(C42:C43),0)</f>
        <v>0</v>
      </c>
      <c r="D41" s="241">
        <f ca="1">C44</f>
        <v>5.0000000000000001E-4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0</v>
      </c>
      <c r="D42" s="244"/>
      <c r="E42" s="244"/>
      <c r="F42" s="245"/>
      <c r="G42" s="3249" t="s">
        <v>121</v>
      </c>
    </row>
    <row r="43" spans="1:7" ht="13.5" customHeight="1">
      <c r="A43" s="888" t="s">
        <v>792</v>
      </c>
      <c r="B43" s="221" t="s">
        <v>1032</v>
      </c>
      <c r="C43" s="244">
        <f ca="1">ROUND(IF('数据-取费表'!B22&lt;=1,C39*F22*'数据-取费表'!B21/2,C39*(POWER((1+F22),'数据-取费表'!B21/2)-1)),0)</f>
        <v>0</v>
      </c>
      <c r="D43" s="244"/>
      <c r="E43" s="244"/>
      <c r="F43" s="245"/>
      <c r="G43" s="3250"/>
    </row>
    <row r="44" spans="1:7" ht="13.5" customHeight="1">
      <c r="A44" s="888" t="s">
        <v>793</v>
      </c>
      <c r="B44" s="221" t="s">
        <v>1034</v>
      </c>
      <c r="C44" s="244">
        <f ca="1">ROUND(IF('数据-取费表'!B22&lt;=1,C40*F22*'数据-取费表'!B21/2,C40*(POWER((1+F22),'数据-取费表'!B21/2)-1)),4)</f>
        <v>5.0000000000000001E-4</v>
      </c>
      <c r="D44" s="244"/>
      <c r="E44" s="244"/>
      <c r="F44" s="245"/>
      <c r="G44" s="3251"/>
    </row>
    <row r="45" spans="1:7" s="220" customFormat="1" ht="13.5" customHeight="1">
      <c r="A45" s="885" t="s">
        <v>786</v>
      </c>
      <c r="B45" s="250" t="s">
        <v>112</v>
      </c>
      <c r="C45" s="251">
        <f>C46</f>
        <v>2</v>
      </c>
      <c r="D45" s="241">
        <f>C47</f>
        <v>2.5000000000000001E-3</v>
      </c>
      <c r="E45" s="242" t="s">
        <v>129</v>
      </c>
      <c r="F45" s="252"/>
      <c r="G45" s="253" t="s">
        <v>1040</v>
      </c>
    </row>
    <row r="46" spans="1:7" s="220" customFormat="1" ht="13.5" customHeight="1">
      <c r="A46" s="888" t="s">
        <v>794</v>
      </c>
      <c r="B46" s="254" t="s">
        <v>1033</v>
      </c>
      <c r="C46" s="255">
        <f>ROUND((C33+C39)*F27,0)</f>
        <v>2</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56</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50</v>
      </c>
      <c r="D51" s="238"/>
      <c r="E51" s="238"/>
      <c r="F51" s="270"/>
      <c r="G51" s="240" t="s">
        <v>64</v>
      </c>
    </row>
    <row r="52" spans="1:7" s="214" customFormat="1" ht="16.5" thickBot="1">
      <c r="A52" s="271" t="s">
        <v>65</v>
      </c>
      <c r="B52" s="272"/>
      <c r="C52" s="273">
        <f ca="1">C31+C51</f>
        <v>26378</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0" activeCellId="1" sqref="H5 D30"/>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44357</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2" zoomScale="80" zoomScaleNormal="95" zoomScaleSheetLayoutView="80" workbookViewId="0">
      <selection activeCell="G48" sqref="G48"/>
    </sheetView>
  </sheetViews>
  <sheetFormatPr defaultColWidth="9" defaultRowHeight="14.25"/>
  <cols>
    <col min="1" max="1" width="15.625" style="3443" customWidth="1"/>
    <col min="2" max="2" width="15.75" style="3443" customWidth="1"/>
    <col min="3" max="3" width="15.25" style="3443" customWidth="1"/>
    <col min="4" max="4" width="12.25" style="3443" customWidth="1"/>
    <col min="5" max="5" width="16.125" style="3443" customWidth="1"/>
    <col min="6" max="6" width="12.25" style="3443" customWidth="1"/>
    <col min="7" max="7" width="15.625" style="3443" customWidth="1"/>
    <col min="8" max="8" width="12.25" style="3443" customWidth="1"/>
    <col min="9" max="9" width="15.625" style="3443" customWidth="1"/>
    <col min="10" max="10" width="12.25" style="3443" customWidth="1"/>
    <col min="11" max="11" width="12.25" style="3827" customWidth="1"/>
    <col min="12" max="12" width="12.25" style="3828" customWidth="1"/>
    <col min="13" max="15" width="12.25" style="3443" customWidth="1"/>
    <col min="16" max="16" width="4.75" style="3443" customWidth="1"/>
    <col min="17" max="17" width="19.5" style="3443" customWidth="1"/>
    <col min="18" max="22" width="6.125" style="3443" customWidth="1"/>
    <col min="23" max="23" width="5.75" style="3443" customWidth="1"/>
    <col min="24" max="24" width="4.25" style="3443" customWidth="1"/>
    <col min="25" max="25" width="3.5" style="3443" customWidth="1"/>
    <col min="26" max="26" width="19.75" style="3443" customWidth="1"/>
    <col min="27" max="28" width="9.375" style="3443" customWidth="1"/>
    <col min="29" max="16384" width="9" style="3443"/>
  </cols>
  <sheetData>
    <row r="1" spans="1:30" s="3411" customFormat="1" ht="28.5" customHeight="1">
      <c r="A1" s="3399" t="s">
        <v>3088</v>
      </c>
      <c r="B1" s="3400"/>
      <c r="C1" s="3401" t="s">
        <v>3089</v>
      </c>
      <c r="D1" s="3402" t="s">
        <v>3090</v>
      </c>
      <c r="E1" s="3403"/>
      <c r="F1" s="3404"/>
      <c r="G1" s="3403"/>
      <c r="H1" s="3403"/>
      <c r="I1" s="3403"/>
      <c r="J1" s="3403"/>
      <c r="K1" s="3405"/>
      <c r="L1" s="3406"/>
      <c r="M1" s="3407"/>
      <c r="N1" s="3407"/>
      <c r="O1" s="3407"/>
      <c r="P1" s="3408"/>
      <c r="Q1" s="3408"/>
      <c r="R1" s="3408"/>
      <c r="S1" s="3408"/>
      <c r="T1" s="3408"/>
      <c r="U1" s="3408"/>
      <c r="V1" s="3408"/>
      <c r="W1" s="3408"/>
      <c r="X1" s="3408"/>
      <c r="Y1" s="3408"/>
      <c r="Z1" s="3408"/>
      <c r="AA1" s="3408"/>
      <c r="AB1" s="3408"/>
      <c r="AC1" s="3409"/>
      <c r="AD1" s="3410"/>
    </row>
    <row r="2" spans="1:30" s="3411" customFormat="1" ht="28.5" customHeight="1">
      <c r="A2" s="207" t="s">
        <v>3091</v>
      </c>
      <c r="B2" s="3412">
        <f>F68</f>
        <v>178</v>
      </c>
      <c r="C2" s="3413"/>
      <c r="D2" s="3413"/>
      <c r="E2" s="3414"/>
      <c r="F2" s="3415"/>
      <c r="G2" s="3414"/>
      <c r="H2" s="3414"/>
      <c r="I2" s="3414"/>
      <c r="J2" s="3414"/>
      <c r="K2" s="3416"/>
      <c r="L2" s="3417"/>
      <c r="M2" s="3408"/>
      <c r="N2" s="3408"/>
      <c r="O2" s="3408"/>
      <c r="P2" s="3408"/>
      <c r="Q2" s="3408"/>
      <c r="R2" s="3408"/>
      <c r="S2" s="3408"/>
      <c r="T2" s="3408"/>
      <c r="U2" s="3408"/>
      <c r="V2" s="3408"/>
      <c r="W2" s="3408"/>
      <c r="X2" s="3408"/>
      <c r="Y2" s="3408"/>
      <c r="Z2" s="3408"/>
      <c r="AA2" s="3408"/>
      <c r="AB2" s="3408"/>
      <c r="AC2" s="3409"/>
      <c r="AD2" s="3410"/>
    </row>
    <row r="3" spans="1:30" s="3411" customFormat="1" ht="28.5" customHeight="1">
      <c r="A3" s="3418" t="s">
        <v>3092</v>
      </c>
      <c r="B3" s="3419">
        <f>ROUND(B2*10000/'[1]数据-汇总表'!E3,0)</f>
        <v>8987</v>
      </c>
      <c r="C3" s="3420"/>
      <c r="D3" s="3421"/>
      <c r="E3" s="3420"/>
      <c r="F3" s="3420"/>
      <c r="G3" s="3414"/>
      <c r="H3" s="3414"/>
      <c r="I3" s="3414"/>
      <c r="J3" s="3414"/>
      <c r="K3" s="3416"/>
      <c r="L3" s="3417"/>
      <c r="M3" s="3408"/>
      <c r="N3" s="3408"/>
      <c r="O3" s="3408"/>
      <c r="P3" s="3408"/>
      <c r="Q3" s="3408"/>
      <c r="R3" s="3408"/>
      <c r="S3" s="3408"/>
      <c r="T3" s="3408"/>
      <c r="U3" s="3408"/>
      <c r="V3" s="3408"/>
      <c r="W3" s="3408"/>
      <c r="X3" s="3408"/>
      <c r="Y3" s="3408"/>
      <c r="Z3" s="3408"/>
      <c r="AA3" s="3408"/>
      <c r="AB3" s="3422"/>
      <c r="AC3" s="3423"/>
    </row>
    <row r="4" spans="1:30" s="3411" customFormat="1" ht="28.5" customHeight="1">
      <c r="A4" s="3424" t="s">
        <v>3093</v>
      </c>
      <c r="B4" s="3425">
        <f>IF(B48="单位面积地价",C50,ROUND(B2*10000/'[1]数据-汇总表'!D3,0))</f>
        <v>1236</v>
      </c>
      <c r="C4" s="3420"/>
      <c r="D4" s="3421"/>
      <c r="E4" s="3420"/>
      <c r="F4" s="3420"/>
      <c r="G4" s="3414"/>
      <c r="H4" s="3414"/>
      <c r="I4" s="3414"/>
      <c r="J4" s="3414"/>
      <c r="K4" s="3416"/>
      <c r="L4" s="3417"/>
      <c r="M4" s="3408"/>
      <c r="N4" s="3408"/>
      <c r="O4" s="3408"/>
      <c r="P4" s="3408"/>
      <c r="Q4" s="3408"/>
      <c r="R4" s="3408"/>
      <c r="S4" s="3408"/>
      <c r="T4" s="3408"/>
      <c r="U4" s="3408"/>
      <c r="V4" s="3408"/>
      <c r="W4" s="3408"/>
      <c r="X4" s="3408"/>
      <c r="Y4" s="3408"/>
      <c r="Z4" s="3408"/>
      <c r="AA4" s="3408"/>
      <c r="AB4" s="3408"/>
      <c r="AC4" s="3423"/>
    </row>
    <row r="5" spans="1:30" s="3411" customFormat="1" ht="28.5" customHeight="1" thickBot="1">
      <c r="A5" s="205"/>
      <c r="B5" s="3426">
        <f>ROUND(B2/('[1]数据-汇总表'!D3/666.67),0)</f>
        <v>82</v>
      </c>
      <c r="C5" s="3427" t="s">
        <v>3094</v>
      </c>
      <c r="D5" s="3420"/>
      <c r="E5" s="3420"/>
      <c r="F5" s="3420"/>
      <c r="G5" s="3414"/>
      <c r="H5" s="3414"/>
      <c r="I5" s="3414"/>
      <c r="J5" s="3414"/>
      <c r="K5" s="3416"/>
      <c r="L5" s="3417"/>
      <c r="M5" s="3408"/>
      <c r="N5" s="3408"/>
      <c r="O5" s="3408"/>
      <c r="P5" s="3408"/>
      <c r="Q5" s="3408"/>
      <c r="R5" s="3408"/>
      <c r="S5" s="3408"/>
      <c r="T5" s="3408"/>
      <c r="U5" s="3408"/>
      <c r="V5" s="3408"/>
      <c r="W5" s="3408"/>
      <c r="X5" s="3408"/>
      <c r="Y5" s="3408"/>
      <c r="Z5" s="3408"/>
      <c r="AA5" s="3408"/>
      <c r="AB5" s="3408"/>
      <c r="AC5" s="3423"/>
    </row>
    <row r="6" spans="1:30" ht="20.25">
      <c r="A6" s="3428" t="s">
        <v>3095</v>
      </c>
      <c r="B6" s="3429"/>
      <c r="C6" s="3430" t="s">
        <v>3096</v>
      </c>
      <c r="D6" s="3431"/>
      <c r="E6" s="3430" t="s">
        <v>3097</v>
      </c>
      <c r="F6" s="3431"/>
      <c r="G6" s="3430" t="s">
        <v>3098</v>
      </c>
      <c r="H6" s="3431"/>
      <c r="I6" s="3430" t="s">
        <v>3099</v>
      </c>
      <c r="J6" s="3431"/>
      <c r="K6" s="3432" t="s">
        <v>3100</v>
      </c>
      <c r="L6" s="3433"/>
      <c r="M6" s="3408"/>
      <c r="N6" s="3408"/>
      <c r="O6" s="3434"/>
      <c r="P6" s="3435" t="s">
        <v>3101</v>
      </c>
      <c r="Q6" s="3436"/>
      <c r="R6" s="3437" t="s">
        <v>3097</v>
      </c>
      <c r="S6" s="3438"/>
      <c r="T6" s="3437" t="s">
        <v>3098</v>
      </c>
      <c r="U6" s="3438"/>
      <c r="V6" s="3439" t="s">
        <v>3099</v>
      </c>
      <c r="W6" s="3439"/>
      <c r="X6" s="3440"/>
      <c r="Y6" s="3437" t="s">
        <v>3101</v>
      </c>
      <c r="Z6" s="3438"/>
      <c r="AA6" s="3441" t="s">
        <v>3097</v>
      </c>
      <c r="AB6" s="3442" t="s">
        <v>3098</v>
      </c>
      <c r="AC6" s="3441" t="s">
        <v>3099</v>
      </c>
    </row>
    <row r="7" spans="1:30" ht="36.75" customHeight="1">
      <c r="A7" s="3444"/>
      <c r="B7" s="3445"/>
      <c r="C7" s="3446" t="str">
        <f>[1]项目基本情况!F10</f>
        <v>爱丹路1709号101</v>
      </c>
      <c r="D7" s="3447"/>
      <c r="E7" s="3448" t="str">
        <f>'土地案例（延吉）'!A11</f>
        <v>延吉市开发区人民路北侧</v>
      </c>
      <c r="F7" s="3447"/>
      <c r="G7" s="3448" t="str">
        <f>'土地案例（延吉）'!A18</f>
        <v>延吉市北山街,延北路南侧、朝阳街西侧</v>
      </c>
      <c r="H7" s="3447"/>
      <c r="I7" s="3448" t="str">
        <f>'土地案例（延吉）'!A26</f>
        <v>延吉市小营镇民主村,公园路北侧(高铁变电所东侧)</v>
      </c>
      <c r="J7" s="3447"/>
      <c r="K7" s="3432"/>
      <c r="L7" s="3433"/>
      <c r="M7" s="3408"/>
      <c r="N7" s="3408"/>
      <c r="O7" s="3434"/>
      <c r="P7" s="3449"/>
      <c r="Q7" s="3450"/>
      <c r="R7" s="3451"/>
      <c r="S7" s="3452"/>
      <c r="T7" s="3451"/>
      <c r="U7" s="3452"/>
      <c r="V7" s="3439"/>
      <c r="W7" s="3439"/>
      <c r="X7" s="3440"/>
      <c r="Y7" s="3451"/>
      <c r="Z7" s="3452"/>
      <c r="AA7" s="3442"/>
      <c r="AB7" s="3442"/>
      <c r="AC7" s="3442"/>
    </row>
    <row r="8" spans="1:30" ht="21" thickBot="1">
      <c r="A8" s="3444"/>
      <c r="B8" s="3445"/>
      <c r="C8" s="3453" t="s">
        <v>3102</v>
      </c>
      <c r="D8" s="3454"/>
      <c r="E8" s="3453" t="s">
        <v>3102</v>
      </c>
      <c r="F8" s="3454"/>
      <c r="G8" s="3455" t="s">
        <v>3102</v>
      </c>
      <c r="H8" s="3456"/>
      <c r="I8" s="3455" t="s">
        <v>3102</v>
      </c>
      <c r="J8" s="3456"/>
      <c r="K8" s="3432" t="s">
        <v>3103</v>
      </c>
      <c r="L8" s="3433"/>
      <c r="M8" s="3408"/>
      <c r="N8" s="3408"/>
      <c r="O8" s="3434"/>
      <c r="P8" s="3457"/>
      <c r="Q8" s="3458"/>
      <c r="R8" s="3451"/>
      <c r="S8" s="3452"/>
      <c r="T8" s="3459"/>
      <c r="U8" s="3460"/>
      <c r="V8" s="3439"/>
      <c r="W8" s="3439"/>
      <c r="X8" s="3440"/>
      <c r="Y8" s="3459"/>
      <c r="Z8" s="3460"/>
      <c r="AA8" s="3461"/>
      <c r="AB8" s="3461"/>
      <c r="AC8" s="3461"/>
    </row>
    <row r="9" spans="1:30" s="3479" customFormat="1" ht="21" thickBot="1">
      <c r="A9" s="3462"/>
      <c r="B9" s="3463" t="s">
        <v>3104</v>
      </c>
      <c r="C9" s="3464">
        <f>'[1]数据-取费表'!B2</f>
        <v>44357</v>
      </c>
      <c r="D9" s="3465">
        <v>100</v>
      </c>
      <c r="E9" s="3466" t="str">
        <f>'[1]土地案例（白山市）'!K13</f>
        <v>2021-05-16</v>
      </c>
      <c r="F9" s="3467">
        <f>SUMIF(72:72,YEAR(E9)&amp;"-"&amp;INT((MONTH(E9)+2)/3),73:73)</f>
        <v>100</v>
      </c>
      <c r="G9" s="3468" t="str">
        <f>'[1]土地案例（白山市）'!K14</f>
        <v>2021-05-16</v>
      </c>
      <c r="H9" s="3465">
        <f>SUMIF(72:72,YEAR(G9)&amp;"-"&amp;INT((MONTH(G9)+2)/3),73:73)</f>
        <v>100</v>
      </c>
      <c r="I9" s="3468" t="str">
        <f>'[1]土地案例（白山市）'!K28</f>
        <v>2020-08-06</v>
      </c>
      <c r="J9" s="3465">
        <f>SUMIF(72:72,YEAR(I9)&amp;"-"&amp;INT((MONTH(I9)+2)/3),73:73)</f>
        <v>100</v>
      </c>
      <c r="K9" s="3469"/>
      <c r="L9" s="3470"/>
      <c r="M9" s="3408"/>
      <c r="N9" s="3408"/>
      <c r="O9" s="3471"/>
      <c r="P9" s="3472" t="s">
        <v>3105</v>
      </c>
      <c r="Q9" s="3473"/>
      <c r="R9" s="3474" t="s">
        <v>3106</v>
      </c>
      <c r="S9" s="3475">
        <f t="shared" ref="S9:S17" si="0">F9</f>
        <v>100</v>
      </c>
      <c r="T9" s="3474" t="s">
        <v>3106</v>
      </c>
      <c r="U9" s="3475">
        <f t="shared" ref="U9:U17" si="1">H9</f>
        <v>100</v>
      </c>
      <c r="V9" s="3474" t="s">
        <v>3106</v>
      </c>
      <c r="W9" s="3475">
        <f t="shared" ref="W9:W17" si="2">J9</f>
        <v>100</v>
      </c>
      <c r="X9" s="3476"/>
      <c r="Y9" s="3472" t="s">
        <v>3105</v>
      </c>
      <c r="Z9" s="3477"/>
      <c r="AA9" s="3478">
        <f>D9/F9</f>
        <v>1</v>
      </c>
      <c r="AB9" s="3478">
        <f>D9/H9</f>
        <v>1</v>
      </c>
      <c r="AC9" s="3478">
        <f>D9/J9</f>
        <v>1</v>
      </c>
    </row>
    <row r="10" spans="1:30" s="3479" customFormat="1" ht="21" thickBot="1">
      <c r="A10" s="3480"/>
      <c r="B10" s="3481" t="s">
        <v>3107</v>
      </c>
      <c r="C10" s="3482" t="s">
        <v>3108</v>
      </c>
      <c r="D10" s="3465">
        <v>100</v>
      </c>
      <c r="E10" s="3483" t="s">
        <v>3109</v>
      </c>
      <c r="F10" s="3467">
        <f>SUMIF(75:75,E10,76:76)-SUMIF(75:75,C10,76:76)+100</f>
        <v>100</v>
      </c>
      <c r="G10" s="3483" t="s">
        <v>3109</v>
      </c>
      <c r="H10" s="3465">
        <f>SUMIF(75:75,G10,76:76)-SUMIF(75:75,C10,76:76)+100</f>
        <v>100</v>
      </c>
      <c r="I10" s="3483" t="s">
        <v>3109</v>
      </c>
      <c r="J10" s="3465">
        <f>SUMIF(75:75,I10,76:76)-SUMIF(75:75,C10,76:76)+100</f>
        <v>100</v>
      </c>
      <c r="K10" s="3469"/>
      <c r="L10" s="3470"/>
      <c r="M10" s="3408"/>
      <c r="N10" s="3408"/>
      <c r="O10" s="3471"/>
      <c r="P10" s="3472" t="s">
        <v>3110</v>
      </c>
      <c r="Q10" s="3477"/>
      <c r="R10" s="3474" t="s">
        <v>3106</v>
      </c>
      <c r="S10" s="3475">
        <f t="shared" si="0"/>
        <v>100</v>
      </c>
      <c r="T10" s="3474" t="s">
        <v>3106</v>
      </c>
      <c r="U10" s="3475">
        <f t="shared" si="1"/>
        <v>100</v>
      </c>
      <c r="V10" s="3474" t="s">
        <v>3106</v>
      </c>
      <c r="W10" s="3475">
        <f t="shared" si="2"/>
        <v>100</v>
      </c>
      <c r="X10" s="3476"/>
      <c r="Y10" s="3472" t="s">
        <v>3110</v>
      </c>
      <c r="Z10" s="3477"/>
      <c r="AA10" s="3478">
        <f t="shared" ref="AA10:AA47" si="3">D10/F10</f>
        <v>1</v>
      </c>
      <c r="AB10" s="3478">
        <f t="shared" ref="AB10:AB47" si="4">D10/H10</f>
        <v>1</v>
      </c>
      <c r="AC10" s="3478">
        <f t="shared" ref="AC10:AC47" si="5">D10/J10</f>
        <v>1</v>
      </c>
    </row>
    <row r="11" spans="1:30" s="3479" customFormat="1" ht="20.25">
      <c r="A11" s="3484"/>
      <c r="B11" s="3485" t="s">
        <v>3111</v>
      </c>
      <c r="C11" s="3486" t="s">
        <v>3112</v>
      </c>
      <c r="D11" s="3487">
        <v>100</v>
      </c>
      <c r="E11" s="3488" t="s">
        <v>3112</v>
      </c>
      <c r="F11" s="3487">
        <f>SUMIF(77:77,E11,78:78)-SUMIF(77:77,C11,78:78)+100</f>
        <v>100</v>
      </c>
      <c r="G11" s="3488" t="s">
        <v>3112</v>
      </c>
      <c r="H11" s="3487">
        <f>SUMIF(77:77,G11,78:78)-SUMIF(77:77,C11,78:78)+100</f>
        <v>100</v>
      </c>
      <c r="I11" s="3488" t="s">
        <v>3113</v>
      </c>
      <c r="J11" s="3487">
        <f>SUMIF(77:77,I11,78:78)-SUMIF(77:77,C11,78:78)+100</f>
        <v>100</v>
      </c>
      <c r="K11" s="3469"/>
      <c r="L11" s="3470"/>
      <c r="M11" s="3408"/>
      <c r="N11" s="3408"/>
      <c r="O11" s="3489"/>
      <c r="P11" s="3490" t="s">
        <v>3114</v>
      </c>
      <c r="Q11" s="3491" t="str">
        <f t="shared" ref="Q11:Q17" si="6">B11</f>
        <v>用途</v>
      </c>
      <c r="R11" s="3474" t="s">
        <v>3106</v>
      </c>
      <c r="S11" s="3475">
        <f t="shared" si="0"/>
        <v>100</v>
      </c>
      <c r="T11" s="3474" t="s">
        <v>3106</v>
      </c>
      <c r="U11" s="3475">
        <f t="shared" si="1"/>
        <v>100</v>
      </c>
      <c r="V11" s="3474" t="s">
        <v>3106</v>
      </c>
      <c r="W11" s="3475">
        <f t="shared" si="2"/>
        <v>100</v>
      </c>
      <c r="X11" s="3476"/>
      <c r="Y11" s="3492" t="s">
        <v>3115</v>
      </c>
      <c r="Z11" s="3493" t="str">
        <f t="shared" ref="Z11:Z17" si="7">Q11</f>
        <v>用途</v>
      </c>
      <c r="AA11" s="3478">
        <f t="shared" si="3"/>
        <v>1</v>
      </c>
      <c r="AB11" s="3478">
        <f t="shared" si="4"/>
        <v>1</v>
      </c>
      <c r="AC11" s="3478">
        <f t="shared" si="5"/>
        <v>1</v>
      </c>
    </row>
    <row r="12" spans="1:30" s="3502" customFormat="1" ht="27">
      <c r="A12" s="3494"/>
      <c r="B12" s="3481" t="s">
        <v>3116</v>
      </c>
      <c r="C12" s="3495"/>
      <c r="D12" s="3496">
        <v>100</v>
      </c>
      <c r="E12" s="3497"/>
      <c r="F12" s="3496">
        <f>ROUND(100/'[1]数据-取费表'!G16,0)</f>
        <v>100</v>
      </c>
      <c r="G12" s="3498"/>
      <c r="H12" s="3496">
        <f>ROUND(100/'[1]数据-取费表'!G16,0)</f>
        <v>100</v>
      </c>
      <c r="I12" s="3498"/>
      <c r="J12" s="3496">
        <f>ROUND(100/'[1]数据-取费表'!G16,0)</f>
        <v>100</v>
      </c>
      <c r="K12" s="3499"/>
      <c r="L12" s="3500"/>
      <c r="M12" s="3408"/>
      <c r="N12" s="3408"/>
      <c r="O12" s="3501"/>
      <c r="P12" s="3490"/>
      <c r="Q12" s="3491" t="str">
        <f t="shared" si="6"/>
        <v>土地使用年限（年）</v>
      </c>
      <c r="R12" s="3474" t="s">
        <v>3106</v>
      </c>
      <c r="S12" s="3475">
        <f t="shared" si="0"/>
        <v>100</v>
      </c>
      <c r="T12" s="3474" t="s">
        <v>3106</v>
      </c>
      <c r="U12" s="3475">
        <f t="shared" si="1"/>
        <v>100</v>
      </c>
      <c r="V12" s="3474" t="s">
        <v>3106</v>
      </c>
      <c r="W12" s="3475">
        <f t="shared" si="2"/>
        <v>100</v>
      </c>
      <c r="X12" s="3476"/>
      <c r="Y12" s="3492"/>
      <c r="Z12" s="3493" t="str">
        <f t="shared" si="7"/>
        <v>土地使用年限（年）</v>
      </c>
      <c r="AA12" s="3478">
        <f t="shared" si="3"/>
        <v>1</v>
      </c>
      <c r="AB12" s="3478">
        <f t="shared" si="4"/>
        <v>1</v>
      </c>
      <c r="AC12" s="3478">
        <f t="shared" si="5"/>
        <v>1</v>
      </c>
    </row>
    <row r="13" spans="1:30" ht="20.25">
      <c r="A13" s="3503"/>
      <c r="B13" s="3481" t="s">
        <v>3117</v>
      </c>
      <c r="C13" s="3504">
        <f>'[1]数据-汇总表'!I3</f>
        <v>0.14000000000000001</v>
      </c>
      <c r="D13" s="3496">
        <v>100</v>
      </c>
      <c r="E13" s="3505">
        <v>0.1</v>
      </c>
      <c r="F13" s="3496">
        <f>LOOKUP(E13,82:82,83:83)-LOOKUP(C13,82:82,83:83)+100</f>
        <v>100</v>
      </c>
      <c r="G13" s="3504">
        <v>0.25</v>
      </c>
      <c r="H13" s="3496">
        <f>LOOKUP(G13,82:82,83:83)-LOOKUP(C13,82:82,83:83)+100</f>
        <v>100</v>
      </c>
      <c r="I13" s="3505">
        <v>0.36</v>
      </c>
      <c r="J13" s="3496">
        <f>LOOKUP(I13,82:82,83:83)-LOOKUP(C13,82:82,83:83)+100</f>
        <v>100</v>
      </c>
      <c r="K13" s="3506"/>
      <c r="L13" s="3507"/>
      <c r="M13" s="3408"/>
      <c r="N13" s="3408"/>
      <c r="O13" s="3508"/>
      <c r="P13" s="3490"/>
      <c r="Q13" s="3491" t="str">
        <f t="shared" si="6"/>
        <v>容积率</v>
      </c>
      <c r="R13" s="3474" t="s">
        <v>3106</v>
      </c>
      <c r="S13" s="3475">
        <f t="shared" si="0"/>
        <v>100</v>
      </c>
      <c r="T13" s="3474" t="s">
        <v>3106</v>
      </c>
      <c r="U13" s="3475">
        <f t="shared" si="1"/>
        <v>100</v>
      </c>
      <c r="V13" s="3474" t="s">
        <v>3106</v>
      </c>
      <c r="W13" s="3475">
        <f t="shared" si="2"/>
        <v>100</v>
      </c>
      <c r="X13" s="3476"/>
      <c r="Y13" s="3492"/>
      <c r="Z13" s="3493" t="str">
        <f t="shared" si="7"/>
        <v>容积率</v>
      </c>
      <c r="AA13" s="3478">
        <f t="shared" si="3"/>
        <v>1</v>
      </c>
      <c r="AB13" s="3478">
        <f t="shared" si="4"/>
        <v>1</v>
      </c>
      <c r="AC13" s="3478">
        <f t="shared" si="5"/>
        <v>1</v>
      </c>
    </row>
    <row r="14" spans="1:30" s="3479" customFormat="1" ht="20.25">
      <c r="A14" s="3480"/>
      <c r="B14" s="3509" t="s">
        <v>3118</v>
      </c>
      <c r="C14" s="3510"/>
      <c r="D14" s="3511">
        <v>100</v>
      </c>
      <c r="E14" s="3512"/>
      <c r="F14" s="3496">
        <f>SUMIF(84:84,E14,85:85)-SUMIF(84:84,C14,85:85)+100</f>
        <v>100</v>
      </c>
      <c r="G14" s="3498"/>
      <c r="H14" s="3496">
        <f>SUMIF(84:84,G14,85:85)-SUMIF(84:84,C14,85:85)+100</f>
        <v>100</v>
      </c>
      <c r="I14" s="3497"/>
      <c r="J14" s="3496">
        <f>SUMIF(84:84,I14,85:85)-SUMIF(84:84,C14,85:85)+100</f>
        <v>100</v>
      </c>
      <c r="K14" s="3499"/>
      <c r="L14" s="3470"/>
      <c r="M14" s="3408"/>
      <c r="N14" s="3408"/>
      <c r="O14" s="3489"/>
      <c r="P14" s="3490"/>
      <c r="Q14" s="3491" t="str">
        <f t="shared" si="6"/>
        <v>配建</v>
      </c>
      <c r="R14" s="3474" t="s">
        <v>3106</v>
      </c>
      <c r="S14" s="3475">
        <f t="shared" si="0"/>
        <v>100</v>
      </c>
      <c r="T14" s="3474" t="s">
        <v>3106</v>
      </c>
      <c r="U14" s="3475">
        <f t="shared" si="1"/>
        <v>100</v>
      </c>
      <c r="V14" s="3474" t="s">
        <v>3106</v>
      </c>
      <c r="W14" s="3475">
        <f t="shared" si="2"/>
        <v>100</v>
      </c>
      <c r="X14" s="3476"/>
      <c r="Y14" s="3492"/>
      <c r="Z14" s="3493" t="str">
        <f t="shared" si="7"/>
        <v>配建</v>
      </c>
      <c r="AA14" s="3478">
        <f>D14/F14</f>
        <v>1</v>
      </c>
      <c r="AB14" s="3478">
        <f>D14/H14</f>
        <v>1</v>
      </c>
      <c r="AC14" s="3478">
        <f>D14/J14</f>
        <v>1</v>
      </c>
    </row>
    <row r="15" spans="1:30" ht="20.25">
      <c r="A15" s="3513"/>
      <c r="B15" s="3514">
        <v>111</v>
      </c>
      <c r="C15" s="3515"/>
      <c r="D15" s="3516">
        <v>100</v>
      </c>
      <c r="E15" s="3517"/>
      <c r="F15" s="3496">
        <f>SUMIF(86:86,E15,87:87)-SUMIF(86:86,C15,87:87)+100</f>
        <v>100</v>
      </c>
      <c r="G15" s="3518"/>
      <c r="H15" s="3516">
        <f>SUMIF(86:86,G15,87:87)-SUMIF(86:86,C15,87:87)+100</f>
        <v>100</v>
      </c>
      <c r="I15" s="3518"/>
      <c r="J15" s="3516">
        <f>SUMIF(86:86,I15,87:87)-SUMIF(86:86,C15,87:87)+100</f>
        <v>100</v>
      </c>
      <c r="K15" s="3499"/>
      <c r="L15" s="3519"/>
      <c r="M15" s="3408"/>
      <c r="N15" s="3408"/>
      <c r="O15" s="3508"/>
      <c r="P15" s="3490"/>
      <c r="Q15" s="3491">
        <f t="shared" si="6"/>
        <v>111</v>
      </c>
      <c r="R15" s="3474" t="s">
        <v>3106</v>
      </c>
      <c r="S15" s="3475">
        <f t="shared" si="0"/>
        <v>100</v>
      </c>
      <c r="T15" s="3474" t="s">
        <v>3106</v>
      </c>
      <c r="U15" s="3475">
        <f t="shared" si="1"/>
        <v>100</v>
      </c>
      <c r="V15" s="3474" t="s">
        <v>3106</v>
      </c>
      <c r="W15" s="3475">
        <f t="shared" si="2"/>
        <v>100</v>
      </c>
      <c r="X15" s="3476"/>
      <c r="Y15" s="3492"/>
      <c r="Z15" s="3493">
        <f t="shared" si="7"/>
        <v>111</v>
      </c>
      <c r="AA15" s="3478">
        <f>D15/F15</f>
        <v>1</v>
      </c>
      <c r="AB15" s="3478">
        <f>D15/H15</f>
        <v>1</v>
      </c>
      <c r="AC15" s="3478">
        <f>D15/J15</f>
        <v>1</v>
      </c>
    </row>
    <row r="16" spans="1:30" ht="21" thickBot="1">
      <c r="A16" s="3520"/>
      <c r="B16" s="3521">
        <v>111</v>
      </c>
      <c r="C16" s="3522"/>
      <c r="D16" s="3523">
        <v>100</v>
      </c>
      <c r="E16" s="3517"/>
      <c r="F16" s="3523">
        <f>SUMIF(88:88,E16,89:89)-SUMIF(88:88,C16,89:89)+100</f>
        <v>100</v>
      </c>
      <c r="G16" s="3518"/>
      <c r="H16" s="3523">
        <f>SUMIF(88:88,G16,89:89)-SUMIF(88:88,C16,89:89)+100</f>
        <v>100</v>
      </c>
      <c r="I16" s="3518"/>
      <c r="J16" s="3523">
        <f>SUMIF(88:88,I16,89:89)-SUMIF(88:88,C16,89:89)+100</f>
        <v>100</v>
      </c>
      <c r="K16" s="3499"/>
      <c r="L16" s="3519"/>
      <c r="M16" s="3408"/>
      <c r="N16" s="3408"/>
      <c r="O16" s="3508"/>
      <c r="P16" s="3490"/>
      <c r="Q16" s="3491">
        <f t="shared" si="6"/>
        <v>111</v>
      </c>
      <c r="R16" s="3474" t="s">
        <v>3106</v>
      </c>
      <c r="S16" s="3475">
        <f t="shared" si="0"/>
        <v>100</v>
      </c>
      <c r="T16" s="3474" t="s">
        <v>3106</v>
      </c>
      <c r="U16" s="3475">
        <f t="shared" si="1"/>
        <v>100</v>
      </c>
      <c r="V16" s="3474" t="s">
        <v>3106</v>
      </c>
      <c r="W16" s="3475">
        <f t="shared" si="2"/>
        <v>100</v>
      </c>
      <c r="X16" s="3476"/>
      <c r="Y16" s="3492"/>
      <c r="Z16" s="3493">
        <f t="shared" si="7"/>
        <v>111</v>
      </c>
      <c r="AA16" s="3478">
        <f>D16/F16</f>
        <v>1</v>
      </c>
      <c r="AB16" s="3478">
        <f>D16/H16</f>
        <v>1</v>
      </c>
      <c r="AC16" s="3478">
        <f>D16/J16</f>
        <v>1</v>
      </c>
    </row>
    <row r="17" spans="1:29" ht="99.75">
      <c r="A17" s="3524" t="s">
        <v>3119</v>
      </c>
      <c r="B17" s="3525" t="s">
        <v>3120</v>
      </c>
      <c r="C17" s="3526" t="str">
        <f>[1]估价对象房地状况!C15</f>
        <v>估价对象周边居住用地比例、居住小区规模和社区发展完善程度，综合评价居住社区成熟度一般</v>
      </c>
      <c r="D17" s="3527">
        <v>100</v>
      </c>
      <c r="E17" s="3528"/>
      <c r="F17" s="3529">
        <f>SUMIF(90:90,E18,91:91)-SUMIF(90:90,C18,91:91)+100</f>
        <v>98</v>
      </c>
      <c r="G17" s="3530"/>
      <c r="H17" s="3529">
        <f>SUMIF(90:90,G18,91:91)-SUMIF(90:90,C18,91:91)+100</f>
        <v>100</v>
      </c>
      <c r="I17" s="3528"/>
      <c r="J17" s="3529">
        <f>SUMIF(90:90,I18,91:91)-SUMIF(90:90,C18,91:91)+100</f>
        <v>100</v>
      </c>
      <c r="K17" s="3506">
        <v>2</v>
      </c>
      <c r="L17" s="3519"/>
      <c r="M17" s="3408"/>
      <c r="N17" s="3408"/>
      <c r="O17" s="3508"/>
      <c r="P17" s="3531" t="s">
        <v>3121</v>
      </c>
      <c r="Q17" s="3532" t="str">
        <f t="shared" si="6"/>
        <v>居住社区成熟度</v>
      </c>
      <c r="R17" s="3533" t="s">
        <v>3106</v>
      </c>
      <c r="S17" s="3534">
        <f t="shared" si="0"/>
        <v>98</v>
      </c>
      <c r="T17" s="3533" t="s">
        <v>3106</v>
      </c>
      <c r="U17" s="3534">
        <f t="shared" si="1"/>
        <v>100</v>
      </c>
      <c r="V17" s="3533" t="s">
        <v>3106</v>
      </c>
      <c r="W17" s="3534">
        <f t="shared" si="2"/>
        <v>100</v>
      </c>
      <c r="X17" s="3440"/>
      <c r="Y17" s="3531" t="s">
        <v>3121</v>
      </c>
      <c r="Z17" s="3535" t="str">
        <f t="shared" si="7"/>
        <v>居住社区成熟度</v>
      </c>
      <c r="AA17" s="3536">
        <f t="shared" si="3"/>
        <v>1.0204081632653061</v>
      </c>
      <c r="AB17" s="3536">
        <f t="shared" si="4"/>
        <v>1</v>
      </c>
      <c r="AC17" s="3536">
        <f t="shared" si="5"/>
        <v>1</v>
      </c>
    </row>
    <row r="18" spans="1:29" ht="20.25">
      <c r="A18" s="3537"/>
      <c r="B18" s="3538"/>
      <c r="C18" s="3539" t="s">
        <v>3122</v>
      </c>
      <c r="D18" s="3540"/>
      <c r="E18" s="3541" t="s">
        <v>3123</v>
      </c>
      <c r="F18" s="3542"/>
      <c r="G18" s="3543" t="s">
        <v>3122</v>
      </c>
      <c r="H18" s="3544"/>
      <c r="I18" s="3541" t="s">
        <v>3122</v>
      </c>
      <c r="J18" s="3542"/>
      <c r="K18" s="3499"/>
      <c r="L18" s="3519"/>
      <c r="M18" s="3408"/>
      <c r="N18" s="3408"/>
      <c r="O18" s="3508"/>
      <c r="P18" s="3545"/>
      <c r="Q18" s="3532"/>
      <c r="R18" s="3533"/>
      <c r="S18" s="3534"/>
      <c r="T18" s="3533"/>
      <c r="U18" s="3534"/>
      <c r="V18" s="3533"/>
      <c r="W18" s="3534"/>
      <c r="X18" s="3440"/>
      <c r="Y18" s="3545"/>
      <c r="Z18" s="3535"/>
      <c r="AA18" s="3536">
        <v>1</v>
      </c>
      <c r="AB18" s="3536">
        <v>1</v>
      </c>
      <c r="AC18" s="3536">
        <v>1</v>
      </c>
    </row>
    <row r="19" spans="1:29" ht="71.25">
      <c r="A19" s="3537"/>
      <c r="B19" s="3546" t="s">
        <v>3124</v>
      </c>
      <c r="C19" s="3547" t="str">
        <f>[1]估价对象房地状况!C16</f>
        <v>估价对象位于XX商圈，周边商业氛围成熟，人流量大，商业繁华度好</v>
      </c>
      <c r="D19" s="3548">
        <v>100</v>
      </c>
      <c r="E19" s="3549"/>
      <c r="F19" s="3544">
        <f>SUMIF(92:92,E20,93:93)-SUMIF(92:92,C20,93:93)+100</f>
        <v>98</v>
      </c>
      <c r="G19" s="3550"/>
      <c r="H19" s="3551">
        <f>SUMIF(92:92,G20,93:93)-SUMIF(92:92,C20,93:93)+100</f>
        <v>98</v>
      </c>
      <c r="I19" s="3549"/>
      <c r="J19" s="3551">
        <f>SUMIF(92:92,I20,93:93)-SUMIF(92:92,C20,93:93)+100</f>
        <v>98</v>
      </c>
      <c r="K19" s="3506">
        <v>2</v>
      </c>
      <c r="L19" s="3519"/>
      <c r="M19" s="3408"/>
      <c r="N19" s="3408"/>
      <c r="O19" s="3508"/>
      <c r="P19" s="3545"/>
      <c r="Q19" s="3532" t="str">
        <f>B19</f>
        <v>商业繁华度</v>
      </c>
      <c r="R19" s="3533" t="s">
        <v>3106</v>
      </c>
      <c r="S19" s="3534">
        <f>F19</f>
        <v>98</v>
      </c>
      <c r="T19" s="3533" t="s">
        <v>3106</v>
      </c>
      <c r="U19" s="3534">
        <f>H19</f>
        <v>98</v>
      </c>
      <c r="V19" s="3533" t="s">
        <v>3106</v>
      </c>
      <c r="W19" s="3534">
        <f>J19</f>
        <v>98</v>
      </c>
      <c r="X19" s="3440"/>
      <c r="Y19" s="3545"/>
      <c r="Z19" s="3535" t="str">
        <f>Q19</f>
        <v>商业繁华度</v>
      </c>
      <c r="AA19" s="3536">
        <f t="shared" si="3"/>
        <v>1.0204081632653061</v>
      </c>
      <c r="AB19" s="3536">
        <f t="shared" si="4"/>
        <v>1.0204081632653061</v>
      </c>
      <c r="AC19" s="3536">
        <f t="shared" si="5"/>
        <v>1.0204081632653061</v>
      </c>
    </row>
    <row r="20" spans="1:29" ht="20.25">
      <c r="A20" s="3537"/>
      <c r="B20" s="3552"/>
      <c r="C20" s="3553" t="s">
        <v>3122</v>
      </c>
      <c r="D20" s="3548"/>
      <c r="E20" s="3554" t="s">
        <v>3123</v>
      </c>
      <c r="F20" s="3544"/>
      <c r="G20" s="3555" t="s">
        <v>3123</v>
      </c>
      <c r="H20" s="3542"/>
      <c r="I20" s="3554" t="s">
        <v>3123</v>
      </c>
      <c r="J20" s="3542"/>
      <c r="K20" s="3499"/>
      <c r="L20" s="3519"/>
      <c r="M20" s="3408"/>
      <c r="N20" s="3408"/>
      <c r="O20" s="3508"/>
      <c r="P20" s="3545"/>
      <c r="Q20" s="3532"/>
      <c r="R20" s="3533"/>
      <c r="S20" s="3534"/>
      <c r="T20" s="3533"/>
      <c r="U20" s="3534"/>
      <c r="V20" s="3533"/>
      <c r="W20" s="3534"/>
      <c r="X20" s="3440"/>
      <c r="Y20" s="3545"/>
      <c r="Z20" s="3535"/>
      <c r="AA20" s="3536">
        <v>1</v>
      </c>
      <c r="AB20" s="3536">
        <v>1</v>
      </c>
      <c r="AC20" s="3536">
        <v>1</v>
      </c>
    </row>
    <row r="21" spans="1:29" ht="71.25" hidden="1">
      <c r="A21" s="3537"/>
      <c r="B21" s="3546" t="s">
        <v>3125</v>
      </c>
      <c r="C21" s="3547" t="str">
        <f>[1]估价对象房地状况!C17</f>
        <v>估价对象位于XX商圈，周边办公楼项目较多，入驻率高，办公集聚程度较好</v>
      </c>
      <c r="D21" s="3556">
        <v>100</v>
      </c>
      <c r="E21" s="3557"/>
      <c r="F21" s="3551">
        <f>SUMIF(94:94,E22,95:95)-SUMIF(94:94,C22,95:95)+100</f>
        <v>100</v>
      </c>
      <c r="G21" s="3558"/>
      <c r="H21" s="3544">
        <f>SUMIF(94:94,G22,95:95)-SUMIF(94:94,C22,95:95)+100</f>
        <v>100</v>
      </c>
      <c r="I21" s="3557"/>
      <c r="J21" s="3544">
        <f>SUMIF(94:94,I22,95:95)-SUMIF(94:94,C22,95:95)+100</f>
        <v>100</v>
      </c>
      <c r="K21" s="3506"/>
      <c r="L21" s="3519"/>
      <c r="M21" s="3408"/>
      <c r="N21" s="3408"/>
      <c r="O21" s="3508"/>
      <c r="P21" s="3545"/>
      <c r="Q21" s="3532" t="str">
        <f>B21</f>
        <v>办公集聚程度</v>
      </c>
      <c r="R21" s="3533" t="s">
        <v>3106</v>
      </c>
      <c r="S21" s="3534">
        <f>F21</f>
        <v>100</v>
      </c>
      <c r="T21" s="3533" t="s">
        <v>3106</v>
      </c>
      <c r="U21" s="3534">
        <f>H21</f>
        <v>100</v>
      </c>
      <c r="V21" s="3533" t="s">
        <v>3106</v>
      </c>
      <c r="W21" s="3534">
        <f>J21</f>
        <v>100</v>
      </c>
      <c r="X21" s="3440"/>
      <c r="Y21" s="3545"/>
      <c r="Z21" s="3535" t="str">
        <f>Q21</f>
        <v>办公集聚程度</v>
      </c>
      <c r="AA21" s="3536">
        <f t="shared" si="3"/>
        <v>1</v>
      </c>
      <c r="AB21" s="3536">
        <f t="shared" si="4"/>
        <v>1</v>
      </c>
      <c r="AC21" s="3536">
        <f t="shared" si="5"/>
        <v>1</v>
      </c>
    </row>
    <row r="22" spans="1:29" ht="20.25" hidden="1">
      <c r="A22" s="3537"/>
      <c r="B22" s="3552"/>
      <c r="C22" s="3539"/>
      <c r="D22" s="3540"/>
      <c r="E22" s="3541"/>
      <c r="F22" s="3542"/>
      <c r="G22" s="3543"/>
      <c r="H22" s="3542"/>
      <c r="I22" s="3541"/>
      <c r="J22" s="3542"/>
      <c r="K22" s="3499"/>
      <c r="L22" s="3519"/>
      <c r="M22" s="3408"/>
      <c r="N22" s="3408"/>
      <c r="O22" s="3508"/>
      <c r="P22" s="3545"/>
      <c r="Q22" s="3532"/>
      <c r="R22" s="3533"/>
      <c r="S22" s="3534"/>
      <c r="T22" s="3533"/>
      <c r="U22" s="3534"/>
      <c r="V22" s="3533"/>
      <c r="W22" s="3534"/>
      <c r="X22" s="3440"/>
      <c r="Y22" s="3545"/>
      <c r="Z22" s="3535"/>
      <c r="AA22" s="3536">
        <v>1</v>
      </c>
      <c r="AB22" s="3536">
        <v>1</v>
      </c>
      <c r="AC22" s="3536">
        <v>1</v>
      </c>
    </row>
    <row r="23" spans="1:29" ht="85.5">
      <c r="A23" s="3537"/>
      <c r="B23" s="3546" t="s">
        <v>3126</v>
      </c>
      <c r="C23" s="3559" t="str">
        <f>[1]估价对象房地状况!C18</f>
        <v>估价对象周边道路状况、公共交通通达情况、停车便捷程度，综合评价交通便捷度较好</v>
      </c>
      <c r="D23" s="3548">
        <v>100</v>
      </c>
      <c r="E23" s="3549"/>
      <c r="F23" s="3551">
        <f>SUMIF(96:96,E24,97:97)-SUMIF(96:96,C24,97:97)+100</f>
        <v>100</v>
      </c>
      <c r="G23" s="3550"/>
      <c r="H23" s="3544">
        <f>SUMIF(96:96,G24,97:97)-SUMIF(96:96,C24,97:97)+100</f>
        <v>100</v>
      </c>
      <c r="I23" s="3549"/>
      <c r="J23" s="3544">
        <f>SUMIF(96:96,I24,97:97)-SUMIF(96:96,C24,97:97)+100</f>
        <v>100</v>
      </c>
      <c r="K23" s="3506"/>
      <c r="L23" s="3519"/>
      <c r="M23" s="3408"/>
      <c r="N23" s="3408"/>
      <c r="O23" s="3508"/>
      <c r="P23" s="3545"/>
      <c r="Q23" s="3532" t="str">
        <f>B23</f>
        <v>交通便捷度</v>
      </c>
      <c r="R23" s="3533" t="s">
        <v>3106</v>
      </c>
      <c r="S23" s="3534">
        <f>F23</f>
        <v>100</v>
      </c>
      <c r="T23" s="3533" t="s">
        <v>3106</v>
      </c>
      <c r="U23" s="3534">
        <f>H23</f>
        <v>100</v>
      </c>
      <c r="V23" s="3533" t="s">
        <v>3106</v>
      </c>
      <c r="W23" s="3534">
        <f>J23</f>
        <v>100</v>
      </c>
      <c r="X23" s="3440"/>
      <c r="Y23" s="3545"/>
      <c r="Z23" s="3535" t="str">
        <f>Q23</f>
        <v>交通便捷度</v>
      </c>
      <c r="AA23" s="3536">
        <f t="shared" si="3"/>
        <v>1</v>
      </c>
      <c r="AB23" s="3536">
        <f t="shared" si="4"/>
        <v>1</v>
      </c>
      <c r="AC23" s="3536">
        <f t="shared" si="5"/>
        <v>1</v>
      </c>
    </row>
    <row r="24" spans="1:29" ht="20.25">
      <c r="A24" s="3537"/>
      <c r="B24" s="3525"/>
      <c r="C24" s="3539"/>
      <c r="D24" s="3540"/>
      <c r="E24" s="3541"/>
      <c r="F24" s="3542"/>
      <c r="G24" s="3543"/>
      <c r="H24" s="3542"/>
      <c r="I24" s="3541"/>
      <c r="J24" s="3542"/>
      <c r="K24" s="3499"/>
      <c r="L24" s="3519"/>
      <c r="M24" s="3408"/>
      <c r="N24" s="3408"/>
      <c r="O24" s="3508"/>
      <c r="P24" s="3545"/>
      <c r="Q24" s="3532"/>
      <c r="R24" s="3533"/>
      <c r="S24" s="3534"/>
      <c r="T24" s="3533"/>
      <c r="U24" s="3534"/>
      <c r="V24" s="3533"/>
      <c r="W24" s="3534"/>
      <c r="X24" s="3440"/>
      <c r="Y24" s="3545"/>
      <c r="Z24" s="3535"/>
      <c r="AA24" s="3536">
        <v>1</v>
      </c>
      <c r="AB24" s="3536">
        <v>1</v>
      </c>
      <c r="AC24" s="3536">
        <v>1</v>
      </c>
    </row>
    <row r="25" spans="1:29" ht="27">
      <c r="A25" s="3444"/>
      <c r="B25" s="3560" t="s">
        <v>3127</v>
      </c>
      <c r="C25" s="3559">
        <f>[1]估价对象房地状况!C19</f>
        <v>0</v>
      </c>
      <c r="D25" s="3548">
        <v>100</v>
      </c>
      <c r="E25" s="3549"/>
      <c r="F25" s="3551">
        <f>SUMIF(98:98,E26,99:99)-SUMIF(98:98,C26,99:99)+100</f>
        <v>100</v>
      </c>
      <c r="G25" s="3550"/>
      <c r="H25" s="3544">
        <f>SUMIF(98:98,G26,99:99)-SUMIF(98:98,C26,99:99)+100</f>
        <v>100</v>
      </c>
      <c r="I25" s="3549"/>
      <c r="J25" s="3544">
        <f>SUMIF(98:98,I26,99:99)-SUMIF(98:98,C26,99:99)+100</f>
        <v>100</v>
      </c>
      <c r="K25" s="3506"/>
      <c r="L25" s="3519"/>
      <c r="M25" s="3408"/>
      <c r="N25" s="3408"/>
      <c r="O25" s="3508"/>
      <c r="P25" s="3545"/>
      <c r="Q25" s="3532" t="str">
        <f t="shared" ref="Q25:Q39" si="8">B25</f>
        <v>区域土地利用方向</v>
      </c>
      <c r="R25" s="3533" t="s">
        <v>3106</v>
      </c>
      <c r="S25" s="3534">
        <f>F25</f>
        <v>100</v>
      </c>
      <c r="T25" s="3533" t="s">
        <v>3106</v>
      </c>
      <c r="U25" s="3534">
        <f>H25</f>
        <v>100</v>
      </c>
      <c r="V25" s="3533" t="s">
        <v>3106</v>
      </c>
      <c r="W25" s="3534">
        <f>J25</f>
        <v>100</v>
      </c>
      <c r="X25" s="3440"/>
      <c r="Y25" s="3545"/>
      <c r="Z25" s="3535" t="str">
        <f>Q25</f>
        <v>区域土地利用方向</v>
      </c>
      <c r="AA25" s="3536">
        <f t="shared" si="3"/>
        <v>1</v>
      </c>
      <c r="AB25" s="3536">
        <f t="shared" si="4"/>
        <v>1</v>
      </c>
      <c r="AC25" s="3536">
        <f t="shared" si="5"/>
        <v>1</v>
      </c>
    </row>
    <row r="26" spans="1:29" ht="20.25">
      <c r="A26" s="3444"/>
      <c r="B26" s="3561"/>
      <c r="C26" s="3539"/>
      <c r="D26" s="3540"/>
      <c r="E26" s="3541"/>
      <c r="F26" s="3542"/>
      <c r="G26" s="3543"/>
      <c r="H26" s="3542"/>
      <c r="I26" s="3541"/>
      <c r="J26" s="3542"/>
      <c r="K26" s="3499"/>
      <c r="L26" s="3519"/>
      <c r="M26" s="3408"/>
      <c r="N26" s="3408"/>
      <c r="O26" s="3508"/>
      <c r="P26" s="3545"/>
      <c r="Q26" s="3532"/>
      <c r="R26" s="3533"/>
      <c r="S26" s="3534"/>
      <c r="T26" s="3533"/>
      <c r="U26" s="3534"/>
      <c r="V26" s="3533"/>
      <c r="W26" s="3534"/>
      <c r="X26" s="3440"/>
      <c r="Y26" s="3545"/>
      <c r="Z26" s="3535"/>
      <c r="AA26" s="3536"/>
      <c r="AB26" s="3536"/>
      <c r="AC26" s="3536"/>
    </row>
    <row r="27" spans="1:29" ht="57">
      <c r="A27" s="3444"/>
      <c r="B27" s="3525" t="s">
        <v>3128</v>
      </c>
      <c r="C27" s="3547" t="str">
        <f>[1]估价对象房地状况!C20</f>
        <v>区域自然环境：；人文环境；综合评价环境状况一般</v>
      </c>
      <c r="D27" s="3548">
        <v>100</v>
      </c>
      <c r="E27" s="3549"/>
      <c r="F27" s="3544">
        <f>SUMIF(100:100,E28,101:101)-SUMIF(100:100,C28,101:101)+100</f>
        <v>100</v>
      </c>
      <c r="G27" s="3550"/>
      <c r="H27" s="3544">
        <f>SUMIF(100:100,G28,101:101)-SUMIF(100:100,C28,101:101)+100</f>
        <v>102</v>
      </c>
      <c r="I27" s="3549"/>
      <c r="J27" s="3544">
        <f>SUMIF(100:100,I28,101:101)-SUMIF(100:100,C28,101:101)+100</f>
        <v>100</v>
      </c>
      <c r="K27" s="3506">
        <v>2</v>
      </c>
      <c r="L27" s="3519"/>
      <c r="M27" s="3408"/>
      <c r="N27" s="3408"/>
      <c r="O27" s="3508"/>
      <c r="P27" s="3545"/>
      <c r="Q27" s="3532" t="str">
        <f t="shared" si="8"/>
        <v>自然及人文环境状况</v>
      </c>
      <c r="R27" s="3533" t="s">
        <v>3106</v>
      </c>
      <c r="S27" s="3534">
        <f>F27</f>
        <v>100</v>
      </c>
      <c r="T27" s="3533" t="s">
        <v>3106</v>
      </c>
      <c r="U27" s="3534">
        <f>H27</f>
        <v>102</v>
      </c>
      <c r="V27" s="3533" t="s">
        <v>3106</v>
      </c>
      <c r="W27" s="3534">
        <f>J27</f>
        <v>100</v>
      </c>
      <c r="X27" s="3440"/>
      <c r="Y27" s="3545"/>
      <c r="Z27" s="3535" t="str">
        <f>Q27</f>
        <v>自然及人文环境状况</v>
      </c>
      <c r="AA27" s="3536">
        <f t="shared" si="3"/>
        <v>1</v>
      </c>
      <c r="AB27" s="3536">
        <f t="shared" si="4"/>
        <v>0.98039215686274506</v>
      </c>
      <c r="AC27" s="3536">
        <f t="shared" si="5"/>
        <v>1</v>
      </c>
    </row>
    <row r="28" spans="1:29" ht="20.25">
      <c r="A28" s="3444"/>
      <c r="B28" s="3552"/>
      <c r="C28" s="3539" t="s">
        <v>3123</v>
      </c>
      <c r="D28" s="3540"/>
      <c r="E28" s="3562" t="s">
        <v>3123</v>
      </c>
      <c r="F28" s="3542"/>
      <c r="G28" s="3539" t="s">
        <v>3122</v>
      </c>
      <c r="H28" s="3542"/>
      <c r="I28" s="3562" t="s">
        <v>3123</v>
      </c>
      <c r="J28" s="3542"/>
      <c r="K28" s="3499"/>
      <c r="L28" s="3519"/>
      <c r="M28" s="3408"/>
      <c r="N28" s="3408"/>
      <c r="O28" s="3508"/>
      <c r="P28" s="3545"/>
      <c r="Q28" s="3532"/>
      <c r="R28" s="3533"/>
      <c r="S28" s="3534"/>
      <c r="T28" s="3533"/>
      <c r="U28" s="3534"/>
      <c r="V28" s="3533"/>
      <c r="W28" s="3534"/>
      <c r="X28" s="3440"/>
      <c r="Y28" s="3545"/>
      <c r="Z28" s="3535"/>
      <c r="AA28" s="3536">
        <v>1</v>
      </c>
      <c r="AB28" s="3536">
        <v>1</v>
      </c>
      <c r="AC28" s="3536">
        <v>1</v>
      </c>
    </row>
    <row r="29" spans="1:29" s="3479" customFormat="1" ht="42.75">
      <c r="A29" s="3563"/>
      <c r="B29" s="3564" t="s">
        <v>3129</v>
      </c>
      <c r="C29" s="3559" t="str">
        <f>[1]估价对象房地状况!C21</f>
        <v>估价对象所在区域公共配套设施齐备情况</v>
      </c>
      <c r="D29" s="3548">
        <v>100</v>
      </c>
      <c r="E29" s="3549"/>
      <c r="F29" s="3544">
        <f>SUMIF(102:102,E30,103:103)-SUMIF(102:102,C30,103:103)+100</f>
        <v>100</v>
      </c>
      <c r="G29" s="3550"/>
      <c r="H29" s="3544">
        <f>SUMIF(102:102,G30,103:103)-SUMIF(102:102,C30,103:103)+100</f>
        <v>100</v>
      </c>
      <c r="I29" s="3549"/>
      <c r="J29" s="3544">
        <f>SUMIF(102:102,I30,103:103)-SUMIF(102:102,C30,103:103)+100</f>
        <v>100</v>
      </c>
      <c r="K29" s="3506">
        <v>2</v>
      </c>
      <c r="L29" s="3470"/>
      <c r="M29" s="3408"/>
      <c r="N29" s="3408"/>
      <c r="O29" s="3489"/>
      <c r="P29" s="3545"/>
      <c r="Q29" s="3491" t="str">
        <f t="shared" si="8"/>
        <v>公共配套设施</v>
      </c>
      <c r="R29" s="3474" t="s">
        <v>3106</v>
      </c>
      <c r="S29" s="3475">
        <f>F29</f>
        <v>100</v>
      </c>
      <c r="T29" s="3474" t="s">
        <v>3106</v>
      </c>
      <c r="U29" s="3475">
        <f>H29</f>
        <v>100</v>
      </c>
      <c r="V29" s="3474" t="s">
        <v>3106</v>
      </c>
      <c r="W29" s="3475">
        <f>J29</f>
        <v>100</v>
      </c>
      <c r="X29" s="3476"/>
      <c r="Y29" s="3545"/>
      <c r="Z29" s="3493" t="str">
        <f>Q29</f>
        <v>公共配套设施</v>
      </c>
      <c r="AA29" s="3536">
        <f>D29/F29</f>
        <v>1</v>
      </c>
      <c r="AB29" s="3536">
        <f>D29/H29</f>
        <v>1</v>
      </c>
      <c r="AC29" s="3536">
        <f>D29/J29</f>
        <v>1</v>
      </c>
    </row>
    <row r="30" spans="1:29" s="3479" customFormat="1" ht="20.25">
      <c r="A30" s="3563"/>
      <c r="B30" s="3552"/>
      <c r="C30" s="3565" t="s">
        <v>3122</v>
      </c>
      <c r="D30" s="3540"/>
      <c r="E30" s="3562" t="s">
        <v>3122</v>
      </c>
      <c r="F30" s="3542"/>
      <c r="G30" s="3539" t="s">
        <v>3122</v>
      </c>
      <c r="H30" s="3542"/>
      <c r="I30" s="3562" t="s">
        <v>3122</v>
      </c>
      <c r="J30" s="3542"/>
      <c r="K30" s="3499"/>
      <c r="L30" s="3470"/>
      <c r="M30" s="3408"/>
      <c r="N30" s="3408"/>
      <c r="O30" s="3489"/>
      <c r="P30" s="3545"/>
      <c r="Q30" s="3491"/>
      <c r="R30" s="3474"/>
      <c r="S30" s="3475"/>
      <c r="T30" s="3474"/>
      <c r="U30" s="3475"/>
      <c r="V30" s="3474"/>
      <c r="W30" s="3475"/>
      <c r="X30" s="3476"/>
      <c r="Y30" s="3545"/>
      <c r="Z30" s="3493"/>
      <c r="AA30" s="3536">
        <v>1</v>
      </c>
      <c r="AB30" s="3536">
        <v>1</v>
      </c>
      <c r="AC30" s="3536">
        <v>1</v>
      </c>
    </row>
    <row r="31" spans="1:29" s="3479" customFormat="1" ht="28.5">
      <c r="A31" s="3563"/>
      <c r="B31" s="3564" t="s">
        <v>3130</v>
      </c>
      <c r="C31" s="3559" t="str">
        <f>[1]估价对象房地状况!C22</f>
        <v>估价对象所在区域基础设施水平</v>
      </c>
      <c r="D31" s="3548">
        <v>100</v>
      </c>
      <c r="E31" s="3549"/>
      <c r="F31" s="3544">
        <f>SUMIF(104:104,E32,105:105)-SUMIF(104:104,C32,105:105)+100</f>
        <v>100</v>
      </c>
      <c r="G31" s="3550"/>
      <c r="H31" s="3544">
        <f>SUMIF(104:104,G32,105:105)-SUMIF(104:104,C32,105:105)+100</f>
        <v>100</v>
      </c>
      <c r="I31" s="3549"/>
      <c r="J31" s="3544">
        <f>SUMIF(104:104,I32,105:105)-SUMIF(104:104,C32,105:105)+100</f>
        <v>100</v>
      </c>
      <c r="K31" s="3506"/>
      <c r="L31" s="3470"/>
      <c r="M31" s="3408"/>
      <c r="N31" s="3408"/>
      <c r="O31" s="3489"/>
      <c r="P31" s="3545"/>
      <c r="Q31" s="3491" t="str">
        <f t="shared" ref="Q31" si="9">B31</f>
        <v>基础设施水平</v>
      </c>
      <c r="R31" s="3474" t="s">
        <v>3106</v>
      </c>
      <c r="S31" s="3475">
        <f>F31</f>
        <v>100</v>
      </c>
      <c r="T31" s="3474" t="s">
        <v>3106</v>
      </c>
      <c r="U31" s="3475">
        <f>H31</f>
        <v>100</v>
      </c>
      <c r="V31" s="3474" t="s">
        <v>3106</v>
      </c>
      <c r="W31" s="3475">
        <f>J31</f>
        <v>100</v>
      </c>
      <c r="X31" s="3476"/>
      <c r="Y31" s="3545"/>
      <c r="Z31" s="3493" t="str">
        <f>Q31</f>
        <v>基础设施水平</v>
      </c>
      <c r="AA31" s="3536">
        <f>D31/F31</f>
        <v>1</v>
      </c>
      <c r="AB31" s="3536">
        <f>D31/H31</f>
        <v>1</v>
      </c>
      <c r="AC31" s="3536">
        <f>D31/J31</f>
        <v>1</v>
      </c>
    </row>
    <row r="32" spans="1:29" s="3479" customFormat="1" ht="20.25">
      <c r="A32" s="3563"/>
      <c r="B32" s="3552"/>
      <c r="C32" s="3565"/>
      <c r="D32" s="3540"/>
      <c r="E32" s="3566"/>
      <c r="F32" s="3542"/>
      <c r="G32" s="3565"/>
      <c r="H32" s="3542"/>
      <c r="I32" s="3565"/>
      <c r="J32" s="3542"/>
      <c r="K32" s="3499"/>
      <c r="L32" s="3470"/>
      <c r="M32" s="3408"/>
      <c r="N32" s="3408"/>
      <c r="O32" s="3489"/>
      <c r="P32" s="3545"/>
      <c r="Q32" s="3491"/>
      <c r="R32" s="3474"/>
      <c r="S32" s="3475"/>
      <c r="T32" s="3474"/>
      <c r="U32" s="3475"/>
      <c r="V32" s="3474"/>
      <c r="W32" s="3475"/>
      <c r="X32" s="3476"/>
      <c r="Y32" s="3545"/>
      <c r="Z32" s="3493"/>
      <c r="AA32" s="3536">
        <v>1</v>
      </c>
      <c r="AB32" s="3536">
        <v>1</v>
      </c>
      <c r="AC32" s="3536">
        <v>1</v>
      </c>
    </row>
    <row r="33" spans="1:29" ht="20.25">
      <c r="A33" s="3537"/>
      <c r="B33" s="3552" t="s">
        <v>3131</v>
      </c>
      <c r="C33" s="3567"/>
      <c r="D33" s="3568">
        <v>100</v>
      </c>
      <c r="E33" s="3569"/>
      <c r="F33" s="3516">
        <f>SUMIF(106:106,E33,107:107)-SUMIF(106:106,C33,107:107)+100</f>
        <v>100</v>
      </c>
      <c r="G33" s="3567"/>
      <c r="H33" s="3516">
        <f>SUMIF(106:106,G33,107:107)-SUMIF(106:106,C33,107:107)+100</f>
        <v>100</v>
      </c>
      <c r="I33" s="3567"/>
      <c r="J33" s="3516">
        <f>SUMIF(106:106,I33,107:107)-SUMIF(106:106,C33,107:107)+100</f>
        <v>100</v>
      </c>
      <c r="K33" s="3506"/>
      <c r="L33" s="3519"/>
      <c r="M33" s="3408"/>
      <c r="N33" s="3408"/>
      <c r="O33" s="3508"/>
      <c r="P33" s="3545"/>
      <c r="Q33" s="3532" t="str">
        <f t="shared" si="8"/>
        <v>临街状况</v>
      </c>
      <c r="R33" s="3533" t="s">
        <v>3106</v>
      </c>
      <c r="S33" s="3534">
        <f t="shared" ref="S33:S47" si="10">F33</f>
        <v>100</v>
      </c>
      <c r="T33" s="3533" t="s">
        <v>3106</v>
      </c>
      <c r="U33" s="3534">
        <f t="shared" ref="U33:U47" si="11">H33</f>
        <v>100</v>
      </c>
      <c r="V33" s="3533" t="s">
        <v>3106</v>
      </c>
      <c r="W33" s="3534">
        <f t="shared" ref="W33:W47" si="12">J33</f>
        <v>100</v>
      </c>
      <c r="X33" s="3440"/>
      <c r="Y33" s="3545"/>
      <c r="Z33" s="3535" t="str">
        <f t="shared" ref="Z33:Z47" si="13">Q33</f>
        <v>临街状况</v>
      </c>
      <c r="AA33" s="3536">
        <f t="shared" si="3"/>
        <v>1</v>
      </c>
      <c r="AB33" s="3536">
        <f t="shared" si="4"/>
        <v>1</v>
      </c>
      <c r="AC33" s="3536">
        <f t="shared" si="5"/>
        <v>1</v>
      </c>
    </row>
    <row r="34" spans="1:29" ht="27">
      <c r="A34" s="3537"/>
      <c r="B34" s="3525" t="s">
        <v>3132</v>
      </c>
      <c r="C34" s="3570" t="s">
        <v>3133</v>
      </c>
      <c r="D34" s="3548">
        <v>100</v>
      </c>
      <c r="E34" s="3571" t="s">
        <v>3134</v>
      </c>
      <c r="F34" s="3544">
        <f>SUMIF(108:108,E35,109:109)-SUMIF(108:108,C35,109:109)+100</f>
        <v>98</v>
      </c>
      <c r="G34" s="3570" t="s">
        <v>3135</v>
      </c>
      <c r="H34" s="3544">
        <f>SUMIF(108:108,G35,109:109)-SUMIF(108:108,C35,109:109)+100</f>
        <v>98</v>
      </c>
      <c r="I34" s="3571" t="s">
        <v>3136</v>
      </c>
      <c r="J34" s="3544">
        <f>SUMIF(108:108,I35,109:109)-SUMIF(108:108,C35,109:109)+100</f>
        <v>98</v>
      </c>
      <c r="K34" s="3506">
        <v>2</v>
      </c>
      <c r="L34" s="3519"/>
      <c r="M34" s="3408"/>
      <c r="N34" s="3408"/>
      <c r="O34" s="3508"/>
      <c r="P34" s="3545"/>
      <c r="Q34" s="3532" t="str">
        <f t="shared" si="8"/>
        <v>毗邻道路的类型与等级</v>
      </c>
      <c r="R34" s="3533" t="s">
        <v>3106</v>
      </c>
      <c r="S34" s="3534">
        <f t="shared" si="10"/>
        <v>98</v>
      </c>
      <c r="T34" s="3533" t="s">
        <v>3106</v>
      </c>
      <c r="U34" s="3534">
        <f t="shared" si="11"/>
        <v>98</v>
      </c>
      <c r="V34" s="3533" t="s">
        <v>3106</v>
      </c>
      <c r="W34" s="3534">
        <f t="shared" si="12"/>
        <v>98</v>
      </c>
      <c r="X34" s="3440"/>
      <c r="Y34" s="3545"/>
      <c r="Z34" s="3535" t="str">
        <f t="shared" si="13"/>
        <v>毗邻道路的类型与等级</v>
      </c>
      <c r="AA34" s="3536">
        <f t="shared" si="3"/>
        <v>1.0204081632653061</v>
      </c>
      <c r="AB34" s="3536">
        <f t="shared" si="4"/>
        <v>1.0204081632653061</v>
      </c>
      <c r="AC34" s="3536">
        <f t="shared" si="5"/>
        <v>1.0204081632653061</v>
      </c>
    </row>
    <row r="35" spans="1:29" ht="20.25">
      <c r="A35" s="3537"/>
      <c r="B35" s="3552"/>
      <c r="C35" s="3539" t="s">
        <v>3137</v>
      </c>
      <c r="D35" s="3540"/>
      <c r="E35" s="3562" t="s">
        <v>3138</v>
      </c>
      <c r="F35" s="3542"/>
      <c r="G35" s="3539" t="s">
        <v>3138</v>
      </c>
      <c r="H35" s="3542"/>
      <c r="I35" s="3562" t="s">
        <v>3138</v>
      </c>
      <c r="J35" s="3542"/>
      <c r="K35" s="3572"/>
      <c r="L35" s="3519"/>
      <c r="M35" s="3408"/>
      <c r="N35" s="3408"/>
      <c r="O35" s="3508"/>
      <c r="P35" s="3545"/>
      <c r="Q35" s="3532"/>
      <c r="R35" s="3533"/>
      <c r="S35" s="3534"/>
      <c r="T35" s="3533"/>
      <c r="U35" s="3534"/>
      <c r="V35" s="3533"/>
      <c r="W35" s="3534"/>
      <c r="X35" s="3440"/>
      <c r="Y35" s="3545"/>
      <c r="Z35" s="3535"/>
      <c r="AA35" s="3536">
        <v>1</v>
      </c>
      <c r="AB35" s="3536">
        <v>1</v>
      </c>
      <c r="AC35" s="3536">
        <v>1</v>
      </c>
    </row>
    <row r="36" spans="1:29" ht="20.25">
      <c r="A36" s="3537"/>
      <c r="B36" s="3573" t="s">
        <v>3139</v>
      </c>
      <c r="C36" s="3567"/>
      <c r="D36" s="3568">
        <v>100</v>
      </c>
      <c r="E36" s="3569"/>
      <c r="F36" s="3516">
        <f>SUMIF(110:110,E36,111:111)-SUMIF(110:110,C36,111:111)+100</f>
        <v>100</v>
      </c>
      <c r="G36" s="3567"/>
      <c r="H36" s="3516">
        <f>SUMIF(110:110,G36,111:111)-SUMIF(110:110,C36,111:111)+100</f>
        <v>100</v>
      </c>
      <c r="I36" s="3569"/>
      <c r="J36" s="3516">
        <f>SUMIF(110:110,I36,111:111)-SUMIF(110:110,C36,111:111)+100</f>
        <v>100</v>
      </c>
      <c r="K36" s="3574"/>
      <c r="L36" s="3519"/>
      <c r="M36" s="3408"/>
      <c r="N36" s="3408"/>
      <c r="O36" s="3508"/>
      <c r="P36" s="3545"/>
      <c r="Q36" s="3532" t="str">
        <f t="shared" si="8"/>
        <v>土地级别</v>
      </c>
      <c r="R36" s="3533" t="s">
        <v>3106</v>
      </c>
      <c r="S36" s="3534">
        <f t="shared" si="10"/>
        <v>100</v>
      </c>
      <c r="T36" s="3533" t="s">
        <v>3106</v>
      </c>
      <c r="U36" s="3534">
        <f t="shared" si="11"/>
        <v>100</v>
      </c>
      <c r="V36" s="3533" t="s">
        <v>3106</v>
      </c>
      <c r="W36" s="3534">
        <f t="shared" si="12"/>
        <v>100</v>
      </c>
      <c r="X36" s="3440"/>
      <c r="Y36" s="3545"/>
      <c r="Z36" s="3535" t="str">
        <f t="shared" si="13"/>
        <v>土地级别</v>
      </c>
      <c r="AA36" s="3536">
        <f t="shared" si="3"/>
        <v>1</v>
      </c>
      <c r="AB36" s="3536">
        <f t="shared" si="4"/>
        <v>1</v>
      </c>
      <c r="AC36" s="3536">
        <f t="shared" si="5"/>
        <v>1</v>
      </c>
    </row>
    <row r="37" spans="1:29" ht="20.25">
      <c r="A37" s="3444"/>
      <c r="B37" s="3575">
        <v>111</v>
      </c>
      <c r="C37" s="3576"/>
      <c r="D37" s="3568">
        <v>100</v>
      </c>
      <c r="E37" s="3518"/>
      <c r="F37" s="3516">
        <f>SUMIF(112:112,E37,113:113)-SUMIF(112:112,C37,113:113)+100</f>
        <v>100</v>
      </c>
      <c r="G37" s="3576"/>
      <c r="H37" s="3516">
        <f>SUMIF(112:112,G37,113:113)-SUMIF(112:112,C37,113:113)+100</f>
        <v>100</v>
      </c>
      <c r="I37" s="3518"/>
      <c r="J37" s="3516">
        <f>SUMIF(112:112,I37,113:113)-SUMIF(112:112,C37,113:113)+100</f>
        <v>100</v>
      </c>
      <c r="K37" s="3572"/>
      <c r="L37" s="3519"/>
      <c r="M37" s="3408"/>
      <c r="N37" s="3408"/>
      <c r="O37" s="3508"/>
      <c r="P37" s="3545"/>
      <c r="Q37" s="3532">
        <f t="shared" si="8"/>
        <v>111</v>
      </c>
      <c r="R37" s="3533" t="s">
        <v>3106</v>
      </c>
      <c r="S37" s="3534">
        <f t="shared" si="10"/>
        <v>100</v>
      </c>
      <c r="T37" s="3533" t="s">
        <v>3106</v>
      </c>
      <c r="U37" s="3534">
        <f t="shared" si="11"/>
        <v>100</v>
      </c>
      <c r="V37" s="3533" t="s">
        <v>3106</v>
      </c>
      <c r="W37" s="3534">
        <f t="shared" si="12"/>
        <v>100</v>
      </c>
      <c r="X37" s="3440"/>
      <c r="Y37" s="3545"/>
      <c r="Z37" s="3535">
        <f t="shared" si="13"/>
        <v>111</v>
      </c>
      <c r="AA37" s="3536">
        <f t="shared" si="3"/>
        <v>1</v>
      </c>
      <c r="AB37" s="3536">
        <f t="shared" si="4"/>
        <v>1</v>
      </c>
      <c r="AC37" s="3536">
        <f t="shared" si="5"/>
        <v>1</v>
      </c>
    </row>
    <row r="38" spans="1:29" ht="20.25">
      <c r="A38" s="3577"/>
      <c r="B38" s="3578">
        <v>111</v>
      </c>
      <c r="C38" s="3576"/>
      <c r="D38" s="3568">
        <v>100</v>
      </c>
      <c r="E38" s="3518"/>
      <c r="F38" s="3516">
        <f>SUMIF(114:114,E39,115:115)-SUMIF(114:114,C39,115:115)+100</f>
        <v>100</v>
      </c>
      <c r="G38" s="3576"/>
      <c r="H38" s="3516">
        <f>SUMIF(114:114,G38,115:115)-SUMIF(114:114,C38,115:115)+100</f>
        <v>100</v>
      </c>
      <c r="I38" s="3518"/>
      <c r="J38" s="3516">
        <f>SUMIF(114:114,I38,115:115)-SUMIF(114:114,C38,115:115)+100</f>
        <v>100</v>
      </c>
      <c r="K38" s="3572"/>
      <c r="L38" s="3519"/>
      <c r="M38" s="3408"/>
      <c r="N38" s="3408"/>
      <c r="O38" s="3508"/>
      <c r="P38" s="3579" t="s">
        <v>3140</v>
      </c>
      <c r="Q38" s="3532">
        <f t="shared" si="8"/>
        <v>111</v>
      </c>
      <c r="R38" s="3533" t="s">
        <v>3106</v>
      </c>
      <c r="S38" s="3534">
        <f t="shared" si="10"/>
        <v>100</v>
      </c>
      <c r="T38" s="3533" t="s">
        <v>3106</v>
      </c>
      <c r="U38" s="3534">
        <f t="shared" si="11"/>
        <v>100</v>
      </c>
      <c r="V38" s="3533" t="s">
        <v>3106</v>
      </c>
      <c r="W38" s="3534">
        <f t="shared" si="12"/>
        <v>100</v>
      </c>
      <c r="X38" s="3440"/>
      <c r="Y38" s="3580" t="s">
        <v>3140</v>
      </c>
      <c r="Z38" s="3535">
        <f t="shared" si="13"/>
        <v>111</v>
      </c>
      <c r="AA38" s="3536">
        <f t="shared" si="3"/>
        <v>1</v>
      </c>
      <c r="AB38" s="3536">
        <f t="shared" si="4"/>
        <v>1</v>
      </c>
      <c r="AC38" s="3536">
        <f t="shared" si="5"/>
        <v>1</v>
      </c>
    </row>
    <row r="39" spans="1:29" s="3592" customFormat="1" ht="21" thickBot="1">
      <c r="A39" s="3581"/>
      <c r="B39" s="3582">
        <v>111</v>
      </c>
      <c r="C39" s="3583"/>
      <c r="D39" s="3584">
        <v>100</v>
      </c>
      <c r="E39" s="3585"/>
      <c r="F39" s="3523">
        <f>SUMIF(116:116,E39,117:117)-SUMIF(116:116,C39,117:117)+100</f>
        <v>100</v>
      </c>
      <c r="G39" s="3586"/>
      <c r="H39" s="3523">
        <f>SUMIF(116:116,G39,117:117)-SUMIF(116:116,C39,117:117)+100</f>
        <v>100</v>
      </c>
      <c r="I39" s="3585"/>
      <c r="J39" s="3523">
        <f>SUMIF(116:116,I39,117:117)-SUMIF(116:116,C39,117:117)+100</f>
        <v>100</v>
      </c>
      <c r="K39" s="3572"/>
      <c r="L39" s="3507"/>
      <c r="M39" s="3408"/>
      <c r="N39" s="3408"/>
      <c r="O39" s="3587"/>
      <c r="P39" s="3580"/>
      <c r="Q39" s="3532">
        <f t="shared" si="8"/>
        <v>111</v>
      </c>
      <c r="R39" s="3588" t="s">
        <v>3106</v>
      </c>
      <c r="S39" s="3589">
        <f t="shared" si="10"/>
        <v>100</v>
      </c>
      <c r="T39" s="3588" t="s">
        <v>3106</v>
      </c>
      <c r="U39" s="3589">
        <f t="shared" si="11"/>
        <v>100</v>
      </c>
      <c r="V39" s="3588" t="s">
        <v>3106</v>
      </c>
      <c r="W39" s="3589">
        <f t="shared" si="12"/>
        <v>100</v>
      </c>
      <c r="X39" s="3590"/>
      <c r="Y39" s="3580"/>
      <c r="Z39" s="3591">
        <f t="shared" si="13"/>
        <v>111</v>
      </c>
      <c r="AA39" s="3536">
        <f t="shared" si="3"/>
        <v>1</v>
      </c>
      <c r="AB39" s="3536">
        <f t="shared" si="4"/>
        <v>1</v>
      </c>
      <c r="AC39" s="3536">
        <f t="shared" si="5"/>
        <v>1</v>
      </c>
    </row>
    <row r="40" spans="1:29" ht="20.25">
      <c r="A40" s="3593" t="s">
        <v>3141</v>
      </c>
      <c r="B40" s="3594" t="s">
        <v>3142</v>
      </c>
      <c r="C40" s="3595">
        <f>'[1]数据-汇总表'!D19</f>
        <v>1442.46</v>
      </c>
      <c r="D40" s="3596">
        <v>100</v>
      </c>
      <c r="E40" s="3595">
        <f>'土地案例（延吉）'!D11</f>
        <v>4215</v>
      </c>
      <c r="F40" s="3596">
        <f>LOOKUP(E40,119:119,120:120)-LOOKUP(C40,119:119,120:120)+100</f>
        <v>100</v>
      </c>
      <c r="G40" s="3595">
        <f>'土地案例（延吉）'!D18</f>
        <v>4485.03</v>
      </c>
      <c r="H40" s="3596">
        <f>LOOKUP(G40,119:119,120:120)-LOOKUP(C40,119:119,120:120)+100</f>
        <v>100</v>
      </c>
      <c r="I40" s="3597">
        <f>'土地案例（延吉）'!D26</f>
        <v>3989.14</v>
      </c>
      <c r="J40" s="3596">
        <f>LOOKUP(I40,119:119,120:120)-LOOKUP(C40,119:119,120:120)+100</f>
        <v>100</v>
      </c>
      <c r="K40" s="3572"/>
      <c r="L40" s="3519"/>
      <c r="M40" s="3408"/>
      <c r="N40" s="3408"/>
      <c r="O40" s="3508"/>
      <c r="P40" s="3580"/>
      <c r="Q40" s="3532" t="str">
        <f>B40</f>
        <v>宗地面积</v>
      </c>
      <c r="R40" s="3533" t="s">
        <v>3106</v>
      </c>
      <c r="S40" s="3534">
        <f t="shared" si="10"/>
        <v>100</v>
      </c>
      <c r="T40" s="3533" t="s">
        <v>3106</v>
      </c>
      <c r="U40" s="3534">
        <f t="shared" si="11"/>
        <v>100</v>
      </c>
      <c r="V40" s="3533" t="s">
        <v>3106</v>
      </c>
      <c r="W40" s="3534">
        <f t="shared" si="12"/>
        <v>100</v>
      </c>
      <c r="X40" s="3440"/>
      <c r="Y40" s="3580"/>
      <c r="Z40" s="3535" t="str">
        <f t="shared" si="13"/>
        <v>宗地面积</v>
      </c>
      <c r="AA40" s="3536">
        <f t="shared" si="3"/>
        <v>1</v>
      </c>
      <c r="AB40" s="3536">
        <f t="shared" si="4"/>
        <v>1</v>
      </c>
      <c r="AC40" s="3536">
        <f t="shared" si="5"/>
        <v>1</v>
      </c>
    </row>
    <row r="41" spans="1:29" ht="20.25">
      <c r="A41" s="3598"/>
      <c r="B41" s="3599" t="s">
        <v>3143</v>
      </c>
      <c r="C41" s="3600" t="s">
        <v>3144</v>
      </c>
      <c r="D41" s="3516">
        <v>100</v>
      </c>
      <c r="E41" s="3600" t="s">
        <v>3144</v>
      </c>
      <c r="F41" s="3516">
        <f>SUMIF(121:121,E41,122:122)-SUMIF(121:121,C41,122:122)+100</f>
        <v>100</v>
      </c>
      <c r="G41" s="3600" t="s">
        <v>3144</v>
      </c>
      <c r="H41" s="3516">
        <f>SUMIF(121:121,G41,122:122)-SUMIF(121:121,C41,122:122)+100</f>
        <v>100</v>
      </c>
      <c r="I41" s="3600" t="s">
        <v>3144</v>
      </c>
      <c r="J41" s="3516">
        <f>SUMIF(121:121,I41,122:122)-SUMIF(121:121,C41,122:122)+100</f>
        <v>100</v>
      </c>
      <c r="K41" s="3574"/>
      <c r="L41" s="3519"/>
      <c r="M41" s="3408"/>
      <c r="N41" s="3408"/>
      <c r="O41" s="3508"/>
      <c r="P41" s="3580"/>
      <c r="Q41" s="3532" t="str">
        <f t="shared" ref="Q41:Q47" si="14">B41</f>
        <v>宗地形状</v>
      </c>
      <c r="R41" s="3533" t="s">
        <v>3106</v>
      </c>
      <c r="S41" s="3534">
        <f t="shared" si="10"/>
        <v>100</v>
      </c>
      <c r="T41" s="3533" t="s">
        <v>3106</v>
      </c>
      <c r="U41" s="3534">
        <f t="shared" si="11"/>
        <v>100</v>
      </c>
      <c r="V41" s="3533" t="s">
        <v>3106</v>
      </c>
      <c r="W41" s="3534">
        <f t="shared" si="12"/>
        <v>100</v>
      </c>
      <c r="X41" s="3440"/>
      <c r="Y41" s="3580"/>
      <c r="Z41" s="3535" t="str">
        <f t="shared" si="13"/>
        <v>宗地形状</v>
      </c>
      <c r="AA41" s="3536">
        <f t="shared" si="3"/>
        <v>1</v>
      </c>
      <c r="AB41" s="3536">
        <f t="shared" si="4"/>
        <v>1</v>
      </c>
      <c r="AC41" s="3536">
        <f t="shared" si="5"/>
        <v>1</v>
      </c>
    </row>
    <row r="42" spans="1:29" ht="20.25">
      <c r="A42" s="3598"/>
      <c r="B42" s="3599" t="s">
        <v>3145</v>
      </c>
      <c r="C42" s="3600"/>
      <c r="D42" s="3516">
        <v>100</v>
      </c>
      <c r="E42" s="3600"/>
      <c r="F42" s="3516">
        <f>SUMIF(123:123,E42,124:124)-SUMIF(123:123,C42,124:124)+100</f>
        <v>100</v>
      </c>
      <c r="G42" s="3600"/>
      <c r="H42" s="3516">
        <f>SUMIF(123:123,G42,124:124)-SUMIF(123:123,C42,124:124)+100</f>
        <v>100</v>
      </c>
      <c r="I42" s="3600"/>
      <c r="J42" s="3516">
        <f>SUMIF(123:123,I42,124:124)-SUMIF(123:123,C42,124:124)+100</f>
        <v>100</v>
      </c>
      <c r="K42" s="3574"/>
      <c r="L42" s="3519"/>
      <c r="M42" s="3408"/>
      <c r="N42" s="3408"/>
      <c r="O42" s="3508"/>
      <c r="P42" s="3580"/>
      <c r="Q42" s="3532" t="str">
        <f t="shared" si="14"/>
        <v>临街宽度及深度</v>
      </c>
      <c r="R42" s="3533" t="s">
        <v>3106</v>
      </c>
      <c r="S42" s="3534">
        <f t="shared" si="10"/>
        <v>100</v>
      </c>
      <c r="T42" s="3533" t="s">
        <v>3106</v>
      </c>
      <c r="U42" s="3534">
        <f t="shared" si="11"/>
        <v>100</v>
      </c>
      <c r="V42" s="3533" t="s">
        <v>3106</v>
      </c>
      <c r="W42" s="3534">
        <f t="shared" si="12"/>
        <v>100</v>
      </c>
      <c r="X42" s="3440"/>
      <c r="Y42" s="3580"/>
      <c r="Z42" s="3535" t="str">
        <f t="shared" si="13"/>
        <v>临街宽度及深度</v>
      </c>
      <c r="AA42" s="3536">
        <f t="shared" si="3"/>
        <v>1</v>
      </c>
      <c r="AB42" s="3536">
        <f t="shared" si="4"/>
        <v>1</v>
      </c>
      <c r="AC42" s="3536">
        <f t="shared" si="5"/>
        <v>1</v>
      </c>
    </row>
    <row r="43" spans="1:29" s="3479" customFormat="1" ht="20.25">
      <c r="A43" s="3601"/>
      <c r="B43" s="3602" t="s">
        <v>3146</v>
      </c>
      <c r="C43" s="3603"/>
      <c r="D43" s="3496">
        <v>100</v>
      </c>
      <c r="E43" s="3603"/>
      <c r="F43" s="3516">
        <f>SUMIF(125:125,E43,126:126)-SUMIF(125:125,C43,126:126)+100</f>
        <v>100</v>
      </c>
      <c r="G43" s="3603"/>
      <c r="H43" s="3516">
        <f>SUMIF(125:125,G43,126:126)-SUMIF(125:125,C43,126:126)+100</f>
        <v>100</v>
      </c>
      <c r="I43" s="3603"/>
      <c r="J43" s="3516">
        <f>SUMIF(125:125,I43,126:126)-SUMIF(125:125,C43,126:126)+100</f>
        <v>100</v>
      </c>
      <c r="K43" s="3574"/>
      <c r="L43" s="3470"/>
      <c r="M43" s="3408"/>
      <c r="N43" s="3408"/>
      <c r="O43" s="3489"/>
      <c r="P43" s="3580"/>
      <c r="Q43" s="3532" t="str">
        <f t="shared" si="14"/>
        <v>宗地开发程度</v>
      </c>
      <c r="R43" s="3474" t="s">
        <v>3106</v>
      </c>
      <c r="S43" s="3475">
        <f t="shared" si="10"/>
        <v>100</v>
      </c>
      <c r="T43" s="3474" t="s">
        <v>3106</v>
      </c>
      <c r="U43" s="3475">
        <f t="shared" si="11"/>
        <v>100</v>
      </c>
      <c r="V43" s="3474" t="s">
        <v>3106</v>
      </c>
      <c r="W43" s="3475">
        <f t="shared" si="12"/>
        <v>100</v>
      </c>
      <c r="X43" s="3476"/>
      <c r="Y43" s="3580"/>
      <c r="Z43" s="3493" t="str">
        <f t="shared" si="13"/>
        <v>宗地开发程度</v>
      </c>
      <c r="AA43" s="3478">
        <f t="shared" si="3"/>
        <v>1</v>
      </c>
      <c r="AB43" s="3478">
        <f t="shared" si="4"/>
        <v>1</v>
      </c>
      <c r="AC43" s="3478">
        <f t="shared" si="5"/>
        <v>1</v>
      </c>
    </row>
    <row r="44" spans="1:29" ht="20.25">
      <c r="A44" s="3598"/>
      <c r="B44" s="3599" t="s">
        <v>3147</v>
      </c>
      <c r="C44" s="3600"/>
      <c r="D44" s="3516">
        <v>100</v>
      </c>
      <c r="E44" s="3600"/>
      <c r="F44" s="3516">
        <f>SUMIF(127:127,E44,128:128)-SUMIF(127:127,C44,128:128)+100</f>
        <v>100</v>
      </c>
      <c r="G44" s="3600"/>
      <c r="H44" s="3516">
        <f>SUMIF(127:127,G44,128:128)-SUMIF(127:127,C44,128:128)+100</f>
        <v>100</v>
      </c>
      <c r="I44" s="3600"/>
      <c r="J44" s="3516">
        <f>SUMIF(127:127,I44,128:128)-SUMIF(127:127,C44,128:128)+100</f>
        <v>100</v>
      </c>
      <c r="K44" s="3574"/>
      <c r="L44" s="3519"/>
      <c r="M44" s="3408"/>
      <c r="N44" s="3408"/>
      <c r="O44" s="3508"/>
      <c r="P44" s="3580" t="s">
        <v>3140</v>
      </c>
      <c r="Q44" s="3532" t="str">
        <f t="shared" si="14"/>
        <v>工程地质条件</v>
      </c>
      <c r="R44" s="3533" t="s">
        <v>3106</v>
      </c>
      <c r="S44" s="3534">
        <f t="shared" si="10"/>
        <v>100</v>
      </c>
      <c r="T44" s="3533" t="s">
        <v>3106</v>
      </c>
      <c r="U44" s="3534">
        <f t="shared" si="11"/>
        <v>100</v>
      </c>
      <c r="V44" s="3533" t="s">
        <v>3106</v>
      </c>
      <c r="W44" s="3534">
        <f t="shared" si="12"/>
        <v>100</v>
      </c>
      <c r="X44" s="3440"/>
      <c r="Y44" s="3580" t="s">
        <v>3140</v>
      </c>
      <c r="Z44" s="3535" t="str">
        <f t="shared" si="13"/>
        <v>工程地质条件</v>
      </c>
      <c r="AA44" s="3536">
        <f t="shared" si="3"/>
        <v>1</v>
      </c>
      <c r="AB44" s="3536">
        <f t="shared" si="4"/>
        <v>1</v>
      </c>
      <c r="AC44" s="3536">
        <f t="shared" si="5"/>
        <v>1</v>
      </c>
    </row>
    <row r="45" spans="1:29" ht="20.25">
      <c r="A45" s="3598"/>
      <c r="B45" s="3604">
        <v>111</v>
      </c>
      <c r="C45" s="3518"/>
      <c r="D45" s="3516">
        <v>100</v>
      </c>
      <c r="E45" s="3518"/>
      <c r="F45" s="3516">
        <f>SUMIF(129:129,E45,130:130)-SUMIF(129:129,C45,130:130)+100</f>
        <v>100</v>
      </c>
      <c r="G45" s="3518"/>
      <c r="H45" s="3516">
        <f>SUMIF(129:129,G45,130:130)-SUMIF(129:129,C45,130:130)+100</f>
        <v>100</v>
      </c>
      <c r="I45" s="3517"/>
      <c r="J45" s="3516">
        <f>SUMIF(129:129,I45,130:130)-SUMIF(129:129,C45,130:130)+100</f>
        <v>100</v>
      </c>
      <c r="K45" s="3572"/>
      <c r="L45" s="3519"/>
      <c r="M45" s="3408"/>
      <c r="N45" s="3408"/>
      <c r="O45" s="3508"/>
      <c r="P45" s="3580"/>
      <c r="Q45" s="3532">
        <f t="shared" si="14"/>
        <v>111</v>
      </c>
      <c r="R45" s="3533" t="s">
        <v>3106</v>
      </c>
      <c r="S45" s="3534">
        <f t="shared" si="10"/>
        <v>100</v>
      </c>
      <c r="T45" s="3533" t="s">
        <v>3106</v>
      </c>
      <c r="U45" s="3534">
        <f t="shared" si="11"/>
        <v>100</v>
      </c>
      <c r="V45" s="3533" t="s">
        <v>3106</v>
      </c>
      <c r="W45" s="3534">
        <f t="shared" si="12"/>
        <v>100</v>
      </c>
      <c r="X45" s="3440"/>
      <c r="Y45" s="3580"/>
      <c r="Z45" s="3535">
        <f t="shared" si="13"/>
        <v>111</v>
      </c>
      <c r="AA45" s="3536">
        <f t="shared" si="3"/>
        <v>1</v>
      </c>
      <c r="AB45" s="3536">
        <f t="shared" si="4"/>
        <v>1</v>
      </c>
      <c r="AC45" s="3536">
        <f t="shared" si="5"/>
        <v>1</v>
      </c>
    </row>
    <row r="46" spans="1:29" ht="20.25">
      <c r="A46" s="3598"/>
      <c r="B46" s="3604">
        <v>111</v>
      </c>
      <c r="C46" s="3518"/>
      <c r="D46" s="3516">
        <v>100</v>
      </c>
      <c r="E46" s="3518"/>
      <c r="F46" s="3516">
        <f>SUMIF(131:131,E46,132:132)-SUMIF(131:131,C46,132:132)+100</f>
        <v>100</v>
      </c>
      <c r="G46" s="3518"/>
      <c r="H46" s="3516">
        <f>SUMIF(131:131,G46,132:132)-SUMIF(131:131,C46,132:132)+100</f>
        <v>100</v>
      </c>
      <c r="I46" s="3517"/>
      <c r="J46" s="3516">
        <f>SUMIF(131:131,I46,132:132)-SUMIF(131:131,C46,132:132)+100</f>
        <v>100</v>
      </c>
      <c r="K46" s="3572"/>
      <c r="L46" s="3519"/>
      <c r="M46" s="3408"/>
      <c r="N46" s="3408"/>
      <c r="O46" s="3508"/>
      <c r="P46" s="3580"/>
      <c r="Q46" s="3532">
        <f t="shared" si="14"/>
        <v>111</v>
      </c>
      <c r="R46" s="3533" t="s">
        <v>3106</v>
      </c>
      <c r="S46" s="3534">
        <f t="shared" si="10"/>
        <v>100</v>
      </c>
      <c r="T46" s="3533" t="s">
        <v>3106</v>
      </c>
      <c r="U46" s="3534">
        <f t="shared" si="11"/>
        <v>100</v>
      </c>
      <c r="V46" s="3533" t="s">
        <v>3106</v>
      </c>
      <c r="W46" s="3534">
        <f t="shared" si="12"/>
        <v>100</v>
      </c>
      <c r="X46" s="3440"/>
      <c r="Y46" s="3580"/>
      <c r="Z46" s="3535">
        <f t="shared" si="13"/>
        <v>111</v>
      </c>
      <c r="AA46" s="3536">
        <f t="shared" si="3"/>
        <v>1</v>
      </c>
      <c r="AB46" s="3536">
        <f t="shared" si="4"/>
        <v>1</v>
      </c>
      <c r="AC46" s="3536">
        <f t="shared" si="5"/>
        <v>1</v>
      </c>
    </row>
    <row r="47" spans="1:29" s="3592" customFormat="1" ht="21" thickBot="1">
      <c r="A47" s="3605"/>
      <c r="B47" s="3604">
        <v>111</v>
      </c>
      <c r="C47" s="3606"/>
      <c r="D47" s="3607">
        <v>100</v>
      </c>
      <c r="E47" s="3518"/>
      <c r="F47" s="3523">
        <f>SUMIF(133:133,E47,134:134)-SUMIF(133:133,C47,134:134)+100</f>
        <v>100</v>
      </c>
      <c r="G47" s="3518"/>
      <c r="H47" s="3523">
        <f>SUMIF(133:133,G47,134:134)-SUMIF(133:133,C47,134:134)+100</f>
        <v>100</v>
      </c>
      <c r="I47" s="3518"/>
      <c r="J47" s="3523">
        <f>SUMIF(133:133,I47,134:134)-SUMIF(133:133,C47,134:134)+100</f>
        <v>100</v>
      </c>
      <c r="K47" s="3608"/>
      <c r="L47" s="3507"/>
      <c r="M47" s="3408"/>
      <c r="N47" s="3408"/>
      <c r="O47" s="3587"/>
      <c r="P47" s="3580"/>
      <c r="Q47" s="3532">
        <f t="shared" si="14"/>
        <v>111</v>
      </c>
      <c r="R47" s="3588" t="s">
        <v>3106</v>
      </c>
      <c r="S47" s="3589">
        <f t="shared" si="10"/>
        <v>100</v>
      </c>
      <c r="T47" s="3588" t="s">
        <v>3106</v>
      </c>
      <c r="U47" s="3589">
        <f t="shared" si="11"/>
        <v>100</v>
      </c>
      <c r="V47" s="3588" t="s">
        <v>3106</v>
      </c>
      <c r="W47" s="3589">
        <f t="shared" si="12"/>
        <v>100</v>
      </c>
      <c r="X47" s="3590"/>
      <c r="Y47" s="3580"/>
      <c r="Z47" s="3591">
        <f t="shared" si="13"/>
        <v>111</v>
      </c>
      <c r="AA47" s="3536">
        <f t="shared" si="3"/>
        <v>1</v>
      </c>
      <c r="AB47" s="3536">
        <f t="shared" si="4"/>
        <v>1</v>
      </c>
      <c r="AC47" s="3536">
        <f t="shared" si="5"/>
        <v>1</v>
      </c>
    </row>
    <row r="48" spans="1:29" ht="20.25">
      <c r="A48" s="3609" t="s">
        <v>3148</v>
      </c>
      <c r="B48" s="3610" t="s">
        <v>3149</v>
      </c>
      <c r="C48" s="3611" t="s">
        <v>3150</v>
      </c>
      <c r="D48" s="3612"/>
      <c r="E48" s="3613">
        <f>ROUND('土地案例（延吉）'!O11,0)</f>
        <v>1172</v>
      </c>
      <c r="F48" s="3614"/>
      <c r="G48" s="3615">
        <f>ROUND('土地案例（延吉）'!O18,0)</f>
        <v>1247</v>
      </c>
      <c r="H48" s="3616"/>
      <c r="I48" s="3613">
        <f>ROUND('土地案例（延吉）'!O26,0)</f>
        <v>1142</v>
      </c>
      <c r="J48" s="3616"/>
      <c r="K48" s="3617"/>
      <c r="L48" s="3618"/>
      <c r="M48" s="3408"/>
      <c r="N48" s="3408"/>
      <c r="O48" s="3619"/>
      <c r="P48" s="3490" t="str">
        <f>A48</f>
        <v>成交单价</v>
      </c>
      <c r="Q48" s="3490"/>
      <c r="R48" s="3439">
        <f>E48</f>
        <v>1172</v>
      </c>
      <c r="S48" s="3439"/>
      <c r="T48" s="3439">
        <f>G48</f>
        <v>1247</v>
      </c>
      <c r="U48" s="3439"/>
      <c r="V48" s="3439">
        <f>I48</f>
        <v>1142</v>
      </c>
      <c r="W48" s="3439"/>
      <c r="X48" s="3620"/>
      <c r="Y48" s="3621"/>
      <c r="Z48" s="3620"/>
      <c r="AA48" s="3620"/>
      <c r="AB48" s="3620"/>
      <c r="AC48" s="3620"/>
    </row>
    <row r="49" spans="1:29" ht="21" thickBot="1">
      <c r="A49" s="3622" t="s">
        <v>3151</v>
      </c>
      <c r="B49" s="3623"/>
      <c r="C49" s="3624">
        <f>R50</f>
        <v>1236</v>
      </c>
      <c r="D49" s="3625" t="s">
        <v>2881</v>
      </c>
      <c r="E49" s="3624">
        <f>R49</f>
        <v>1245</v>
      </c>
      <c r="F49" s="3626"/>
      <c r="G49" s="3627">
        <f>T49</f>
        <v>1273</v>
      </c>
      <c r="H49" s="3626"/>
      <c r="I49" s="3624">
        <f>V49</f>
        <v>1189</v>
      </c>
      <c r="J49" s="3626"/>
      <c r="K49" s="3628">
        <f>F49+H49+J49</f>
        <v>0</v>
      </c>
      <c r="L49" s="3618"/>
      <c r="M49" s="3408"/>
      <c r="N49" s="3408"/>
      <c r="O49" s="3619"/>
      <c r="P49" s="3490" t="str">
        <f>A49</f>
        <v>比较价格（元/平方米）</v>
      </c>
      <c r="Q49" s="3490"/>
      <c r="R49" s="3629">
        <f>ROUND(PRODUCT(R48,AA9:AA47),0)</f>
        <v>1245</v>
      </c>
      <c r="S49" s="3629"/>
      <c r="T49" s="3629">
        <f>ROUND(PRODUCT(T48,AB9:AB47),0)</f>
        <v>1273</v>
      </c>
      <c r="U49" s="3629"/>
      <c r="V49" s="3629">
        <f>ROUND(PRODUCT(V48,AC9:AC47),0)</f>
        <v>1189</v>
      </c>
      <c r="W49" s="3629"/>
      <c r="X49" s="3620"/>
      <c r="Y49" s="3620"/>
      <c r="Z49" s="3620"/>
      <c r="AA49" s="3620"/>
      <c r="AB49" s="3620"/>
      <c r="AC49" s="3620"/>
    </row>
    <row r="50" spans="1:29" ht="21" thickBot="1">
      <c r="A50" s="3630" t="s">
        <v>3152</v>
      </c>
      <c r="B50" s="3631"/>
      <c r="C50" s="3632">
        <f>R50</f>
        <v>1236</v>
      </c>
      <c r="D50" s="3632"/>
      <c r="E50" s="3632"/>
      <c r="F50" s="3632"/>
      <c r="G50" s="3632"/>
      <c r="H50" s="3632"/>
      <c r="I50" s="3632"/>
      <c r="J50" s="3632"/>
      <c r="K50" s="3633"/>
      <c r="L50" s="3618"/>
      <c r="M50" s="3408"/>
      <c r="N50" s="3408"/>
      <c r="O50" s="3619"/>
      <c r="P50" s="3634" t="str">
        <f>A50</f>
        <v>估价对象商业用房的比较价格（楼面单价，元/平方米）</v>
      </c>
      <c r="Q50" s="3635"/>
      <c r="R50" s="3636">
        <f>ROUND(IF(D49="简单平均",AVERAGE(R49:W49),R49*F49+T49*H49+V49*J49),0)</f>
        <v>1236</v>
      </c>
      <c r="S50" s="3636"/>
      <c r="T50" s="3636"/>
      <c r="U50" s="3636"/>
      <c r="V50" s="3636"/>
      <c r="W50" s="3636"/>
      <c r="X50" s="3620"/>
      <c r="Y50" s="3620"/>
      <c r="Z50" s="3620"/>
      <c r="AA50" s="3620"/>
      <c r="AB50" s="3620"/>
      <c r="AC50" s="3620"/>
    </row>
    <row r="51" spans="1:29" ht="20.25">
      <c r="A51" s="3637"/>
      <c r="B51" s="3637"/>
      <c r="C51" s="3637"/>
      <c r="D51" s="3637"/>
      <c r="E51" s="3637"/>
      <c r="F51" s="3637"/>
      <c r="G51" s="3638"/>
      <c r="H51" s="3637"/>
      <c r="I51" s="3637"/>
      <c r="J51" s="3637"/>
      <c r="K51" s="3639"/>
      <c r="L51" s="3640"/>
      <c r="M51" s="3408"/>
      <c r="N51" s="3408"/>
      <c r="O51" s="3619"/>
      <c r="P51" s="3619"/>
      <c r="Q51" s="3619"/>
      <c r="R51" s="3619"/>
      <c r="S51" s="3619"/>
      <c r="T51" s="3619"/>
      <c r="U51" s="3619"/>
      <c r="V51" s="3619"/>
      <c r="W51" s="3619"/>
      <c r="X51" s="3619"/>
      <c r="Y51" s="3619"/>
      <c r="Z51" s="3619"/>
      <c r="AA51" s="3619"/>
      <c r="AB51" s="3619"/>
      <c r="AC51" s="3619"/>
    </row>
    <row r="52" spans="1:29" ht="20.25">
      <c r="A52" s="3637"/>
      <c r="B52" s="3637"/>
      <c r="C52" s="3637"/>
      <c r="D52" s="3637"/>
      <c r="E52" s="3637"/>
      <c r="F52" s="3637"/>
      <c r="G52" s="3637"/>
      <c r="H52" s="3637"/>
      <c r="I52" s="3637"/>
      <c r="J52" s="3637"/>
      <c r="K52" s="3639"/>
      <c r="L52" s="3640"/>
      <c r="M52" s="3408"/>
      <c r="N52" s="3408"/>
      <c r="O52" s="3619"/>
      <c r="P52" s="3619"/>
      <c r="Q52" s="3619"/>
      <c r="R52" s="3619"/>
      <c r="S52" s="3619"/>
      <c r="T52" s="3619"/>
      <c r="U52" s="3619"/>
      <c r="V52" s="3619"/>
      <c r="W52" s="3619"/>
      <c r="X52" s="3619"/>
      <c r="Y52" s="3619"/>
      <c r="Z52" s="3619"/>
      <c r="AA52" s="3619"/>
      <c r="AB52" s="3619"/>
      <c r="AC52" s="3619"/>
    </row>
    <row r="53" spans="1:29" ht="13.5" customHeight="1">
      <c r="A53" s="3637"/>
      <c r="B53" s="3637"/>
      <c r="C53" s="3641" t="s">
        <v>3153</v>
      </c>
      <c r="D53" s="3642"/>
      <c r="E53" s="3643">
        <f>IF(E48&lt;E49,E49/E48-1,E48/E49-1)</f>
        <v>6.2286689419795316E-2</v>
      </c>
      <c r="F53" s="3644" t="str">
        <f>IF(OR(E53&gt;=0.3,E53&lt;=-0.3),"超过30%","")</f>
        <v/>
      </c>
      <c r="G53" s="3643">
        <f>IF(G48&lt;G49,G49/G48-1,G48/G49-1)</f>
        <v>2.0850040096231037E-2</v>
      </c>
      <c r="H53" s="3644" t="str">
        <f>IF(OR(G53&gt;=0.3,G53&lt;=-0.3),"超过30%","")</f>
        <v/>
      </c>
      <c r="I53" s="3643">
        <f>IF(I48&lt;I49,I49/I48-1,I48/I49-1)</f>
        <v>4.1155866900175031E-2</v>
      </c>
      <c r="J53" s="3644" t="str">
        <f>IF(OR(I53&gt;=0.3,I53&lt;=-0.3),"超过30%","")</f>
        <v/>
      </c>
      <c r="K53" s="3639"/>
      <c r="L53" s="3640"/>
      <c r="M53" s="3408"/>
      <c r="N53" s="3408"/>
      <c r="O53" s="3619"/>
      <c r="P53" s="3619"/>
      <c r="Q53" s="3619"/>
      <c r="R53" s="3619"/>
      <c r="S53" s="3619"/>
      <c r="T53" s="3619"/>
      <c r="U53" s="3619"/>
      <c r="V53" s="3619"/>
      <c r="W53" s="3619"/>
      <c r="X53" s="3619"/>
      <c r="Y53" s="3619"/>
      <c r="Z53" s="3619"/>
      <c r="AA53" s="3619"/>
      <c r="AB53" s="3619"/>
      <c r="AC53" s="3619"/>
    </row>
    <row r="54" spans="1:29" ht="13.5" customHeight="1">
      <c r="A54" s="3637"/>
      <c r="B54" s="3637"/>
      <c r="C54" s="3641" t="s">
        <v>3154</v>
      </c>
      <c r="D54" s="3645"/>
      <c r="E54" s="3643">
        <f>IF(E49&lt;G49,G49/E49-1,E49/G49-1)</f>
        <v>2.2489959839357532E-2</v>
      </c>
      <c r="F54" s="3644" t="str">
        <f>IF(OR(E54&gt;=0.2,E54&lt;=-0.2),"超过20%","")</f>
        <v/>
      </c>
      <c r="G54" s="3643">
        <f>IF(G49&lt;I49,I49/G49-1,G49/I49-1)</f>
        <v>7.0647603027754524E-2</v>
      </c>
      <c r="H54" s="3644" t="str">
        <f>IF(OR(G54&gt;=0.2,G54&lt;=-0.2),"超过20%","")</f>
        <v/>
      </c>
      <c r="I54" s="3643">
        <f>IF(I49&lt;E49,E49/I49-1,I49/E49-1)</f>
        <v>4.7098402018503016E-2</v>
      </c>
      <c r="J54" s="3644" t="str">
        <f>IF(OR(I54&gt;=0.2,I54&lt;=-0.2),"超过20%","")</f>
        <v/>
      </c>
      <c r="K54" s="3639"/>
      <c r="L54" s="3640"/>
      <c r="M54" s="3408"/>
      <c r="N54" s="3408"/>
      <c r="O54" s="3619"/>
      <c r="P54" s="3619"/>
      <c r="Q54" s="3619"/>
      <c r="R54" s="3619"/>
      <c r="S54" s="3619"/>
      <c r="T54" s="3619"/>
      <c r="U54" s="3619"/>
      <c r="V54" s="3619"/>
      <c r="W54" s="3619"/>
      <c r="X54" s="3619"/>
      <c r="Y54" s="3619"/>
      <c r="Z54" s="3619"/>
      <c r="AA54" s="3619"/>
      <c r="AB54" s="3619"/>
      <c r="AC54" s="3619"/>
    </row>
    <row r="55" spans="1:29" s="3650" customFormat="1" ht="13.5" customHeight="1">
      <c r="A55" s="3646"/>
      <c r="B55" s="3646"/>
      <c r="C55" s="3641" t="s">
        <v>3155</v>
      </c>
      <c r="D55" s="3645"/>
      <c r="E55" s="3643">
        <f>IF(E48&lt;G48,G48/E48-1,E48/G48-1)</f>
        <v>6.3993174061433455E-2</v>
      </c>
      <c r="F55" s="3644" t="str">
        <f>IF(OR(E55&gt;=0.3,E55&lt;=-0.3),"超过30%","")</f>
        <v/>
      </c>
      <c r="G55" s="3643">
        <f>IF(G48&lt;I48,I48/G48-1,G48/I48-1)</f>
        <v>9.1943957968476431E-2</v>
      </c>
      <c r="H55" s="3644" t="str">
        <f>IF(OR(G55&gt;=0.3,G55&lt;=-0.3),"超过30%","")</f>
        <v/>
      </c>
      <c r="I55" s="3643">
        <f>IF(I48&lt;E48,E48/I48-1,I48/E48-1)</f>
        <v>2.6269702276707552E-2</v>
      </c>
      <c r="J55" s="3644" t="str">
        <f>IF(OR(I55&gt;=0.3,I55&lt;=-0.3),"超过30%","")</f>
        <v/>
      </c>
      <c r="K55" s="3647"/>
      <c r="L55" s="3648"/>
      <c r="M55" s="3408"/>
      <c r="N55" s="3408"/>
      <c r="O55" s="3649"/>
      <c r="P55" s="3649"/>
      <c r="Q55" s="3649"/>
      <c r="R55" s="3649"/>
      <c r="S55" s="3649"/>
      <c r="T55" s="3649"/>
      <c r="U55" s="3649"/>
      <c r="V55" s="3649"/>
      <c r="W55" s="3649"/>
      <c r="X55" s="3649"/>
      <c r="Y55" s="3649"/>
      <c r="Z55" s="3649"/>
      <c r="AA55" s="3649"/>
      <c r="AB55" s="3649"/>
      <c r="AC55" s="3649"/>
    </row>
    <row r="56" spans="1:29" s="3650" customFormat="1" ht="21" thickBot="1">
      <c r="A56" s="3649"/>
      <c r="B56" s="3651"/>
      <c r="C56" s="3652"/>
      <c r="D56" s="3649"/>
      <c r="E56" s="3649"/>
      <c r="F56" s="3649"/>
      <c r="G56" s="3649"/>
      <c r="H56" s="3649"/>
      <c r="I56" s="3649"/>
      <c r="J56" s="3649"/>
      <c r="K56" s="3647"/>
      <c r="L56" s="3648"/>
      <c r="M56" s="3408"/>
      <c r="N56" s="3408"/>
      <c r="O56" s="3649"/>
      <c r="P56" s="3649"/>
      <c r="Q56" s="3649"/>
      <c r="R56" s="3649"/>
      <c r="S56" s="3649"/>
      <c r="T56" s="3649"/>
      <c r="U56" s="3649"/>
      <c r="V56" s="3649"/>
      <c r="W56" s="3649"/>
      <c r="X56" s="3649"/>
      <c r="Y56" s="3649"/>
      <c r="Z56" s="3649"/>
      <c r="AA56" s="3649"/>
      <c r="AB56" s="3649"/>
      <c r="AC56" s="3649"/>
    </row>
    <row r="57" spans="1:29" ht="26.25" customHeight="1">
      <c r="A57" s="3653" t="s">
        <v>3156</v>
      </c>
      <c r="B57" s="3654" t="s">
        <v>3157</v>
      </c>
      <c r="C57" s="3655" t="s">
        <v>3158</v>
      </c>
      <c r="D57" s="3656" t="s">
        <v>3159</v>
      </c>
      <c r="E57" s="3657" t="s">
        <v>3160</v>
      </c>
      <c r="F57" s="3658" t="s">
        <v>3161</v>
      </c>
      <c r="G57" s="3659" t="s">
        <v>3162</v>
      </c>
      <c r="H57" s="3660"/>
      <c r="I57" s="3661" t="s">
        <v>3163</v>
      </c>
      <c r="J57" s="3661" t="str">
        <f>[1]项目基本情况!F41</f>
        <v>吉林省延吉市</v>
      </c>
      <c r="K57" s="3662" t="s">
        <v>3164</v>
      </c>
      <c r="L57" s="3640"/>
      <c r="M57" s="3619"/>
      <c r="N57" s="3619"/>
      <c r="O57" s="3619"/>
      <c r="P57" s="3619"/>
      <c r="Q57" s="3619"/>
      <c r="R57" s="3619"/>
      <c r="S57" s="3619"/>
      <c r="T57" s="3619"/>
      <c r="U57" s="3619"/>
      <c r="V57" s="3619"/>
      <c r="W57" s="3619"/>
      <c r="X57" s="3619"/>
      <c r="Y57" s="3619"/>
      <c r="Z57" s="3619"/>
      <c r="AA57" s="3619"/>
      <c r="AB57" s="3619"/>
      <c r="AC57" s="3619"/>
    </row>
    <row r="58" spans="1:29" s="3671" customFormat="1" ht="12.75">
      <c r="A58" s="3663" t="s">
        <v>3165</v>
      </c>
      <c r="B58" s="645">
        <f>C50</f>
        <v>1236</v>
      </c>
      <c r="C58" s="3664">
        <v>1</v>
      </c>
      <c r="D58" s="3665">
        <v>1</v>
      </c>
      <c r="E58" s="3664">
        <f>'[1]数据-汇总表'!E8+'[1]数据-汇总表'!E9</f>
        <v>198.07</v>
      </c>
      <c r="F58" s="647">
        <f t="shared" ref="F58:F67" si="15">ROUND(B58*E58/10000,0)</f>
        <v>24</v>
      </c>
      <c r="G58" s="3666"/>
      <c r="H58" s="3667"/>
      <c r="I58" s="3668">
        <v>1</v>
      </c>
      <c r="J58" s="3668">
        <v>1</v>
      </c>
      <c r="K58" s="3669"/>
      <c r="L58" s="3670"/>
      <c r="M58" s="3670"/>
      <c r="N58" s="3670"/>
      <c r="O58" s="3670"/>
      <c r="P58" s="3670"/>
      <c r="Q58" s="3670"/>
      <c r="R58" s="3670"/>
      <c r="S58" s="3670"/>
      <c r="T58" s="3670"/>
      <c r="U58" s="3670"/>
      <c r="V58" s="3670"/>
      <c r="W58" s="3670"/>
      <c r="X58" s="3670"/>
      <c r="Y58" s="3670"/>
      <c r="Z58" s="3670"/>
      <c r="AA58" s="3670"/>
      <c r="AB58" s="3670"/>
      <c r="AC58" s="3670"/>
    </row>
    <row r="59" spans="1:29" s="3671" customFormat="1" ht="12.75">
      <c r="A59" s="649" t="s">
        <v>3166</v>
      </c>
      <c r="B59" s="224">
        <f>ROUND($C$50*C59*D59,0)</f>
        <v>0</v>
      </c>
      <c r="C59" s="3672">
        <f t="shared" ref="C59:C67" si="16">IF($C$57="北京市系数",I59,J59)</f>
        <v>0</v>
      </c>
      <c r="D59" s="3673">
        <v>0.25</v>
      </c>
      <c r="E59" s="650">
        <v>0</v>
      </c>
      <c r="F59" s="647">
        <f t="shared" si="15"/>
        <v>0</v>
      </c>
      <c r="G59" s="3674" t="s">
        <v>3167</v>
      </c>
      <c r="H59" s="3675">
        <f>[1]项目基本情况!B43</f>
        <v>0</v>
      </c>
      <c r="I59" s="3668">
        <f>SUMIF([1]修正!$A$45:$A$56,H59,[1]修正!B45:B56)</f>
        <v>0</v>
      </c>
      <c r="J59" s="3676"/>
      <c r="K59" s="3669"/>
      <c r="L59" s="3670"/>
      <c r="M59" s="3670"/>
      <c r="N59" s="3670"/>
      <c r="O59" s="3670"/>
      <c r="P59" s="3670"/>
      <c r="Q59" s="3670"/>
      <c r="R59" s="3670"/>
      <c r="S59" s="3670"/>
      <c r="T59" s="3670"/>
      <c r="U59" s="3670"/>
      <c r="V59" s="3670"/>
      <c r="W59" s="3670"/>
      <c r="X59" s="3670"/>
      <c r="Y59" s="3670"/>
      <c r="Z59" s="3670"/>
      <c r="AA59" s="3670"/>
      <c r="AB59" s="3670"/>
      <c r="AC59" s="3670"/>
    </row>
    <row r="60" spans="1:29" s="3671" customFormat="1" ht="12.75">
      <c r="A60" s="649" t="s">
        <v>3168</v>
      </c>
      <c r="B60" s="224">
        <f t="shared" ref="B60:B67" si="17">ROUND($C$50*C60*D60,0)</f>
        <v>0</v>
      </c>
      <c r="C60" s="3672">
        <f t="shared" si="16"/>
        <v>0</v>
      </c>
      <c r="D60" s="3673">
        <v>0.25</v>
      </c>
      <c r="E60" s="650">
        <v>0</v>
      </c>
      <c r="F60" s="647">
        <f t="shared" si="15"/>
        <v>0</v>
      </c>
      <c r="G60" s="3674"/>
      <c r="H60" s="3675">
        <f>[1]项目基本情况!B43</f>
        <v>0</v>
      </c>
      <c r="I60" s="3668">
        <f>SUMIF([1]修正!$A$45:$A$56,H60,[1]修正!C45:C56)</f>
        <v>0</v>
      </c>
      <c r="J60" s="3676"/>
      <c r="K60" s="3669"/>
      <c r="L60" s="3670"/>
      <c r="M60" s="3670"/>
      <c r="N60" s="3670"/>
      <c r="O60" s="3670"/>
      <c r="P60" s="3670"/>
      <c r="Q60" s="3670"/>
      <c r="R60" s="3670"/>
      <c r="S60" s="3670"/>
      <c r="T60" s="3670"/>
      <c r="U60" s="3670"/>
      <c r="V60" s="3670"/>
      <c r="W60" s="3670"/>
      <c r="X60" s="3670"/>
      <c r="Y60" s="3670"/>
      <c r="Z60" s="3670"/>
      <c r="AA60" s="3670"/>
      <c r="AB60" s="3670"/>
      <c r="AC60" s="3670"/>
    </row>
    <row r="61" spans="1:29" s="3671" customFormat="1" ht="12.75">
      <c r="A61" s="649" t="s">
        <v>3169</v>
      </c>
      <c r="B61" s="224">
        <f t="shared" si="17"/>
        <v>0</v>
      </c>
      <c r="C61" s="3672">
        <f t="shared" si="16"/>
        <v>0</v>
      </c>
      <c r="D61" s="3673">
        <v>0.25</v>
      </c>
      <c r="E61" s="650">
        <v>0</v>
      </c>
      <c r="F61" s="647">
        <f t="shared" si="15"/>
        <v>0</v>
      </c>
      <c r="G61" s="3674"/>
      <c r="H61" s="3675">
        <f>[1]项目基本情况!B43</f>
        <v>0</v>
      </c>
      <c r="I61" s="3668">
        <f>SUMIF([1]修正!$A$45:$A$56,H61,[1]修正!D45:D56)</f>
        <v>0</v>
      </c>
      <c r="J61" s="3676"/>
      <c r="K61" s="3669"/>
      <c r="L61" s="3670"/>
      <c r="M61" s="3670"/>
      <c r="N61" s="3670"/>
      <c r="O61" s="3670"/>
      <c r="P61" s="3670"/>
      <c r="Q61" s="3670"/>
      <c r="R61" s="3670"/>
      <c r="S61" s="3670"/>
      <c r="T61" s="3670"/>
      <c r="U61" s="3670"/>
      <c r="V61" s="3670"/>
      <c r="W61" s="3670"/>
      <c r="X61" s="3670"/>
      <c r="Y61" s="3670"/>
      <c r="Z61" s="3670"/>
      <c r="AA61" s="3670"/>
      <c r="AB61" s="3670"/>
      <c r="AC61" s="3670"/>
    </row>
    <row r="62" spans="1:29" s="3671" customFormat="1" ht="12.75">
      <c r="A62" s="649" t="s">
        <v>3170</v>
      </c>
      <c r="B62" s="224">
        <f t="shared" si="17"/>
        <v>0</v>
      </c>
      <c r="C62" s="3672">
        <f t="shared" si="16"/>
        <v>0</v>
      </c>
      <c r="D62" s="3673">
        <v>0.25</v>
      </c>
      <c r="E62" s="650">
        <v>0</v>
      </c>
      <c r="F62" s="647">
        <f t="shared" si="15"/>
        <v>0</v>
      </c>
      <c r="G62" s="3674"/>
      <c r="H62" s="3675">
        <f>[1]项目基本情况!B43</f>
        <v>0</v>
      </c>
      <c r="I62" s="3668">
        <f>SUMIF([1]修正!$A$45:$A$56,H62,[1]修正!E45:E56)</f>
        <v>0</v>
      </c>
      <c r="J62" s="3676"/>
      <c r="K62" s="3669"/>
      <c r="L62" s="3670"/>
      <c r="M62" s="3670"/>
      <c r="N62" s="3670"/>
      <c r="O62" s="3670"/>
      <c r="P62" s="3670"/>
      <c r="Q62" s="3670"/>
      <c r="R62" s="3670"/>
      <c r="S62" s="3670"/>
      <c r="T62" s="3670"/>
      <c r="U62" s="3670"/>
      <c r="V62" s="3670"/>
      <c r="W62" s="3670"/>
      <c r="X62" s="3670"/>
      <c r="Y62" s="3670"/>
      <c r="Z62" s="3670"/>
      <c r="AA62" s="3670"/>
      <c r="AB62" s="3670"/>
      <c r="AC62" s="3670"/>
    </row>
    <row r="63" spans="1:29" s="3671" customFormat="1" ht="12.75">
      <c r="A63" s="3677" t="s">
        <v>3171</v>
      </c>
      <c r="B63" s="224">
        <f t="shared" si="17"/>
        <v>0</v>
      </c>
      <c r="C63" s="3672">
        <f t="shared" si="16"/>
        <v>0</v>
      </c>
      <c r="D63" s="3673">
        <v>0.25</v>
      </c>
      <c r="E63" s="223">
        <f>'[1]数据-汇总表'!E11</f>
        <v>0</v>
      </c>
      <c r="F63" s="647">
        <f t="shared" si="15"/>
        <v>0</v>
      </c>
      <c r="G63" s="3678" t="s">
        <v>3172</v>
      </c>
      <c r="H63" s="3675">
        <f>[1]项目基本情况!C43</f>
        <v>0</v>
      </c>
      <c r="I63" s="3668">
        <f>SUMIF([1]修正!$A$45:$A$56,H63,[1]修正!F45:F56)</f>
        <v>0</v>
      </c>
      <c r="J63" s="3676"/>
      <c r="K63" s="3669"/>
      <c r="L63" s="3670"/>
      <c r="M63" s="3670"/>
      <c r="N63" s="3670"/>
      <c r="O63" s="3670"/>
      <c r="P63" s="3670"/>
      <c r="Q63" s="3670"/>
      <c r="R63" s="3670"/>
      <c r="S63" s="3670"/>
      <c r="T63" s="3670"/>
      <c r="U63" s="3670"/>
      <c r="V63" s="3670"/>
      <c r="W63" s="3670"/>
      <c r="X63" s="3670"/>
      <c r="Y63" s="3670"/>
      <c r="Z63" s="3670"/>
      <c r="AA63" s="3670"/>
      <c r="AB63" s="3670"/>
      <c r="AC63" s="3670"/>
    </row>
    <row r="64" spans="1:29" s="3671" customFormat="1" ht="12.75">
      <c r="A64" s="649" t="s">
        <v>3173</v>
      </c>
      <c r="B64" s="224">
        <f t="shared" si="17"/>
        <v>0</v>
      </c>
      <c r="C64" s="3672">
        <f t="shared" si="16"/>
        <v>0</v>
      </c>
      <c r="D64" s="3673">
        <v>0.25</v>
      </c>
      <c r="E64" s="223">
        <f>'[1]数据-汇总表'!E12</f>
        <v>0</v>
      </c>
      <c r="F64" s="647">
        <f t="shared" si="15"/>
        <v>0</v>
      </c>
      <c r="G64" s="3679" t="s">
        <v>27</v>
      </c>
      <c r="H64" s="3680">
        <f>IF(G64="商业",[1]项目基本情况!B43,IF(G64="办公",[1]项目基本情况!C43,IF(G64="住宅",[1]项目基本情况!D43,[1]项目基本情况!E43)))</f>
        <v>0</v>
      </c>
      <c r="I64" s="3668">
        <f>SUMIF([1]修正!$A$45:$A$56,H64,[1]修正!G45:G56)</f>
        <v>0</v>
      </c>
      <c r="J64" s="3676"/>
      <c r="K64" s="3669"/>
      <c r="L64" s="3670"/>
      <c r="M64" s="3670"/>
      <c r="N64" s="3670"/>
      <c r="O64" s="3670"/>
      <c r="P64" s="3670"/>
      <c r="Q64" s="3670"/>
      <c r="R64" s="3670"/>
      <c r="S64" s="3670"/>
      <c r="T64" s="3670"/>
      <c r="U64" s="3670"/>
      <c r="V64" s="3670"/>
      <c r="W64" s="3670"/>
      <c r="X64" s="3670"/>
      <c r="Y64" s="3670"/>
      <c r="Z64" s="3670"/>
      <c r="AA64" s="3670"/>
      <c r="AB64" s="3670"/>
      <c r="AC64" s="3670"/>
    </row>
    <row r="65" spans="1:29" s="3671" customFormat="1" ht="12.75">
      <c r="A65" s="649" t="s">
        <v>3174</v>
      </c>
      <c r="B65" s="224">
        <f t="shared" si="17"/>
        <v>0</v>
      </c>
      <c r="C65" s="3672">
        <f t="shared" si="16"/>
        <v>0</v>
      </c>
      <c r="D65" s="3673">
        <v>0.25</v>
      </c>
      <c r="E65" s="223">
        <f>'[1]数据-汇总表'!E13</f>
        <v>0</v>
      </c>
      <c r="F65" s="647">
        <f t="shared" si="15"/>
        <v>0</v>
      </c>
      <c r="G65" s="3679" t="s">
        <v>3175</v>
      </c>
      <c r="H65" s="3680">
        <f>IF(G65="商业",[1]项目基本情况!B43,IF(G65="办公",[1]项目基本情况!C43,IF(G65="住宅",[1]项目基本情况!D43,[1]项目基本情况!E43)))</f>
        <v>0</v>
      </c>
      <c r="I65" s="3668">
        <f>SUMIF([1]修正!$A$45:$A$56,H65,[1]修正!H45:H56)</f>
        <v>0</v>
      </c>
      <c r="J65" s="3676"/>
      <c r="K65" s="3669"/>
      <c r="L65" s="3670"/>
      <c r="M65" s="3670"/>
      <c r="N65" s="3670"/>
      <c r="O65" s="3670"/>
      <c r="P65" s="3670"/>
      <c r="Q65" s="3670"/>
      <c r="R65" s="3670"/>
      <c r="S65" s="3670"/>
      <c r="T65" s="3670"/>
      <c r="U65" s="3670"/>
      <c r="V65" s="3670"/>
      <c r="W65" s="3670"/>
      <c r="X65" s="3670"/>
      <c r="Y65" s="3670"/>
      <c r="Z65" s="3670"/>
      <c r="AA65" s="3670"/>
      <c r="AB65" s="3670"/>
      <c r="AC65" s="3670"/>
    </row>
    <row r="66" spans="1:29" s="3671" customFormat="1" ht="12.75">
      <c r="A66" s="649" t="s">
        <v>3176</v>
      </c>
      <c r="B66" s="224">
        <f t="shared" si="17"/>
        <v>0</v>
      </c>
      <c r="C66" s="3672">
        <f t="shared" si="16"/>
        <v>0</v>
      </c>
      <c r="D66" s="3673">
        <v>0.25</v>
      </c>
      <c r="E66" s="223">
        <f>'[1]数据-汇总表'!E14</f>
        <v>0</v>
      </c>
      <c r="F66" s="647">
        <f t="shared" si="15"/>
        <v>0</v>
      </c>
      <c r="G66" s="3678" t="s">
        <v>3167</v>
      </c>
      <c r="H66" s="3675">
        <f>[1]项目基本情况!B43</f>
        <v>0</v>
      </c>
      <c r="I66" s="3668">
        <f>SUMIF([1]修正!$A$45:$A$56,H66,[1]修正!H45:H56)</f>
        <v>0</v>
      </c>
      <c r="J66" s="3676"/>
      <c r="K66" s="3669"/>
      <c r="L66" s="3670"/>
      <c r="M66" s="3670"/>
      <c r="N66" s="3670"/>
      <c r="O66" s="3670"/>
      <c r="P66" s="3670"/>
      <c r="Q66" s="3670"/>
      <c r="R66" s="3670"/>
      <c r="S66" s="3670"/>
      <c r="T66" s="3670"/>
      <c r="U66" s="3670"/>
      <c r="V66" s="3670"/>
      <c r="W66" s="3670"/>
      <c r="X66" s="3670"/>
      <c r="Y66" s="3670"/>
      <c r="Z66" s="3670"/>
      <c r="AA66" s="3670"/>
      <c r="AB66" s="3670"/>
      <c r="AC66" s="3670"/>
    </row>
    <row r="67" spans="1:29" s="3671" customFormat="1" ht="13.5" thickBot="1">
      <c r="A67" s="649" t="s">
        <v>3177</v>
      </c>
      <c r="B67" s="224">
        <f t="shared" si="17"/>
        <v>0</v>
      </c>
      <c r="C67" s="3672">
        <f t="shared" si="16"/>
        <v>0</v>
      </c>
      <c r="D67" s="3673">
        <v>0.25</v>
      </c>
      <c r="E67" s="223">
        <f>'[1]数据-汇总表'!E15</f>
        <v>0</v>
      </c>
      <c r="F67" s="647">
        <f t="shared" si="15"/>
        <v>0</v>
      </c>
      <c r="G67" s="3681" t="s">
        <v>3172</v>
      </c>
      <c r="H67" s="3682">
        <f>[1]项目基本情况!C43</f>
        <v>0</v>
      </c>
      <c r="I67" s="3668">
        <f>SUMIF([1]修正!$A$45:$A$56,H67,[1]修正!H45:H56)</f>
        <v>0</v>
      </c>
      <c r="J67" s="3676"/>
      <c r="K67" s="3669"/>
      <c r="L67" s="3670"/>
      <c r="M67" s="3670"/>
      <c r="N67" s="3670"/>
      <c r="O67" s="3670"/>
      <c r="P67" s="3670"/>
      <c r="Q67" s="3670"/>
      <c r="R67" s="3670"/>
      <c r="S67" s="3670"/>
      <c r="T67" s="3670"/>
      <c r="U67" s="3670"/>
      <c r="V67" s="3670"/>
      <c r="W67" s="3670"/>
      <c r="X67" s="3670"/>
      <c r="Y67" s="3670"/>
      <c r="Z67" s="3670"/>
      <c r="AA67" s="3670"/>
      <c r="AB67" s="3670"/>
      <c r="AC67" s="3670"/>
    </row>
    <row r="68" spans="1:29" s="3671" customFormat="1" ht="13.5" thickBot="1">
      <c r="A68" s="651" t="s">
        <v>3178</v>
      </c>
      <c r="B68" s="3683" t="s">
        <v>3179</v>
      </c>
      <c r="C68" s="3683" t="s">
        <v>3179</v>
      </c>
      <c r="D68" s="3683" t="s">
        <v>3179</v>
      </c>
      <c r="E68" s="3683">
        <f>IF(B48="楼面地价",SUM(E58:E67),'[1]数据-汇总表'!D3)</f>
        <v>1442.46</v>
      </c>
      <c r="F68" s="3684">
        <f>IF(B48="楼面地价",SUM(F58:F67),ROUND(C50*E68/10000,0))</f>
        <v>178</v>
      </c>
      <c r="G68" s="3685"/>
      <c r="H68" s="3685"/>
      <c r="I68" s="3685"/>
      <c r="J68" s="3685"/>
      <c r="K68" s="3685"/>
      <c r="L68" s="3670"/>
      <c r="M68" s="3670"/>
      <c r="N68" s="3670"/>
      <c r="O68" s="3670"/>
      <c r="P68" s="3670"/>
      <c r="Q68" s="3670"/>
      <c r="R68" s="3670"/>
      <c r="S68" s="3670"/>
      <c r="T68" s="3670"/>
      <c r="U68" s="3670"/>
      <c r="V68" s="3670"/>
      <c r="W68" s="3670"/>
      <c r="X68" s="3670"/>
      <c r="Y68" s="3670"/>
      <c r="Z68" s="3670"/>
      <c r="AA68" s="3670"/>
      <c r="AB68" s="3670"/>
      <c r="AC68" s="3670"/>
    </row>
    <row r="69" spans="1:29">
      <c r="A69" s="3619"/>
      <c r="B69" s="3651"/>
      <c r="C69" s="3652"/>
      <c r="D69" s="3619"/>
      <c r="E69" s="3619"/>
      <c r="F69" s="3619"/>
      <c r="G69" s="3619"/>
      <c r="H69" s="3619"/>
      <c r="I69" s="3619"/>
      <c r="J69" s="3619"/>
      <c r="K69" s="3686"/>
      <c r="L69" s="3640"/>
      <c r="M69" s="3619"/>
      <c r="N69" s="3619"/>
      <c r="O69" s="3619"/>
      <c r="P69" s="3619"/>
      <c r="Q69" s="3619"/>
      <c r="R69" s="3619"/>
      <c r="S69" s="3619"/>
      <c r="T69" s="3619"/>
      <c r="U69" s="3619"/>
      <c r="V69" s="3619"/>
      <c r="W69" s="3619"/>
      <c r="X69" s="3619"/>
      <c r="Y69" s="3619"/>
      <c r="Z69" s="3619"/>
      <c r="AA69" s="3619"/>
      <c r="AB69" s="3619"/>
      <c r="AC69" s="3619"/>
    </row>
    <row r="70" spans="1:29">
      <c r="A70" s="3619"/>
      <c r="B70" s="3651"/>
      <c r="C70" s="3687" t="str">
        <f>YEAR(C9)&amp;"-"&amp;MONTH(C9)&amp;"-1"</f>
        <v>2021-6-1</v>
      </c>
      <c r="D70" s="3687">
        <f>EDATE(C70,-3)</f>
        <v>44256</v>
      </c>
      <c r="E70" s="3687">
        <f t="shared" ref="E70:N70" si="18">EDATE(D70,-3)</f>
        <v>44166</v>
      </c>
      <c r="F70" s="3687">
        <f t="shared" si="18"/>
        <v>44075</v>
      </c>
      <c r="G70" s="3687">
        <f t="shared" si="18"/>
        <v>43983</v>
      </c>
      <c r="H70" s="3687">
        <f t="shared" si="18"/>
        <v>43891</v>
      </c>
      <c r="I70" s="3687">
        <f t="shared" si="18"/>
        <v>43800</v>
      </c>
      <c r="J70" s="3687">
        <f t="shared" si="18"/>
        <v>43709</v>
      </c>
      <c r="K70" s="3687">
        <f t="shared" si="18"/>
        <v>43617</v>
      </c>
      <c r="L70" s="3687">
        <f t="shared" si="18"/>
        <v>43525</v>
      </c>
      <c r="M70" s="3687">
        <f t="shared" si="18"/>
        <v>43435</v>
      </c>
      <c r="N70" s="3687">
        <f t="shared" si="18"/>
        <v>43344</v>
      </c>
      <c r="O70" s="3619"/>
      <c r="P70" s="3619"/>
      <c r="Q70" s="3619"/>
      <c r="R70" s="3619"/>
      <c r="S70" s="3619"/>
      <c r="T70" s="3619"/>
      <c r="U70" s="3619"/>
      <c r="V70" s="3619"/>
      <c r="W70" s="3619"/>
      <c r="X70" s="3619"/>
      <c r="Y70" s="3619"/>
      <c r="Z70" s="3619"/>
      <c r="AA70" s="3619"/>
      <c r="AB70" s="3619"/>
      <c r="AC70" s="3619"/>
    </row>
    <row r="71" spans="1:29" ht="21.75" thickBot="1">
      <c r="A71" s="3688" t="s">
        <v>3180</v>
      </c>
      <c r="B71" s="3620"/>
      <c r="C71" s="3689"/>
      <c r="D71" s="3689"/>
      <c r="E71" s="3689"/>
      <c r="F71" s="3690"/>
      <c r="G71" s="3690"/>
      <c r="H71" s="3689"/>
      <c r="I71" s="3689"/>
      <c r="J71" s="3689"/>
      <c r="K71" s="3691"/>
      <c r="L71" s="3692"/>
      <c r="M71" s="3689"/>
      <c r="N71" s="3689"/>
      <c r="O71" s="3693"/>
      <c r="P71" s="3693"/>
      <c r="Q71" s="3694"/>
      <c r="R71" s="3619"/>
      <c r="S71" s="3619"/>
      <c r="T71" s="3619"/>
      <c r="U71" s="3619"/>
      <c r="V71" s="3619"/>
      <c r="W71" s="3619"/>
      <c r="X71" s="3619"/>
      <c r="Y71" s="3619"/>
      <c r="Z71" s="3619"/>
      <c r="AA71" s="3619"/>
      <c r="AB71" s="3619"/>
      <c r="AC71" s="3619"/>
    </row>
    <row r="72" spans="1:29" s="3701" customFormat="1" ht="15">
      <c r="A72" s="3695" t="s">
        <v>3181</v>
      </c>
      <c r="B72" s="3696"/>
      <c r="C72" s="3697" t="str">
        <f>YEAR(C70)&amp;"-"&amp;ROUNDUP(MONTH(C70)/3,0)</f>
        <v>2021-2</v>
      </c>
      <c r="D72" s="3697" t="str">
        <f>YEAR(D70)&amp;"-"&amp;ROUNDUP(MONTH(D70)/3,0)</f>
        <v>2021-1</v>
      </c>
      <c r="E72" s="3697" t="str">
        <f t="shared" ref="E72:N72" si="19">YEAR(E70)&amp;"-"&amp;ROUNDUP(MONTH(E70)/3,0)</f>
        <v>2020-4</v>
      </c>
      <c r="F72" s="3697" t="str">
        <f t="shared" si="19"/>
        <v>2020-3</v>
      </c>
      <c r="G72" s="3697" t="str">
        <f t="shared" si="19"/>
        <v>2020-2</v>
      </c>
      <c r="H72" s="3697" t="str">
        <f t="shared" si="19"/>
        <v>2020-1</v>
      </c>
      <c r="I72" s="3697" t="str">
        <f t="shared" si="19"/>
        <v>2019-4</v>
      </c>
      <c r="J72" s="3697" t="str">
        <f t="shared" si="19"/>
        <v>2019-3</v>
      </c>
      <c r="K72" s="3697" t="str">
        <f t="shared" si="19"/>
        <v>2019-2</v>
      </c>
      <c r="L72" s="3697" t="str">
        <f t="shared" si="19"/>
        <v>2019-1</v>
      </c>
      <c r="M72" s="3697" t="str">
        <f t="shared" si="19"/>
        <v>2018-4</v>
      </c>
      <c r="N72" s="3697" t="str">
        <f t="shared" si="19"/>
        <v>2018-3</v>
      </c>
      <c r="O72" s="3698"/>
      <c r="P72" s="3699"/>
      <c r="Q72" s="3700"/>
      <c r="R72" s="3700"/>
      <c r="S72" s="3700"/>
      <c r="T72" s="3700"/>
      <c r="U72" s="3700"/>
      <c r="V72" s="3700"/>
      <c r="W72" s="3700"/>
      <c r="X72" s="3700"/>
      <c r="Y72" s="3700"/>
      <c r="Z72" s="3700"/>
      <c r="AA72" s="3700"/>
      <c r="AB72" s="3700"/>
      <c r="AC72" s="3700"/>
    </row>
    <row r="73" spans="1:29" s="3479" customFormat="1" ht="27" customHeight="1">
      <c r="A73" s="3702" t="s">
        <v>3182</v>
      </c>
      <c r="B73" s="3703" t="str">
        <f>"北京市平均增长率"&amp;TEXT(SUMIF([1]基准地价!N21:N25,A73,[1]基准地价!P21:P25),"0.00%")</f>
        <v>北京市平均增长率1.73%</v>
      </c>
      <c r="C73" s="3704">
        <v>100</v>
      </c>
      <c r="D73" s="3705">
        <v>100</v>
      </c>
      <c r="E73" s="3705">
        <v>100</v>
      </c>
      <c r="F73" s="3705">
        <v>100</v>
      </c>
      <c r="G73" s="3705">
        <v>100</v>
      </c>
      <c r="H73" s="3705">
        <v>100</v>
      </c>
      <c r="I73" s="3705"/>
      <c r="J73" s="3705"/>
      <c r="K73" s="3705"/>
      <c r="L73" s="3705"/>
      <c r="M73" s="3706"/>
      <c r="N73" s="3707"/>
      <c r="O73" s="3708"/>
      <c r="P73" s="3694"/>
      <c r="Q73" s="3709"/>
      <c r="R73" s="3709"/>
      <c r="S73" s="3709"/>
      <c r="T73" s="3709"/>
      <c r="U73" s="3709"/>
      <c r="V73" s="3709"/>
      <c r="W73" s="3709"/>
      <c r="X73" s="3709"/>
      <c r="Y73" s="3709"/>
      <c r="Z73" s="3709"/>
      <c r="AA73" s="3709"/>
      <c r="AB73" s="3709"/>
      <c r="AC73" s="3709"/>
    </row>
    <row r="74" spans="1:29" s="3479" customFormat="1" ht="15" customHeight="1" thickBot="1">
      <c r="A74" s="3710" t="s">
        <v>3183</v>
      </c>
      <c r="B74" s="3711"/>
      <c r="C74" s="3712"/>
      <c r="D74" s="3713"/>
      <c r="E74" s="3713"/>
      <c r="F74" s="3713"/>
      <c r="G74" s="3713"/>
      <c r="H74" s="3713"/>
      <c r="I74" s="3713"/>
      <c r="J74" s="3713"/>
      <c r="K74" s="3713"/>
      <c r="L74" s="3713"/>
      <c r="M74" s="3713"/>
      <c r="N74" s="3713"/>
      <c r="O74" s="3708"/>
      <c r="P74" s="3694"/>
      <c r="Q74" s="3694"/>
      <c r="R74" s="3709"/>
      <c r="S74" s="3709"/>
      <c r="T74" s="3709"/>
      <c r="U74" s="3709"/>
      <c r="V74" s="3709"/>
      <c r="W74" s="3709"/>
      <c r="X74" s="3709"/>
      <c r="Y74" s="3709"/>
      <c r="Z74" s="3709"/>
      <c r="AA74" s="3709"/>
      <c r="AB74" s="3709"/>
      <c r="AC74" s="3709"/>
    </row>
    <row r="75" spans="1:29" s="3479" customFormat="1" ht="15">
      <c r="A75" s="3714" t="s">
        <v>3184</v>
      </c>
      <c r="B75" s="3715"/>
      <c r="C75" s="3716" t="s">
        <v>3185</v>
      </c>
      <c r="D75" s="3717"/>
      <c r="E75" s="3717"/>
      <c r="F75" s="3717"/>
      <c r="G75" s="3717"/>
      <c r="H75" s="3717"/>
      <c r="I75" s="3717"/>
      <c r="J75" s="3717"/>
      <c r="K75" s="3717"/>
      <c r="L75" s="3718"/>
      <c r="M75" s="3719"/>
      <c r="N75" s="3708"/>
      <c r="O75" s="3708"/>
      <c r="P75" s="3720"/>
      <c r="Q75" s="3694"/>
      <c r="R75" s="3709"/>
      <c r="S75" s="3709"/>
      <c r="T75" s="3709"/>
      <c r="U75" s="3709"/>
      <c r="V75" s="3709"/>
      <c r="W75" s="3709"/>
      <c r="X75" s="3709"/>
      <c r="Y75" s="3709"/>
      <c r="Z75" s="3709"/>
      <c r="AA75" s="3709"/>
      <c r="AB75" s="3709"/>
      <c r="AC75" s="3709"/>
    </row>
    <row r="76" spans="1:29" s="3479" customFormat="1" ht="15.75" thickBot="1">
      <c r="A76" s="3714"/>
      <c r="B76" s="3715"/>
      <c r="C76" s="3721">
        <v>100</v>
      </c>
      <c r="D76" s="3722"/>
      <c r="E76" s="3722"/>
      <c r="F76" s="3722"/>
      <c r="G76" s="3722"/>
      <c r="H76" s="3722"/>
      <c r="I76" s="3722"/>
      <c r="J76" s="3722"/>
      <c r="K76" s="3722"/>
      <c r="L76" s="3722"/>
      <c r="M76" s="3723"/>
      <c r="N76" s="3708"/>
      <c r="O76" s="3708"/>
      <c r="P76" s="3694"/>
      <c r="Q76" s="3694"/>
      <c r="R76" s="3709"/>
      <c r="S76" s="3709"/>
      <c r="T76" s="3709"/>
      <c r="U76" s="3709"/>
      <c r="V76" s="3709"/>
      <c r="W76" s="3709"/>
      <c r="X76" s="3709"/>
      <c r="Y76" s="3709"/>
      <c r="Z76" s="3709"/>
      <c r="AA76" s="3709"/>
      <c r="AB76" s="3709"/>
      <c r="AC76" s="3709"/>
    </row>
    <row r="77" spans="1:29">
      <c r="A77" s="3724" t="s">
        <v>3186</v>
      </c>
      <c r="B77" s="3725" t="s">
        <v>3187</v>
      </c>
      <c r="C77" s="3597" t="str">
        <f>'[1]土地案例（白山市）'!H13</f>
        <v>其他商服用地</v>
      </c>
      <c r="D77" s="3597" t="str">
        <f>'[1]土地案例（白山市）'!H28</f>
        <v>零售商业用地</v>
      </c>
      <c r="E77" s="3597"/>
      <c r="F77" s="3597"/>
      <c r="G77" s="3597"/>
      <c r="H77" s="3597"/>
      <c r="I77" s="3597"/>
      <c r="J77" s="3597"/>
      <c r="K77" s="3726"/>
      <c r="L77" s="3727"/>
      <c r="M77" s="3728"/>
      <c r="N77" s="3729"/>
      <c r="O77" s="3729"/>
      <c r="P77" s="3730"/>
      <c r="Q77" s="3694"/>
      <c r="R77" s="3619"/>
      <c r="S77" s="3619"/>
      <c r="T77" s="3619"/>
      <c r="U77" s="3619"/>
      <c r="V77" s="3619"/>
      <c r="W77" s="3619"/>
      <c r="X77" s="3619"/>
      <c r="Y77" s="3619"/>
      <c r="Z77" s="3619"/>
      <c r="AA77" s="3619"/>
      <c r="AB77" s="3619"/>
      <c r="AC77" s="3619"/>
    </row>
    <row r="78" spans="1:29" ht="15.75" thickBot="1">
      <c r="A78" s="3731"/>
      <c r="B78" s="3732"/>
      <c r="C78" s="3733">
        <v>100</v>
      </c>
      <c r="D78" s="3733">
        <v>100</v>
      </c>
      <c r="E78" s="3733"/>
      <c r="F78" s="3733"/>
      <c r="G78" s="3733"/>
      <c r="H78" s="3733"/>
      <c r="I78" s="3733"/>
      <c r="J78" s="3733"/>
      <c r="K78" s="3733"/>
      <c r="L78" s="3733"/>
      <c r="M78" s="3734"/>
      <c r="N78" s="3735"/>
      <c r="O78" s="3735"/>
      <c r="P78" s="3730"/>
      <c r="Q78" s="3694"/>
      <c r="R78" s="3619"/>
      <c r="S78" s="3619"/>
      <c r="T78" s="3619"/>
      <c r="U78" s="3619"/>
      <c r="V78" s="3619"/>
      <c r="W78" s="3619"/>
      <c r="X78" s="3619"/>
      <c r="Y78" s="3619"/>
      <c r="Z78" s="3619"/>
      <c r="AA78" s="3619"/>
      <c r="AB78" s="3619"/>
      <c r="AC78" s="3619"/>
    </row>
    <row r="79" spans="1:29" ht="27.75" thickTop="1">
      <c r="A79" s="3731"/>
      <c r="B79" s="3736" t="s">
        <v>3188</v>
      </c>
      <c r="C79" s="3737"/>
      <c r="D79" s="3737"/>
      <c r="E79" s="3737"/>
      <c r="F79" s="3737"/>
      <c r="G79" s="3737"/>
      <c r="H79" s="3737"/>
      <c r="I79" s="3737"/>
      <c r="J79" s="3737"/>
      <c r="K79" s="3738"/>
      <c r="L79" s="3739"/>
      <c r="M79" s="3740"/>
      <c r="N79" s="3729"/>
      <c r="O79" s="3729"/>
      <c r="P79" s="3730"/>
      <c r="Q79" s="3694"/>
      <c r="R79" s="3619"/>
      <c r="S79" s="3619"/>
      <c r="T79" s="3619"/>
      <c r="U79" s="3619"/>
      <c r="V79" s="3619"/>
      <c r="W79" s="3619"/>
      <c r="X79" s="3619"/>
      <c r="Y79" s="3619"/>
      <c r="Z79" s="3619"/>
      <c r="AA79" s="3619"/>
      <c r="AB79" s="3619"/>
      <c r="AC79" s="3619"/>
    </row>
    <row r="80" spans="1:29" ht="15.75" thickBot="1">
      <c r="A80" s="3731"/>
      <c r="B80" s="3741"/>
      <c r="C80" s="3742"/>
      <c r="D80" s="3742"/>
      <c r="E80" s="3742"/>
      <c r="F80" s="3742"/>
      <c r="G80" s="3742"/>
      <c r="H80" s="3742"/>
      <c r="I80" s="3742"/>
      <c r="J80" s="3742"/>
      <c r="K80" s="3742"/>
      <c r="L80" s="3742"/>
      <c r="M80" s="3743"/>
      <c r="N80" s="3735"/>
      <c r="O80" s="3735"/>
      <c r="P80" s="3730"/>
      <c r="Q80" s="3694"/>
      <c r="R80" s="3619"/>
      <c r="S80" s="3619"/>
      <c r="T80" s="3619"/>
      <c r="U80" s="3619"/>
      <c r="V80" s="3619"/>
      <c r="W80" s="3619"/>
      <c r="X80" s="3619"/>
      <c r="Y80" s="3619"/>
      <c r="Z80" s="3619"/>
      <c r="AA80" s="3619"/>
      <c r="AB80" s="3619"/>
      <c r="AC80" s="3619"/>
    </row>
    <row r="81" spans="1:29" ht="15.75" thickTop="1">
      <c r="A81" s="3731"/>
      <c r="B81" s="3744" t="s">
        <v>3189</v>
      </c>
      <c r="C81" s="3745" t="str">
        <f>C82&amp;"（含）"&amp;"-"&amp;D82</f>
        <v>0（含）-1</v>
      </c>
      <c r="D81" s="3745" t="str">
        <f t="shared" ref="D81:L81" si="20">D82&amp;"（含）"&amp;"-"&amp;E82</f>
        <v>1（含）-</v>
      </c>
      <c r="E81" s="3745" t="str">
        <f t="shared" si="20"/>
        <v>（含）-</v>
      </c>
      <c r="F81" s="3745" t="str">
        <f t="shared" si="20"/>
        <v>（含）-</v>
      </c>
      <c r="G81" s="3745" t="str">
        <f t="shared" si="20"/>
        <v>（含）-</v>
      </c>
      <c r="H81" s="3745" t="str">
        <f t="shared" si="20"/>
        <v>（含）-</v>
      </c>
      <c r="I81" s="3745" t="str">
        <f t="shared" si="20"/>
        <v>（含）-</v>
      </c>
      <c r="J81" s="3745" t="str">
        <f t="shared" si="20"/>
        <v>（含）-</v>
      </c>
      <c r="K81" s="3745" t="str">
        <f t="shared" si="20"/>
        <v>（含）-</v>
      </c>
      <c r="L81" s="3745" t="str">
        <f t="shared" si="20"/>
        <v>（含）-</v>
      </c>
      <c r="M81" s="3542" t="str">
        <f>M82&amp;"（含）"&amp;"-"&amp;P82</f>
        <v>（含）-</v>
      </c>
      <c r="N81" s="3735"/>
      <c r="O81" s="3735"/>
      <c r="P81" s="3730"/>
      <c r="Q81" s="3694"/>
      <c r="R81" s="3619"/>
      <c r="S81" s="3619"/>
      <c r="T81" s="3619"/>
      <c r="U81" s="3619"/>
      <c r="V81" s="3619"/>
      <c r="W81" s="3619"/>
      <c r="X81" s="3619"/>
      <c r="Y81" s="3619"/>
      <c r="Z81" s="3619"/>
      <c r="AA81" s="3619"/>
      <c r="AB81" s="3619"/>
      <c r="AC81" s="3619"/>
    </row>
    <row r="82" spans="1:29" ht="15">
      <c r="A82" s="3731"/>
      <c r="B82" s="3746"/>
      <c r="C82" s="3517">
        <v>0</v>
      </c>
      <c r="D82" s="3517">
        <v>1</v>
      </c>
      <c r="E82" s="3517"/>
      <c r="F82" s="3517"/>
      <c r="G82" s="3517"/>
      <c r="H82" s="3517"/>
      <c r="I82" s="3517"/>
      <c r="J82" s="3517"/>
      <c r="K82" s="3747"/>
      <c r="L82" s="3748"/>
      <c r="M82" s="3749"/>
      <c r="N82" s="3729"/>
      <c r="O82" s="3729"/>
      <c r="P82" s="3730"/>
      <c r="Q82" s="3694"/>
      <c r="R82" s="3619"/>
      <c r="S82" s="3619"/>
      <c r="T82" s="3619"/>
      <c r="U82" s="3619"/>
      <c r="V82" s="3619"/>
      <c r="W82" s="3619"/>
      <c r="X82" s="3619"/>
      <c r="Y82" s="3619"/>
      <c r="Z82" s="3619"/>
      <c r="AA82" s="3619"/>
      <c r="AB82" s="3619"/>
      <c r="AC82" s="3619"/>
    </row>
    <row r="83" spans="1:29" ht="15.75" thickBot="1">
      <c r="A83" s="3731"/>
      <c r="B83" s="3732"/>
      <c r="C83" s="3742">
        <v>100</v>
      </c>
      <c r="D83" s="3742">
        <f>IF($B$48="单位面积地价",C83+$K13,C83-$K13)</f>
        <v>100</v>
      </c>
      <c r="E83" s="3742">
        <f t="shared" ref="E83:M83" si="21">IF($B$48="单位面积地价",D83+$K13,D83-$K13)</f>
        <v>100</v>
      </c>
      <c r="F83" s="3742">
        <f t="shared" si="21"/>
        <v>100</v>
      </c>
      <c r="G83" s="3742">
        <f t="shared" si="21"/>
        <v>100</v>
      </c>
      <c r="H83" s="3742">
        <f t="shared" si="21"/>
        <v>100</v>
      </c>
      <c r="I83" s="3742">
        <f t="shared" si="21"/>
        <v>100</v>
      </c>
      <c r="J83" s="3742">
        <f t="shared" si="21"/>
        <v>100</v>
      </c>
      <c r="K83" s="3742">
        <f t="shared" si="21"/>
        <v>100</v>
      </c>
      <c r="L83" s="3742">
        <f t="shared" si="21"/>
        <v>100</v>
      </c>
      <c r="M83" s="3742">
        <f t="shared" si="21"/>
        <v>100</v>
      </c>
      <c r="N83" s="3735"/>
      <c r="O83" s="3735"/>
      <c r="P83" s="3730"/>
      <c r="Q83" s="3694"/>
      <c r="R83" s="3619"/>
      <c r="S83" s="3619"/>
      <c r="T83" s="3619"/>
      <c r="U83" s="3619"/>
      <c r="V83" s="3619"/>
      <c r="W83" s="3619"/>
      <c r="X83" s="3619"/>
      <c r="Y83" s="3619"/>
      <c r="Z83" s="3619"/>
      <c r="AA83" s="3619"/>
      <c r="AB83" s="3619"/>
      <c r="AC83" s="3619"/>
    </row>
    <row r="84" spans="1:29" s="3592" customFormat="1" ht="15.75" thickTop="1">
      <c r="A84" s="3750"/>
      <c r="B84" s="3736" t="str">
        <f>B14</f>
        <v>配建</v>
      </c>
      <c r="C84" s="3751"/>
      <c r="D84" s="3752"/>
      <c r="E84" s="3753"/>
      <c r="F84" s="3751"/>
      <c r="G84" s="3751"/>
      <c r="H84" s="3754"/>
      <c r="I84" s="3754"/>
      <c r="J84" s="3754"/>
      <c r="K84" s="3754"/>
      <c r="L84" s="3755"/>
      <c r="M84" s="3756"/>
      <c r="N84" s="3757"/>
      <c r="O84" s="3757"/>
      <c r="P84" s="3758"/>
      <c r="Q84" s="3759"/>
      <c r="R84" s="3760"/>
      <c r="S84" s="3760"/>
      <c r="T84" s="3760"/>
      <c r="U84" s="3760"/>
      <c r="V84" s="3760"/>
      <c r="W84" s="3760"/>
      <c r="X84" s="3760"/>
      <c r="Y84" s="3760"/>
      <c r="Z84" s="3760"/>
      <c r="AA84" s="3760"/>
      <c r="AB84" s="3760"/>
      <c r="AC84" s="3760"/>
    </row>
    <row r="85" spans="1:29" s="3592" customFormat="1" ht="15.75" thickBot="1">
      <c r="A85" s="3750"/>
      <c r="B85" s="3741"/>
      <c r="C85" s="3761"/>
      <c r="D85" s="3733"/>
      <c r="E85" s="3733"/>
      <c r="F85" s="3733"/>
      <c r="G85" s="3733"/>
      <c r="H85" s="3733"/>
      <c r="I85" s="3733"/>
      <c r="J85" s="3733"/>
      <c r="K85" s="3733"/>
      <c r="L85" s="3733"/>
      <c r="M85" s="3734"/>
      <c r="N85" s="3735"/>
      <c r="O85" s="3735"/>
      <c r="P85" s="3758"/>
      <c r="Q85" s="3759"/>
      <c r="R85" s="3760"/>
      <c r="S85" s="3760"/>
      <c r="T85" s="3760"/>
      <c r="U85" s="3760"/>
      <c r="V85" s="3760"/>
      <c r="W85" s="3760"/>
      <c r="X85" s="3760"/>
      <c r="Y85" s="3760"/>
      <c r="Z85" s="3760"/>
      <c r="AA85" s="3760"/>
      <c r="AB85" s="3760"/>
      <c r="AC85" s="3760"/>
    </row>
    <row r="86" spans="1:29" s="3592" customFormat="1" ht="15.75" thickTop="1">
      <c r="A86" s="3750"/>
      <c r="B86" s="3736">
        <f>B15</f>
        <v>111</v>
      </c>
      <c r="C86" s="3751"/>
      <c r="D86" s="3751"/>
      <c r="E86" s="3751"/>
      <c r="F86" s="3751"/>
      <c r="G86" s="3751"/>
      <c r="H86" s="3754"/>
      <c r="I86" s="3754"/>
      <c r="J86" s="3754"/>
      <c r="K86" s="3754"/>
      <c r="L86" s="3755"/>
      <c r="M86" s="3756"/>
      <c r="N86" s="3757"/>
      <c r="O86" s="3757"/>
      <c r="P86" s="3762"/>
      <c r="Q86" s="3763"/>
      <c r="R86" s="3760"/>
      <c r="S86" s="3760"/>
      <c r="T86" s="3760"/>
      <c r="U86" s="3760"/>
      <c r="V86" s="3760"/>
      <c r="W86" s="3760"/>
      <c r="X86" s="3760"/>
      <c r="Y86" s="3760"/>
      <c r="Z86" s="3760"/>
      <c r="AA86" s="3760"/>
      <c r="AB86" s="3760"/>
      <c r="AC86" s="3760"/>
    </row>
    <row r="87" spans="1:29" s="3592" customFormat="1" ht="15.75" thickBot="1">
      <c r="A87" s="3750"/>
      <c r="B87" s="3741"/>
      <c r="C87" s="3761"/>
      <c r="D87" s="3761"/>
      <c r="E87" s="3761"/>
      <c r="F87" s="3761"/>
      <c r="G87" s="3761"/>
      <c r="H87" s="3764"/>
      <c r="I87" s="3764"/>
      <c r="J87" s="3764"/>
      <c r="K87" s="3764"/>
      <c r="L87" s="3764"/>
      <c r="M87" s="3765"/>
      <c r="N87" s="3757"/>
      <c r="O87" s="3757"/>
      <c r="P87" s="3758"/>
      <c r="Q87" s="3759"/>
      <c r="R87" s="3760"/>
      <c r="S87" s="3760"/>
      <c r="T87" s="3760"/>
      <c r="U87" s="3760"/>
      <c r="V87" s="3760"/>
      <c r="W87" s="3760"/>
      <c r="X87" s="3760"/>
      <c r="Y87" s="3760"/>
      <c r="Z87" s="3760"/>
      <c r="AA87" s="3760"/>
      <c r="AB87" s="3760"/>
      <c r="AC87" s="3760"/>
    </row>
    <row r="88" spans="1:29" s="3592" customFormat="1" ht="15.75" thickTop="1">
      <c r="A88" s="3750"/>
      <c r="B88" s="3744">
        <f>B16</f>
        <v>111</v>
      </c>
      <c r="C88" s="3717"/>
      <c r="D88" s="3717"/>
      <c r="E88" s="3717"/>
      <c r="F88" s="3717"/>
      <c r="G88" s="3717"/>
      <c r="H88" s="3766"/>
      <c r="I88" s="3766"/>
      <c r="J88" s="3766"/>
      <c r="K88" s="3766"/>
      <c r="L88" s="3767"/>
      <c r="M88" s="3768"/>
      <c r="N88" s="3757"/>
      <c r="O88" s="3757"/>
      <c r="P88" s="3769"/>
      <c r="Q88" s="3759"/>
      <c r="R88" s="3760"/>
      <c r="S88" s="3760"/>
      <c r="T88" s="3760"/>
      <c r="U88" s="3760"/>
      <c r="V88" s="3760"/>
      <c r="W88" s="3760"/>
      <c r="X88" s="3760"/>
      <c r="Y88" s="3760"/>
      <c r="Z88" s="3760"/>
      <c r="AA88" s="3760"/>
      <c r="AB88" s="3760"/>
      <c r="AC88" s="3760"/>
    </row>
    <row r="89" spans="1:29" s="3592" customFormat="1" ht="15.75" thickBot="1">
      <c r="A89" s="3770"/>
      <c r="B89" s="3771"/>
      <c r="C89" s="3772"/>
      <c r="D89" s="3772"/>
      <c r="E89" s="3772"/>
      <c r="F89" s="3772"/>
      <c r="G89" s="3772"/>
      <c r="H89" s="3773"/>
      <c r="I89" s="3773"/>
      <c r="J89" s="3773"/>
      <c r="K89" s="3773"/>
      <c r="L89" s="3773"/>
      <c r="M89" s="3774"/>
      <c r="N89" s="3757"/>
      <c r="O89" s="3757"/>
      <c r="P89" s="3758"/>
      <c r="Q89" s="3759"/>
      <c r="R89" s="3760"/>
      <c r="S89" s="3760"/>
      <c r="T89" s="3760"/>
      <c r="U89" s="3760"/>
      <c r="V89" s="3760"/>
      <c r="W89" s="3760"/>
      <c r="X89" s="3760"/>
      <c r="Y89" s="3760"/>
      <c r="Z89" s="3760"/>
      <c r="AA89" s="3760"/>
      <c r="AB89" s="3760"/>
      <c r="AC89" s="3760"/>
    </row>
    <row r="90" spans="1:29">
      <c r="A90" s="3724" t="s">
        <v>3190</v>
      </c>
      <c r="B90" s="3725" t="s">
        <v>3191</v>
      </c>
      <c r="C90" s="3775" t="s">
        <v>3192</v>
      </c>
      <c r="D90" s="3775" t="s">
        <v>3193</v>
      </c>
      <c r="E90" s="3775" t="s">
        <v>3194</v>
      </c>
      <c r="F90" s="3775" t="s">
        <v>3195</v>
      </c>
      <c r="G90" s="3775" t="s">
        <v>3196</v>
      </c>
      <c r="H90" s="3776"/>
      <c r="I90" s="3776"/>
      <c r="J90" s="3776"/>
      <c r="K90" s="3777"/>
      <c r="L90" s="3778"/>
      <c r="M90" s="3779"/>
      <c r="N90" s="3729"/>
      <c r="O90" s="3729"/>
      <c r="P90" s="3780"/>
      <c r="Q90" s="3694"/>
      <c r="R90" s="3619"/>
      <c r="S90" s="3619"/>
      <c r="T90" s="3619"/>
      <c r="U90" s="3619"/>
      <c r="V90" s="3619"/>
      <c r="W90" s="3619"/>
      <c r="X90" s="3619"/>
      <c r="Y90" s="3619"/>
      <c r="Z90" s="3619"/>
      <c r="AA90" s="3619"/>
      <c r="AB90" s="3619"/>
      <c r="AC90" s="3619"/>
    </row>
    <row r="91" spans="1:29" ht="15.75" thickBot="1">
      <c r="A91" s="3731"/>
      <c r="B91" s="3741"/>
      <c r="C91" s="3742">
        <v>100</v>
      </c>
      <c r="D91" s="3742">
        <f>C91-$K17</f>
        <v>98</v>
      </c>
      <c r="E91" s="3742">
        <f>D91-$K17</f>
        <v>96</v>
      </c>
      <c r="F91" s="3742">
        <f>E91-$K17</f>
        <v>94</v>
      </c>
      <c r="G91" s="3742">
        <f>F91-$K17</f>
        <v>92</v>
      </c>
      <c r="H91" s="3742"/>
      <c r="I91" s="3742"/>
      <c r="J91" s="3742"/>
      <c r="K91" s="3742"/>
      <c r="L91" s="3742"/>
      <c r="M91" s="3743"/>
      <c r="N91" s="3735"/>
      <c r="O91" s="3735"/>
      <c r="P91" s="3730"/>
      <c r="Q91" s="3694"/>
      <c r="R91" s="3619"/>
      <c r="S91" s="3619"/>
      <c r="T91" s="3619"/>
      <c r="U91" s="3619"/>
      <c r="V91" s="3619"/>
      <c r="W91" s="3619"/>
      <c r="X91" s="3619"/>
      <c r="Y91" s="3619"/>
      <c r="Z91" s="3619"/>
      <c r="AA91" s="3619"/>
      <c r="AB91" s="3619"/>
      <c r="AC91" s="3619"/>
    </row>
    <row r="92" spans="1:29" ht="15.75" thickTop="1">
      <c r="A92" s="3731"/>
      <c r="B92" s="3736" t="s">
        <v>3124</v>
      </c>
      <c r="C92" s="3781" t="s">
        <v>3192</v>
      </c>
      <c r="D92" s="3781" t="s">
        <v>3193</v>
      </c>
      <c r="E92" s="3781" t="s">
        <v>3194</v>
      </c>
      <c r="F92" s="3781" t="s">
        <v>3195</v>
      </c>
      <c r="G92" s="3781" t="s">
        <v>3196</v>
      </c>
      <c r="H92" s="3737"/>
      <c r="I92" s="3737"/>
      <c r="J92" s="3737"/>
      <c r="K92" s="3738"/>
      <c r="L92" s="3739"/>
      <c r="M92" s="3740"/>
      <c r="N92" s="3729"/>
      <c r="O92" s="3729"/>
      <c r="P92" s="3730"/>
      <c r="Q92" s="3694"/>
      <c r="R92" s="3619"/>
      <c r="S92" s="3619"/>
      <c r="T92" s="3619"/>
      <c r="U92" s="3619"/>
      <c r="V92" s="3619"/>
      <c r="W92" s="3619"/>
      <c r="X92" s="3619"/>
      <c r="Y92" s="3619"/>
      <c r="Z92" s="3619"/>
      <c r="AA92" s="3619"/>
      <c r="AB92" s="3619"/>
      <c r="AC92" s="3619"/>
    </row>
    <row r="93" spans="1:29" ht="15.75" thickBot="1">
      <c r="A93" s="3731"/>
      <c r="B93" s="3741"/>
      <c r="C93" s="3742">
        <v>100</v>
      </c>
      <c r="D93" s="3742">
        <f>C93-$K19</f>
        <v>98</v>
      </c>
      <c r="E93" s="3742">
        <f>D93-$K19</f>
        <v>96</v>
      </c>
      <c r="F93" s="3742">
        <f>E93-$K19</f>
        <v>94</v>
      </c>
      <c r="G93" s="3742">
        <f>F93-$K19</f>
        <v>92</v>
      </c>
      <c r="H93" s="3742"/>
      <c r="I93" s="3742"/>
      <c r="J93" s="3742"/>
      <c r="K93" s="3742"/>
      <c r="L93" s="3742"/>
      <c r="M93" s="3743"/>
      <c r="N93" s="3735"/>
      <c r="O93" s="3735"/>
      <c r="P93" s="3730"/>
      <c r="Q93" s="3694"/>
      <c r="R93" s="3619"/>
      <c r="S93" s="3619"/>
      <c r="T93" s="3619"/>
      <c r="U93" s="3619"/>
      <c r="V93" s="3619"/>
      <c r="W93" s="3619"/>
      <c r="X93" s="3619"/>
      <c r="Y93" s="3619"/>
      <c r="Z93" s="3619"/>
      <c r="AA93" s="3619"/>
      <c r="AB93" s="3619"/>
      <c r="AC93" s="3619"/>
    </row>
    <row r="94" spans="1:29" ht="15.75" thickTop="1">
      <c r="A94" s="3731"/>
      <c r="B94" s="3736" t="s">
        <v>3125</v>
      </c>
      <c r="C94" s="3781" t="s">
        <v>3192</v>
      </c>
      <c r="D94" s="3781" t="s">
        <v>3193</v>
      </c>
      <c r="E94" s="3781" t="s">
        <v>3194</v>
      </c>
      <c r="F94" s="3781" t="s">
        <v>3195</v>
      </c>
      <c r="G94" s="3781" t="s">
        <v>3196</v>
      </c>
      <c r="H94" s="3737"/>
      <c r="I94" s="3737"/>
      <c r="J94" s="3737"/>
      <c r="K94" s="3738"/>
      <c r="L94" s="3739"/>
      <c r="M94" s="3740"/>
      <c r="N94" s="3729"/>
      <c r="O94" s="3729"/>
      <c r="P94" s="3730"/>
      <c r="Q94" s="3694"/>
      <c r="R94" s="3619"/>
      <c r="S94" s="3619"/>
      <c r="T94" s="3619"/>
      <c r="U94" s="3619"/>
      <c r="V94" s="3619"/>
      <c r="W94" s="3619"/>
      <c r="X94" s="3619"/>
      <c r="Y94" s="3619"/>
      <c r="Z94" s="3619"/>
      <c r="AA94" s="3619"/>
      <c r="AB94" s="3619"/>
      <c r="AC94" s="3619"/>
    </row>
    <row r="95" spans="1:29" ht="15.75" thickBot="1">
      <c r="A95" s="3731"/>
      <c r="B95" s="3741"/>
      <c r="C95" s="3742">
        <v>100</v>
      </c>
      <c r="D95" s="3742">
        <f>C95-$K21</f>
        <v>100</v>
      </c>
      <c r="E95" s="3742">
        <f>D95-$K21</f>
        <v>100</v>
      </c>
      <c r="F95" s="3742">
        <f>E95-$K21</f>
        <v>100</v>
      </c>
      <c r="G95" s="3742">
        <f>F95-$K21</f>
        <v>100</v>
      </c>
      <c r="H95" s="3742"/>
      <c r="I95" s="3742"/>
      <c r="J95" s="3742"/>
      <c r="K95" s="3742"/>
      <c r="L95" s="3742"/>
      <c r="M95" s="3743"/>
      <c r="N95" s="3735"/>
      <c r="O95" s="3735"/>
      <c r="P95" s="3730"/>
      <c r="Q95" s="3694"/>
      <c r="R95" s="3619"/>
      <c r="S95" s="3619"/>
      <c r="T95" s="3619"/>
      <c r="U95" s="3619"/>
      <c r="V95" s="3619"/>
      <c r="W95" s="3619"/>
      <c r="X95" s="3619"/>
      <c r="Y95" s="3619"/>
      <c r="Z95" s="3619"/>
      <c r="AA95" s="3619"/>
      <c r="AB95" s="3619"/>
      <c r="AC95" s="3619"/>
    </row>
    <row r="96" spans="1:29" ht="15.75" thickTop="1">
      <c r="A96" s="3731"/>
      <c r="B96" s="3736" t="s">
        <v>3126</v>
      </c>
      <c r="C96" s="3781" t="s">
        <v>3192</v>
      </c>
      <c r="D96" s="3781" t="s">
        <v>3193</v>
      </c>
      <c r="E96" s="3781" t="s">
        <v>3194</v>
      </c>
      <c r="F96" s="3781" t="s">
        <v>3195</v>
      </c>
      <c r="G96" s="3781" t="s">
        <v>3196</v>
      </c>
      <c r="H96" s="3737"/>
      <c r="I96" s="3737"/>
      <c r="J96" s="3737"/>
      <c r="K96" s="3738"/>
      <c r="L96" s="3739"/>
      <c r="M96" s="3740"/>
      <c r="N96" s="3729"/>
      <c r="O96" s="3729"/>
      <c r="P96" s="3730"/>
      <c r="Q96" s="3694"/>
      <c r="R96" s="3619"/>
      <c r="S96" s="3619"/>
      <c r="T96" s="3619"/>
      <c r="U96" s="3619"/>
      <c r="V96" s="3619"/>
      <c r="W96" s="3619"/>
      <c r="X96" s="3619"/>
      <c r="Y96" s="3619"/>
      <c r="Z96" s="3619"/>
      <c r="AA96" s="3619"/>
      <c r="AB96" s="3619"/>
      <c r="AC96" s="3619"/>
    </row>
    <row r="97" spans="1:29" ht="15.75" thickBot="1">
      <c r="A97" s="3731"/>
      <c r="B97" s="3741"/>
      <c r="C97" s="3742">
        <v>100</v>
      </c>
      <c r="D97" s="3742">
        <f>C97-$K23</f>
        <v>100</v>
      </c>
      <c r="E97" s="3742">
        <f>D97-$K23</f>
        <v>100</v>
      </c>
      <c r="F97" s="3742">
        <f>E97-$K23</f>
        <v>100</v>
      </c>
      <c r="G97" s="3742">
        <f>F97-$K23</f>
        <v>100</v>
      </c>
      <c r="H97" s="3742"/>
      <c r="I97" s="3742"/>
      <c r="J97" s="3742"/>
      <c r="K97" s="3742"/>
      <c r="L97" s="3742"/>
      <c r="M97" s="3743"/>
      <c r="N97" s="3735"/>
      <c r="O97" s="3735"/>
      <c r="P97" s="3730"/>
      <c r="Q97" s="3694"/>
      <c r="R97" s="3619"/>
      <c r="S97" s="3619"/>
      <c r="T97" s="3619"/>
      <c r="U97" s="3619"/>
      <c r="V97" s="3619"/>
      <c r="W97" s="3619"/>
      <c r="X97" s="3619"/>
      <c r="Y97" s="3619"/>
      <c r="Z97" s="3619"/>
      <c r="AA97" s="3619"/>
      <c r="AB97" s="3619"/>
      <c r="AC97" s="3619"/>
    </row>
    <row r="98" spans="1:29" s="3479" customFormat="1" ht="27.75" thickTop="1">
      <c r="A98" s="3782"/>
      <c r="B98" s="3736" t="s">
        <v>3127</v>
      </c>
      <c r="C98" s="3781" t="s">
        <v>3192</v>
      </c>
      <c r="D98" s="3781" t="s">
        <v>3193</v>
      </c>
      <c r="E98" s="3781" t="s">
        <v>3194</v>
      </c>
      <c r="F98" s="3781" t="s">
        <v>3195</v>
      </c>
      <c r="G98" s="3781" t="s">
        <v>3196</v>
      </c>
      <c r="H98" s="3781"/>
      <c r="I98" s="3781"/>
      <c r="J98" s="3781"/>
      <c r="K98" s="3781"/>
      <c r="L98" s="3783"/>
      <c r="M98" s="3784"/>
      <c r="N98" s="3708"/>
      <c r="O98" s="3708"/>
      <c r="P98" s="3730"/>
      <c r="Q98" s="3694"/>
      <c r="R98" s="3709"/>
      <c r="S98" s="3709"/>
      <c r="T98" s="3709"/>
      <c r="U98" s="3709"/>
      <c r="V98" s="3709"/>
      <c r="W98" s="3709"/>
      <c r="X98" s="3709"/>
      <c r="Y98" s="3709"/>
      <c r="Z98" s="3709"/>
      <c r="AA98" s="3709"/>
      <c r="AB98" s="3709"/>
      <c r="AC98" s="3709"/>
    </row>
    <row r="99" spans="1:29" s="3479" customFormat="1" ht="15.75" thickBot="1">
      <c r="A99" s="3782"/>
      <c r="B99" s="3741"/>
      <c r="C99" s="3785">
        <v>100</v>
      </c>
      <c r="D99" s="3742">
        <f>C99-$K25</f>
        <v>100</v>
      </c>
      <c r="E99" s="3742">
        <f>D99-$K25</f>
        <v>100</v>
      </c>
      <c r="F99" s="3742">
        <f>E99-$K25</f>
        <v>100</v>
      </c>
      <c r="G99" s="3742">
        <f>F99-$K25</f>
        <v>100</v>
      </c>
      <c r="H99" s="3742"/>
      <c r="I99" s="3742"/>
      <c r="J99" s="3742"/>
      <c r="K99" s="3742"/>
      <c r="L99" s="3742"/>
      <c r="M99" s="3743"/>
      <c r="N99" s="3735"/>
      <c r="O99" s="3735"/>
      <c r="P99" s="3730"/>
      <c r="Q99" s="3694"/>
      <c r="R99" s="3709"/>
      <c r="S99" s="3709"/>
      <c r="T99" s="3709"/>
      <c r="U99" s="3709"/>
      <c r="V99" s="3709"/>
      <c r="W99" s="3709"/>
      <c r="X99" s="3709"/>
      <c r="Y99" s="3709"/>
      <c r="Z99" s="3709"/>
      <c r="AA99" s="3709"/>
      <c r="AB99" s="3709"/>
      <c r="AC99" s="3709"/>
    </row>
    <row r="100" spans="1:29" s="3479" customFormat="1" ht="27.75" thickTop="1">
      <c r="A100" s="3782"/>
      <c r="B100" s="3736" t="s">
        <v>3128</v>
      </c>
      <c r="C100" s="3775" t="s">
        <v>3192</v>
      </c>
      <c r="D100" s="3775" t="s">
        <v>3193</v>
      </c>
      <c r="E100" s="3775" t="s">
        <v>3194</v>
      </c>
      <c r="F100" s="3775" t="s">
        <v>3195</v>
      </c>
      <c r="G100" s="3775" t="s">
        <v>3196</v>
      </c>
      <c r="H100" s="3781"/>
      <c r="I100" s="3781"/>
      <c r="J100" s="3781"/>
      <c r="K100" s="3781"/>
      <c r="L100" s="3781"/>
      <c r="M100" s="3784"/>
      <c r="N100" s="3708"/>
      <c r="O100" s="3708"/>
      <c r="P100" s="3730"/>
      <c r="Q100" s="3694"/>
      <c r="R100" s="3709"/>
      <c r="S100" s="3709"/>
      <c r="T100" s="3709"/>
      <c r="U100" s="3709"/>
      <c r="V100" s="3709"/>
      <c r="W100" s="3709"/>
      <c r="X100" s="3709"/>
      <c r="Y100" s="3709"/>
      <c r="Z100" s="3709"/>
      <c r="AA100" s="3709"/>
      <c r="AB100" s="3709"/>
      <c r="AC100" s="3709"/>
    </row>
    <row r="101" spans="1:29" s="3479" customFormat="1" ht="15.75" thickBot="1">
      <c r="A101" s="3782"/>
      <c r="B101" s="3741"/>
      <c r="C101" s="3742">
        <v>100</v>
      </c>
      <c r="D101" s="3742">
        <f>C101-$K27</f>
        <v>98</v>
      </c>
      <c r="E101" s="3742">
        <f>D101-$K27</f>
        <v>96</v>
      </c>
      <c r="F101" s="3742">
        <f>E101-$K27</f>
        <v>94</v>
      </c>
      <c r="G101" s="3742">
        <f>F101-$K27</f>
        <v>92</v>
      </c>
      <c r="H101" s="3742"/>
      <c r="I101" s="3742"/>
      <c r="J101" s="3742"/>
      <c r="K101" s="3742"/>
      <c r="L101" s="3742"/>
      <c r="M101" s="3743"/>
      <c r="N101" s="3735"/>
      <c r="O101" s="3735"/>
      <c r="P101" s="3730"/>
      <c r="Q101" s="3694"/>
      <c r="R101" s="3709"/>
      <c r="S101" s="3709"/>
      <c r="T101" s="3709"/>
      <c r="U101" s="3709"/>
      <c r="V101" s="3709"/>
      <c r="W101" s="3709"/>
      <c r="X101" s="3709"/>
      <c r="Y101" s="3709"/>
      <c r="Z101" s="3709"/>
      <c r="AA101" s="3709"/>
      <c r="AB101" s="3709"/>
      <c r="AC101" s="3709"/>
    </row>
    <row r="102" spans="1:29" s="3592" customFormat="1" ht="15.75" thickTop="1">
      <c r="A102" s="3750"/>
      <c r="B102" s="3786" t="s">
        <v>3129</v>
      </c>
      <c r="C102" s="3775" t="s">
        <v>3192</v>
      </c>
      <c r="D102" s="3775" t="s">
        <v>3193</v>
      </c>
      <c r="E102" s="3775" t="s">
        <v>3194</v>
      </c>
      <c r="F102" s="3775" t="s">
        <v>3195</v>
      </c>
      <c r="G102" s="3775" t="s">
        <v>3196</v>
      </c>
      <c r="H102" s="3787"/>
      <c r="I102" s="3787"/>
      <c r="J102" s="3787"/>
      <c r="K102" s="3787"/>
      <c r="L102" s="3788"/>
      <c r="M102" s="3789"/>
      <c r="N102" s="3757"/>
      <c r="O102" s="3757"/>
      <c r="P102" s="3758"/>
      <c r="Q102" s="3759"/>
      <c r="R102" s="3760"/>
      <c r="S102" s="3760"/>
      <c r="T102" s="3760"/>
      <c r="U102" s="3760"/>
      <c r="V102" s="3760"/>
      <c r="W102" s="3760"/>
      <c r="X102" s="3760"/>
      <c r="Y102" s="3760"/>
      <c r="Z102" s="3760"/>
      <c r="AA102" s="3760"/>
      <c r="AB102" s="3760"/>
      <c r="AC102" s="3760"/>
    </row>
    <row r="103" spans="1:29" s="3592" customFormat="1" ht="15.75" thickBot="1">
      <c r="A103" s="3750"/>
      <c r="B103" s="3741"/>
      <c r="C103" s="3742">
        <v>100</v>
      </c>
      <c r="D103" s="3742">
        <f>C103-$K29</f>
        <v>98</v>
      </c>
      <c r="E103" s="3742">
        <f>D103-$K29</f>
        <v>96</v>
      </c>
      <c r="F103" s="3742">
        <f>E103-$K29</f>
        <v>94</v>
      </c>
      <c r="G103" s="3742">
        <f>F103-$K29</f>
        <v>92</v>
      </c>
      <c r="H103" s="3790"/>
      <c r="I103" s="3790"/>
      <c r="J103" s="3790"/>
      <c r="K103" s="3790"/>
      <c r="L103" s="3790"/>
      <c r="M103" s="3791"/>
      <c r="N103" s="3757"/>
      <c r="O103" s="3757"/>
      <c r="P103" s="3758"/>
      <c r="Q103" s="3759"/>
      <c r="R103" s="3760"/>
      <c r="S103" s="3760"/>
      <c r="T103" s="3760"/>
      <c r="U103" s="3760"/>
      <c r="V103" s="3760"/>
      <c r="W103" s="3760"/>
      <c r="X103" s="3760"/>
      <c r="Y103" s="3760"/>
      <c r="Z103" s="3760"/>
      <c r="AA103" s="3760"/>
      <c r="AB103" s="3760"/>
      <c r="AC103" s="3760"/>
    </row>
    <row r="104" spans="1:29" s="3592" customFormat="1" ht="15.75" thickTop="1">
      <c r="A104" s="3750"/>
      <c r="B104" s="3792" t="s">
        <v>3130</v>
      </c>
      <c r="C104" s="3793" t="s">
        <v>3197</v>
      </c>
      <c r="D104" s="3793" t="s">
        <v>3198</v>
      </c>
      <c r="E104" s="3793" t="s">
        <v>3199</v>
      </c>
      <c r="F104" s="3793" t="s">
        <v>3200</v>
      </c>
      <c r="G104" s="3793" t="s">
        <v>3201</v>
      </c>
      <c r="H104" s="3787"/>
      <c r="I104" s="3787"/>
      <c r="J104" s="3787"/>
      <c r="K104" s="3787"/>
      <c r="L104" s="3787"/>
      <c r="M104" s="3789"/>
      <c r="N104" s="3757"/>
      <c r="O104" s="3757"/>
      <c r="P104" s="3758"/>
      <c r="Q104" s="3759"/>
      <c r="R104" s="3760"/>
      <c r="S104" s="3760"/>
      <c r="T104" s="3760"/>
      <c r="U104" s="3760"/>
      <c r="V104" s="3760"/>
      <c r="W104" s="3760"/>
      <c r="X104" s="3760"/>
      <c r="Y104" s="3760"/>
      <c r="Z104" s="3760"/>
      <c r="AA104" s="3760"/>
      <c r="AB104" s="3760"/>
      <c r="AC104" s="3760"/>
    </row>
    <row r="105" spans="1:29" s="3592" customFormat="1" ht="15.75" thickBot="1">
      <c r="A105" s="3750"/>
      <c r="B105" s="3744"/>
      <c r="C105" s="3742">
        <v>100</v>
      </c>
      <c r="D105" s="3742">
        <f>C105-$K31</f>
        <v>100</v>
      </c>
      <c r="E105" s="3742">
        <f>D105-$K31</f>
        <v>100</v>
      </c>
      <c r="F105" s="3742">
        <f>E105-$K31</f>
        <v>100</v>
      </c>
      <c r="G105" s="3742">
        <f>F105-$K31</f>
        <v>100</v>
      </c>
      <c r="H105" s="3746"/>
      <c r="I105" s="3746"/>
      <c r="J105" s="3746"/>
      <c r="K105" s="3746"/>
      <c r="L105" s="3746"/>
      <c r="M105" s="3794"/>
      <c r="N105" s="3757"/>
      <c r="O105" s="3757"/>
      <c r="P105" s="3758"/>
      <c r="Q105" s="3759"/>
      <c r="R105" s="3760"/>
      <c r="S105" s="3760"/>
      <c r="T105" s="3760"/>
      <c r="U105" s="3760"/>
      <c r="V105" s="3760"/>
      <c r="W105" s="3760"/>
      <c r="X105" s="3760"/>
      <c r="Y105" s="3760"/>
      <c r="Z105" s="3760"/>
      <c r="AA105" s="3760"/>
      <c r="AB105" s="3760"/>
      <c r="AC105" s="3760"/>
    </row>
    <row r="106" spans="1:29" ht="15.75" thickTop="1">
      <c r="A106" s="3731"/>
      <c r="B106" s="3736" t="str">
        <f>B33</f>
        <v>临街状况</v>
      </c>
      <c r="C106" s="3737" t="s">
        <v>3202</v>
      </c>
      <c r="D106" s="3737" t="s">
        <v>3203</v>
      </c>
      <c r="E106" s="3737" t="s">
        <v>3204</v>
      </c>
      <c r="F106" s="3737" t="s">
        <v>3205</v>
      </c>
      <c r="G106" s="3737"/>
      <c r="H106" s="3737"/>
      <c r="I106" s="3737"/>
      <c r="J106" s="3737"/>
      <c r="K106" s="3738"/>
      <c r="L106" s="3739"/>
      <c r="M106" s="3740"/>
      <c r="N106" s="3729"/>
      <c r="O106" s="3729"/>
      <c r="P106" s="3730"/>
      <c r="Q106" s="3694"/>
      <c r="R106" s="3619"/>
      <c r="S106" s="3619"/>
      <c r="T106" s="3619"/>
      <c r="U106" s="3619"/>
      <c r="V106" s="3619"/>
      <c r="W106" s="3619"/>
      <c r="X106" s="3619"/>
      <c r="Y106" s="3619"/>
      <c r="Z106" s="3619"/>
      <c r="AA106" s="3619"/>
      <c r="AB106" s="3619"/>
      <c r="AC106" s="3619"/>
    </row>
    <row r="107" spans="1:29" ht="15.75" thickBot="1">
      <c r="A107" s="3731"/>
      <c r="B107" s="3741"/>
      <c r="C107" s="3742">
        <v>100</v>
      </c>
      <c r="D107" s="3742">
        <f>C107-$K33</f>
        <v>100</v>
      </c>
      <c r="E107" s="3742">
        <f t="shared" ref="E107:M107" si="22">D107-$K33</f>
        <v>100</v>
      </c>
      <c r="F107" s="3742">
        <f t="shared" si="22"/>
        <v>100</v>
      </c>
      <c r="G107" s="3742">
        <f t="shared" si="22"/>
        <v>100</v>
      </c>
      <c r="H107" s="3742">
        <f t="shared" si="22"/>
        <v>100</v>
      </c>
      <c r="I107" s="3742">
        <f t="shared" si="22"/>
        <v>100</v>
      </c>
      <c r="J107" s="3742">
        <f t="shared" si="22"/>
        <v>100</v>
      </c>
      <c r="K107" s="3742">
        <f t="shared" si="22"/>
        <v>100</v>
      </c>
      <c r="L107" s="3742">
        <f t="shared" si="22"/>
        <v>100</v>
      </c>
      <c r="M107" s="3742">
        <f t="shared" si="22"/>
        <v>100</v>
      </c>
      <c r="N107" s="3735"/>
      <c r="O107" s="3735"/>
      <c r="P107" s="3730"/>
      <c r="Q107" s="3694"/>
      <c r="R107" s="3619"/>
      <c r="S107" s="3619"/>
      <c r="T107" s="3619"/>
      <c r="U107" s="3619"/>
      <c r="V107" s="3619"/>
      <c r="W107" s="3619"/>
      <c r="X107" s="3619"/>
      <c r="Y107" s="3619"/>
      <c r="Z107" s="3619"/>
      <c r="AA107" s="3619"/>
      <c r="AB107" s="3619"/>
      <c r="AC107" s="3619"/>
    </row>
    <row r="108" spans="1:29" ht="27.75" thickTop="1">
      <c r="A108" s="3731"/>
      <c r="B108" s="3736" t="s">
        <v>3132</v>
      </c>
      <c r="C108" s="3753" t="s">
        <v>3206</v>
      </c>
      <c r="D108" s="3753" t="s">
        <v>3207</v>
      </c>
      <c r="E108" s="3751"/>
      <c r="F108" s="3751"/>
      <c r="G108" s="3751"/>
      <c r="H108" s="3795"/>
      <c r="I108" s="3795"/>
      <c r="J108" s="3795"/>
      <c r="K108" s="3796"/>
      <c r="L108" s="3797"/>
      <c r="M108" s="3798"/>
      <c r="N108" s="3729"/>
      <c r="O108" s="3729"/>
      <c r="P108" s="3730"/>
      <c r="Q108" s="3694"/>
      <c r="R108" s="3619"/>
      <c r="S108" s="3619"/>
      <c r="T108" s="3619"/>
      <c r="U108" s="3619"/>
      <c r="V108" s="3619"/>
      <c r="W108" s="3619"/>
      <c r="X108" s="3619"/>
      <c r="Y108" s="3619"/>
      <c r="Z108" s="3619"/>
      <c r="AA108" s="3619"/>
      <c r="AB108" s="3619"/>
      <c r="AC108" s="3619"/>
    </row>
    <row r="109" spans="1:29" ht="15.75" thickBot="1">
      <c r="A109" s="3731"/>
      <c r="B109" s="3741"/>
      <c r="C109" s="3742">
        <v>100</v>
      </c>
      <c r="D109" s="3742">
        <f>C109-$K34</f>
        <v>98</v>
      </c>
      <c r="E109" s="3742">
        <f t="shared" ref="E109:M109" si="23">D109-$K34</f>
        <v>96</v>
      </c>
      <c r="F109" s="3742">
        <f t="shared" si="23"/>
        <v>94</v>
      </c>
      <c r="G109" s="3742">
        <f t="shared" si="23"/>
        <v>92</v>
      </c>
      <c r="H109" s="3742">
        <f t="shared" si="23"/>
        <v>90</v>
      </c>
      <c r="I109" s="3742">
        <f t="shared" si="23"/>
        <v>88</v>
      </c>
      <c r="J109" s="3742">
        <f t="shared" si="23"/>
        <v>86</v>
      </c>
      <c r="K109" s="3742">
        <f t="shared" si="23"/>
        <v>84</v>
      </c>
      <c r="L109" s="3742">
        <f t="shared" si="23"/>
        <v>82</v>
      </c>
      <c r="M109" s="3742">
        <f t="shared" si="23"/>
        <v>80</v>
      </c>
      <c r="N109" s="3735"/>
      <c r="O109" s="3735"/>
      <c r="P109" s="3730"/>
      <c r="Q109" s="3694"/>
      <c r="R109" s="3619"/>
      <c r="S109" s="3619"/>
      <c r="T109" s="3619"/>
      <c r="U109" s="3619"/>
      <c r="V109" s="3619"/>
      <c r="W109" s="3619"/>
      <c r="X109" s="3619"/>
      <c r="Y109" s="3619"/>
      <c r="Z109" s="3619"/>
      <c r="AA109" s="3619"/>
      <c r="AB109" s="3619"/>
      <c r="AC109" s="3619"/>
    </row>
    <row r="110" spans="1:29" ht="15.75" thickTop="1">
      <c r="A110" s="3731"/>
      <c r="B110" s="3736" t="s">
        <v>3139</v>
      </c>
      <c r="C110" s="3795"/>
      <c r="D110" s="3795"/>
      <c r="E110" s="3795"/>
      <c r="F110" s="3795"/>
      <c r="G110" s="3795"/>
      <c r="H110" s="3795"/>
      <c r="I110" s="3795"/>
      <c r="J110" s="3795"/>
      <c r="K110" s="3796"/>
      <c r="L110" s="3797"/>
      <c r="M110" s="3798"/>
      <c r="N110" s="3729"/>
      <c r="O110" s="3729"/>
      <c r="P110" s="3730"/>
      <c r="Q110" s="3694"/>
      <c r="R110" s="3619"/>
      <c r="S110" s="3619"/>
      <c r="T110" s="3619"/>
      <c r="U110" s="3619"/>
      <c r="V110" s="3619"/>
      <c r="W110" s="3619"/>
      <c r="X110" s="3619"/>
      <c r="Y110" s="3619"/>
      <c r="Z110" s="3619"/>
      <c r="AA110" s="3619"/>
      <c r="AB110" s="3619"/>
      <c r="AC110" s="3619"/>
    </row>
    <row r="111" spans="1:29" ht="15.75" thickBot="1">
      <c r="A111" s="3731"/>
      <c r="B111" s="3741"/>
      <c r="C111" s="3742">
        <v>100</v>
      </c>
      <c r="D111" s="3742">
        <f>C111-$K36</f>
        <v>100</v>
      </c>
      <c r="E111" s="3742">
        <f t="shared" ref="E111:M111" si="24">D111-$K36</f>
        <v>100</v>
      </c>
      <c r="F111" s="3742">
        <f t="shared" si="24"/>
        <v>100</v>
      </c>
      <c r="G111" s="3742">
        <f t="shared" si="24"/>
        <v>100</v>
      </c>
      <c r="H111" s="3742">
        <f t="shared" si="24"/>
        <v>100</v>
      </c>
      <c r="I111" s="3742">
        <f t="shared" si="24"/>
        <v>100</v>
      </c>
      <c r="J111" s="3742">
        <f t="shared" si="24"/>
        <v>100</v>
      </c>
      <c r="K111" s="3742">
        <f t="shared" si="24"/>
        <v>100</v>
      </c>
      <c r="L111" s="3742">
        <f t="shared" si="24"/>
        <v>100</v>
      </c>
      <c r="M111" s="3742">
        <f t="shared" si="24"/>
        <v>100</v>
      </c>
      <c r="N111" s="3735"/>
      <c r="O111" s="3735"/>
      <c r="P111" s="3730"/>
      <c r="Q111" s="3694"/>
      <c r="R111" s="3619"/>
      <c r="S111" s="3619"/>
      <c r="T111" s="3619"/>
      <c r="U111" s="3619"/>
      <c r="V111" s="3619"/>
      <c r="W111" s="3619"/>
      <c r="X111" s="3619"/>
      <c r="Y111" s="3619"/>
      <c r="Z111" s="3619"/>
      <c r="AA111" s="3619"/>
      <c r="AB111" s="3619"/>
      <c r="AC111" s="3619"/>
    </row>
    <row r="112" spans="1:29" ht="15.75" thickTop="1">
      <c r="A112" s="3731"/>
      <c r="B112" s="3744">
        <f>B37</f>
        <v>111</v>
      </c>
      <c r="C112" s="3751"/>
      <c r="D112" s="3751"/>
      <c r="E112" s="3751"/>
      <c r="F112" s="3751"/>
      <c r="G112" s="3799"/>
      <c r="H112" s="3799"/>
      <c r="I112" s="3799"/>
      <c r="J112" s="3799"/>
      <c r="K112" s="3800"/>
      <c r="L112" s="3801"/>
      <c r="M112" s="3802"/>
      <c r="N112" s="3729"/>
      <c r="O112" s="3729"/>
      <c r="P112" s="3730"/>
      <c r="Q112" s="3694"/>
      <c r="R112" s="3619"/>
      <c r="S112" s="3619"/>
      <c r="T112" s="3619"/>
      <c r="U112" s="3619"/>
      <c r="V112" s="3619"/>
      <c r="W112" s="3619"/>
      <c r="X112" s="3619"/>
      <c r="Y112" s="3619"/>
      <c r="Z112" s="3619"/>
      <c r="AA112" s="3619"/>
      <c r="AB112" s="3619"/>
      <c r="AC112" s="3619"/>
    </row>
    <row r="113" spans="1:29" ht="15.75" thickBot="1">
      <c r="A113" s="3731"/>
      <c r="B113" s="3771"/>
      <c r="C113" s="3761"/>
      <c r="D113" s="3761"/>
      <c r="E113" s="3761"/>
      <c r="F113" s="3761"/>
      <c r="G113" s="3803"/>
      <c r="H113" s="3803"/>
      <c r="I113" s="3803"/>
      <c r="J113" s="3803"/>
      <c r="K113" s="3803"/>
      <c r="L113" s="3803"/>
      <c r="M113" s="3804"/>
      <c r="N113" s="3735"/>
      <c r="O113" s="3735"/>
      <c r="P113" s="3730"/>
      <c r="Q113" s="3694"/>
      <c r="R113" s="3619"/>
      <c r="S113" s="3619"/>
      <c r="T113" s="3619"/>
      <c r="U113" s="3619"/>
      <c r="V113" s="3619"/>
      <c r="W113" s="3619"/>
      <c r="X113" s="3619"/>
      <c r="Y113" s="3619"/>
      <c r="Z113" s="3619"/>
      <c r="AA113" s="3619"/>
      <c r="AB113" s="3619"/>
      <c r="AC113" s="3619"/>
    </row>
    <row r="114" spans="1:29" ht="15" thickTop="1">
      <c r="A114" s="3577"/>
      <c r="B114" s="3736">
        <f>B38</f>
        <v>111</v>
      </c>
      <c r="C114" s="3717"/>
      <c r="D114" s="3717"/>
      <c r="E114" s="3717"/>
      <c r="F114" s="3717"/>
      <c r="G114" s="3795"/>
      <c r="H114" s="3795"/>
      <c r="I114" s="3795"/>
      <c r="J114" s="3795"/>
      <c r="K114" s="3796"/>
      <c r="L114" s="3797"/>
      <c r="M114" s="3798"/>
      <c r="N114" s="3729"/>
      <c r="O114" s="3729"/>
      <c r="P114" s="3730"/>
      <c r="Q114" s="3694"/>
      <c r="R114" s="3619"/>
      <c r="S114" s="3619"/>
      <c r="T114" s="3619"/>
      <c r="U114" s="3619"/>
      <c r="V114" s="3619"/>
      <c r="W114" s="3619"/>
      <c r="X114" s="3619"/>
      <c r="Y114" s="3619"/>
      <c r="Z114" s="3619"/>
      <c r="AA114" s="3619"/>
      <c r="AB114" s="3619"/>
      <c r="AC114" s="3619"/>
    </row>
    <row r="115" spans="1:29" ht="15.75" thickBot="1">
      <c r="A115" s="3731"/>
      <c r="B115" s="3741"/>
      <c r="C115" s="3772"/>
      <c r="D115" s="3772"/>
      <c r="E115" s="3772"/>
      <c r="F115" s="3772"/>
      <c r="G115" s="3733"/>
      <c r="H115" s="3733"/>
      <c r="I115" s="3733"/>
      <c r="J115" s="3733"/>
      <c r="K115" s="3733"/>
      <c r="L115" s="3733"/>
      <c r="M115" s="3734"/>
      <c r="N115" s="3735"/>
      <c r="O115" s="3735"/>
      <c r="P115" s="3730"/>
      <c r="Q115" s="3694"/>
      <c r="R115" s="3619"/>
      <c r="S115" s="3619"/>
      <c r="T115" s="3619"/>
      <c r="U115" s="3619"/>
      <c r="V115" s="3619"/>
      <c r="W115" s="3619"/>
      <c r="X115" s="3619"/>
      <c r="Y115" s="3619"/>
      <c r="Z115" s="3619"/>
      <c r="AA115" s="3619"/>
      <c r="AB115" s="3619"/>
      <c r="AC115" s="3619"/>
    </row>
    <row r="116" spans="1:29" s="3592" customFormat="1" ht="15" thickTop="1">
      <c r="A116" s="3805"/>
      <c r="B116" s="3806">
        <f>B39</f>
        <v>111</v>
      </c>
      <c r="C116" s="3705"/>
      <c r="D116" s="3705"/>
      <c r="E116" s="3705"/>
      <c r="F116" s="3705"/>
      <c r="G116" s="3705"/>
      <c r="H116" s="3705"/>
      <c r="I116" s="3705"/>
      <c r="J116" s="3807"/>
      <c r="K116" s="3807"/>
      <c r="L116" s="3808"/>
      <c r="M116" s="3809"/>
      <c r="N116" s="3757"/>
      <c r="O116" s="3757"/>
      <c r="P116" s="3758"/>
      <c r="Q116" s="3759"/>
      <c r="R116" s="3760"/>
      <c r="S116" s="3760"/>
      <c r="T116" s="3760"/>
      <c r="U116" s="3760"/>
      <c r="V116" s="3760"/>
      <c r="W116" s="3760"/>
      <c r="X116" s="3760"/>
      <c r="Y116" s="3760"/>
      <c r="Z116" s="3760"/>
      <c r="AA116" s="3760"/>
      <c r="AB116" s="3760"/>
      <c r="AC116" s="3760"/>
    </row>
    <row r="117" spans="1:29" s="3592" customFormat="1" ht="15.75" thickBot="1">
      <c r="A117" s="3750"/>
      <c r="B117" s="3744"/>
      <c r="C117" s="3722"/>
      <c r="D117" s="3810"/>
      <c r="E117" s="3810"/>
      <c r="F117" s="3810"/>
      <c r="G117" s="3810"/>
      <c r="H117" s="3810"/>
      <c r="I117" s="3810"/>
      <c r="J117" s="3810"/>
      <c r="K117" s="3810"/>
      <c r="L117" s="3810"/>
      <c r="M117" s="3811"/>
      <c r="N117" s="3735"/>
      <c r="O117" s="3735"/>
      <c r="P117" s="3758"/>
      <c r="Q117" s="3759"/>
      <c r="R117" s="3760"/>
      <c r="S117" s="3760"/>
      <c r="T117" s="3760"/>
      <c r="U117" s="3760"/>
      <c r="V117" s="3760"/>
      <c r="W117" s="3760"/>
      <c r="X117" s="3760"/>
      <c r="Y117" s="3760"/>
      <c r="Z117" s="3760"/>
      <c r="AA117" s="3760"/>
      <c r="AB117" s="3760"/>
      <c r="AC117" s="3760"/>
    </row>
    <row r="118" spans="1:29" ht="28.5">
      <c r="A118" s="3724" t="s">
        <v>3208</v>
      </c>
      <c r="B118" s="3725" t="s">
        <v>3142</v>
      </c>
      <c r="C118" s="3776" t="str">
        <f t="shared" ref="C118:L118" si="25">C119&amp;"(含)"&amp;"-"&amp;D119</f>
        <v>0(含)-10000</v>
      </c>
      <c r="D118" s="3776" t="str">
        <f t="shared" si="25"/>
        <v>10000(含)-20000</v>
      </c>
      <c r="E118" s="3776" t="str">
        <f t="shared" si="25"/>
        <v>20000(含)-</v>
      </c>
      <c r="F118" s="3776" t="str">
        <f t="shared" si="25"/>
        <v>(含)-</v>
      </c>
      <c r="G118" s="3776" t="str">
        <f t="shared" si="25"/>
        <v>(含)-</v>
      </c>
      <c r="H118" s="3776" t="str">
        <f t="shared" si="25"/>
        <v>(含)-</v>
      </c>
      <c r="I118" s="3776" t="str">
        <f t="shared" si="25"/>
        <v>(含)-</v>
      </c>
      <c r="J118" s="3812" t="str">
        <f t="shared" si="25"/>
        <v>(含)-</v>
      </c>
      <c r="K118" s="3812" t="str">
        <f t="shared" si="25"/>
        <v>(含)-</v>
      </c>
      <c r="L118" s="3813" t="str">
        <f t="shared" si="25"/>
        <v>(含)-</v>
      </c>
      <c r="M118" s="3814" t="str">
        <f>M119&amp;"(含)"&amp;"-"&amp;P119</f>
        <v>(含)-</v>
      </c>
      <c r="N118" s="3729"/>
      <c r="O118" s="3729"/>
      <c r="P118" s="3730"/>
      <c r="Q118" s="3694"/>
      <c r="R118" s="3619"/>
      <c r="S118" s="3619"/>
      <c r="T118" s="3619"/>
      <c r="U118" s="3619"/>
      <c r="V118" s="3619"/>
      <c r="W118" s="3619"/>
      <c r="X118" s="3619"/>
      <c r="Y118" s="3619"/>
      <c r="Z118" s="3619"/>
      <c r="AA118" s="3619"/>
      <c r="AB118" s="3619"/>
      <c r="AC118" s="3619"/>
    </row>
    <row r="119" spans="1:29" ht="15">
      <c r="A119" s="3731"/>
      <c r="B119" s="3744"/>
      <c r="C119" s="3705">
        <v>0</v>
      </c>
      <c r="D119" s="3705">
        <v>10000</v>
      </c>
      <c r="E119" s="3705">
        <v>20000</v>
      </c>
      <c r="F119" s="3705"/>
      <c r="G119" s="3705"/>
      <c r="H119" s="3705"/>
      <c r="I119" s="3705"/>
      <c r="J119" s="3815"/>
      <c r="K119" s="3815"/>
      <c r="L119" s="3816"/>
      <c r="M119" s="3817"/>
      <c r="N119" s="3729"/>
      <c r="O119" s="3729"/>
      <c r="P119" s="3730"/>
      <c r="Q119" s="3694"/>
      <c r="R119" s="3619"/>
      <c r="S119" s="3619"/>
      <c r="T119" s="3619"/>
      <c r="U119" s="3619"/>
      <c r="V119" s="3619"/>
      <c r="W119" s="3619"/>
      <c r="X119" s="3619"/>
      <c r="Y119" s="3619"/>
      <c r="Z119" s="3619"/>
      <c r="AA119" s="3619"/>
      <c r="AB119" s="3619"/>
      <c r="AC119" s="3619"/>
    </row>
    <row r="120" spans="1:29" ht="15.75" thickBot="1">
      <c r="A120" s="3731"/>
      <c r="B120" s="3741"/>
      <c r="C120" s="3772">
        <v>100</v>
      </c>
      <c r="D120" s="3803">
        <v>98</v>
      </c>
      <c r="E120" s="3803">
        <v>96</v>
      </c>
      <c r="F120" s="3803"/>
      <c r="G120" s="3803"/>
      <c r="H120" s="3803"/>
      <c r="I120" s="3803"/>
      <c r="J120" s="3803"/>
      <c r="K120" s="3803"/>
      <c r="L120" s="3803"/>
      <c r="M120" s="3804"/>
      <c r="N120" s="3735"/>
      <c r="O120" s="3735"/>
      <c r="P120" s="3730"/>
      <c r="Q120" s="3694"/>
      <c r="R120" s="3619"/>
      <c r="S120" s="3619"/>
      <c r="T120" s="3619"/>
      <c r="U120" s="3619"/>
      <c r="V120" s="3619"/>
      <c r="W120" s="3619"/>
      <c r="X120" s="3619"/>
      <c r="Y120" s="3619"/>
      <c r="Z120" s="3619"/>
      <c r="AA120" s="3619"/>
      <c r="AB120" s="3619"/>
      <c r="AC120" s="3619"/>
    </row>
    <row r="121" spans="1:29" ht="15" thickTop="1">
      <c r="A121" s="3818"/>
      <c r="B121" s="3736" t="s">
        <v>3143</v>
      </c>
      <c r="C121" s="3819" t="s">
        <v>3209</v>
      </c>
      <c r="D121" s="3795"/>
      <c r="E121" s="3795"/>
      <c r="F121" s="3795"/>
      <c r="G121" s="3795"/>
      <c r="H121" s="3795"/>
      <c r="I121" s="3795"/>
      <c r="J121" s="3795"/>
      <c r="K121" s="3796"/>
      <c r="L121" s="3797"/>
      <c r="M121" s="3798"/>
      <c r="N121" s="3729"/>
      <c r="O121" s="3729"/>
      <c r="P121" s="3730"/>
      <c r="Q121" s="3694"/>
      <c r="R121" s="3619"/>
      <c r="S121" s="3619"/>
      <c r="T121" s="3619"/>
      <c r="U121" s="3619"/>
      <c r="V121" s="3619"/>
      <c r="W121" s="3619"/>
      <c r="X121" s="3619"/>
      <c r="Y121" s="3619"/>
      <c r="Z121" s="3619"/>
      <c r="AA121" s="3619"/>
      <c r="AB121" s="3619"/>
      <c r="AC121" s="3619"/>
    </row>
    <row r="122" spans="1:29" ht="15.75" thickBot="1">
      <c r="A122" s="3731"/>
      <c r="B122" s="3741"/>
      <c r="C122" s="3742">
        <v>100</v>
      </c>
      <c r="D122" s="3742">
        <f t="shared" ref="D122:M122" si="26">C122-$K41</f>
        <v>100</v>
      </c>
      <c r="E122" s="3742">
        <f t="shared" si="26"/>
        <v>100</v>
      </c>
      <c r="F122" s="3742">
        <f t="shared" si="26"/>
        <v>100</v>
      </c>
      <c r="G122" s="3742">
        <f t="shared" si="26"/>
        <v>100</v>
      </c>
      <c r="H122" s="3742">
        <f t="shared" si="26"/>
        <v>100</v>
      </c>
      <c r="I122" s="3742">
        <f t="shared" si="26"/>
        <v>100</v>
      </c>
      <c r="J122" s="3742">
        <f t="shared" si="26"/>
        <v>100</v>
      </c>
      <c r="K122" s="3742">
        <f t="shared" si="26"/>
        <v>100</v>
      </c>
      <c r="L122" s="3742">
        <f t="shared" si="26"/>
        <v>100</v>
      </c>
      <c r="M122" s="3743">
        <f t="shared" si="26"/>
        <v>100</v>
      </c>
      <c r="N122" s="3735"/>
      <c r="O122" s="3735"/>
      <c r="P122" s="3730"/>
      <c r="Q122" s="3694"/>
      <c r="R122" s="3619"/>
      <c r="S122" s="3619"/>
      <c r="T122" s="3619"/>
      <c r="U122" s="3619"/>
      <c r="V122" s="3619"/>
      <c r="W122" s="3619"/>
      <c r="X122" s="3619"/>
      <c r="Y122" s="3619"/>
      <c r="Z122" s="3619"/>
      <c r="AA122" s="3619"/>
      <c r="AB122" s="3619"/>
      <c r="AC122" s="3619"/>
    </row>
    <row r="123" spans="1:29" ht="15" thickTop="1">
      <c r="A123" s="3818"/>
      <c r="B123" s="3736" t="s">
        <v>3145</v>
      </c>
      <c r="C123" s="3751"/>
      <c r="D123" s="3751"/>
      <c r="E123" s="3751"/>
      <c r="F123" s="3795"/>
      <c r="G123" s="3795"/>
      <c r="H123" s="3795"/>
      <c r="I123" s="3795"/>
      <c r="J123" s="3795"/>
      <c r="K123" s="3796"/>
      <c r="L123" s="3797"/>
      <c r="M123" s="3798"/>
      <c r="N123" s="3729"/>
      <c r="O123" s="3729"/>
      <c r="P123" s="3730"/>
      <c r="Q123" s="3694"/>
      <c r="R123" s="3619"/>
      <c r="S123" s="3619"/>
      <c r="T123" s="3619"/>
      <c r="U123" s="3619"/>
      <c r="V123" s="3619"/>
      <c r="W123" s="3619"/>
      <c r="X123" s="3619"/>
      <c r="Y123" s="3619"/>
      <c r="Z123" s="3619"/>
      <c r="AA123" s="3619"/>
      <c r="AB123" s="3619"/>
      <c r="AC123" s="3619"/>
    </row>
    <row r="124" spans="1:29" ht="15.75" thickBot="1">
      <c r="A124" s="3731"/>
      <c r="B124" s="3741"/>
      <c r="C124" s="3742">
        <v>100</v>
      </c>
      <c r="D124" s="3742">
        <f t="shared" ref="D124:M124" si="27">C124-$K42</f>
        <v>100</v>
      </c>
      <c r="E124" s="3742">
        <f t="shared" si="27"/>
        <v>100</v>
      </c>
      <c r="F124" s="3742">
        <f t="shared" si="27"/>
        <v>100</v>
      </c>
      <c r="G124" s="3742">
        <f t="shared" si="27"/>
        <v>100</v>
      </c>
      <c r="H124" s="3742">
        <f t="shared" si="27"/>
        <v>100</v>
      </c>
      <c r="I124" s="3742">
        <f t="shared" si="27"/>
        <v>100</v>
      </c>
      <c r="J124" s="3742">
        <f t="shared" si="27"/>
        <v>100</v>
      </c>
      <c r="K124" s="3742">
        <f t="shared" si="27"/>
        <v>100</v>
      </c>
      <c r="L124" s="3742">
        <f t="shared" si="27"/>
        <v>100</v>
      </c>
      <c r="M124" s="3743">
        <f t="shared" si="27"/>
        <v>100</v>
      </c>
      <c r="N124" s="3735"/>
      <c r="O124" s="3735"/>
      <c r="P124" s="3730"/>
      <c r="Q124" s="3694"/>
      <c r="R124" s="3619"/>
      <c r="S124" s="3619"/>
      <c r="T124" s="3619"/>
      <c r="U124" s="3619"/>
      <c r="V124" s="3619"/>
      <c r="W124" s="3619"/>
      <c r="X124" s="3619"/>
      <c r="Y124" s="3619"/>
      <c r="Z124" s="3619"/>
      <c r="AA124" s="3619"/>
      <c r="AB124" s="3619"/>
      <c r="AC124" s="3619"/>
    </row>
    <row r="125" spans="1:29" s="3592" customFormat="1" ht="15" thickTop="1">
      <c r="A125" s="3805"/>
      <c r="B125" s="3786" t="s">
        <v>3146</v>
      </c>
      <c r="C125" s="3752"/>
      <c r="D125" s="3752"/>
      <c r="E125" s="3752"/>
      <c r="F125" s="3752"/>
      <c r="G125" s="3752"/>
      <c r="H125" s="3795"/>
      <c r="I125" s="3795"/>
      <c r="J125" s="3795"/>
      <c r="K125" s="3796"/>
      <c r="L125" s="3797"/>
      <c r="M125" s="3798"/>
      <c r="N125" s="3757"/>
      <c r="O125" s="3757"/>
      <c r="P125" s="3758"/>
      <c r="Q125" s="3759"/>
      <c r="R125" s="3760"/>
      <c r="S125" s="3760"/>
      <c r="T125" s="3760"/>
      <c r="U125" s="3760"/>
      <c r="V125" s="3760"/>
      <c r="W125" s="3760"/>
      <c r="X125" s="3760"/>
      <c r="Y125" s="3760"/>
      <c r="Z125" s="3760"/>
      <c r="AA125" s="3760"/>
      <c r="AB125" s="3760"/>
      <c r="AC125" s="3760"/>
    </row>
    <row r="126" spans="1:29" s="3592" customFormat="1" ht="15.75" thickBot="1">
      <c r="A126" s="3750"/>
      <c r="B126" s="3741"/>
      <c r="C126" s="3742">
        <v>100</v>
      </c>
      <c r="D126" s="3742">
        <f>C126-$K43</f>
        <v>100</v>
      </c>
      <c r="E126" s="3742">
        <f t="shared" ref="E126:M126" si="28">D126-$K43</f>
        <v>100</v>
      </c>
      <c r="F126" s="3742">
        <f t="shared" si="28"/>
        <v>100</v>
      </c>
      <c r="G126" s="3742">
        <f t="shared" si="28"/>
        <v>100</v>
      </c>
      <c r="H126" s="3742">
        <f t="shared" si="28"/>
        <v>100</v>
      </c>
      <c r="I126" s="3742">
        <f t="shared" si="28"/>
        <v>100</v>
      </c>
      <c r="J126" s="3742">
        <f t="shared" si="28"/>
        <v>100</v>
      </c>
      <c r="K126" s="3742">
        <f t="shared" si="28"/>
        <v>100</v>
      </c>
      <c r="L126" s="3742">
        <f t="shared" si="28"/>
        <v>100</v>
      </c>
      <c r="M126" s="3743">
        <f t="shared" si="28"/>
        <v>100</v>
      </c>
      <c r="N126" s="3757"/>
      <c r="O126" s="3757"/>
      <c r="P126" s="3758"/>
      <c r="Q126" s="3759"/>
      <c r="R126" s="3760"/>
      <c r="S126" s="3760"/>
      <c r="T126" s="3760"/>
      <c r="U126" s="3760"/>
      <c r="V126" s="3760"/>
      <c r="W126" s="3760"/>
      <c r="X126" s="3760"/>
      <c r="Y126" s="3760"/>
      <c r="Z126" s="3760"/>
      <c r="AA126" s="3760"/>
      <c r="AB126" s="3760"/>
      <c r="AC126" s="3760"/>
    </row>
    <row r="127" spans="1:29" ht="15" thickTop="1">
      <c r="A127" s="3818"/>
      <c r="B127" s="3736" t="s">
        <v>3147</v>
      </c>
      <c r="C127" s="3751"/>
      <c r="D127" s="3751"/>
      <c r="E127" s="3795"/>
      <c r="F127" s="3795"/>
      <c r="G127" s="3795"/>
      <c r="H127" s="3795"/>
      <c r="I127" s="3795"/>
      <c r="J127" s="3795"/>
      <c r="K127" s="3796"/>
      <c r="L127" s="3797"/>
      <c r="M127" s="3798"/>
      <c r="N127" s="3729"/>
      <c r="O127" s="3729"/>
      <c r="P127" s="3730"/>
      <c r="Q127" s="3694"/>
      <c r="R127" s="3619"/>
      <c r="S127" s="3619"/>
      <c r="T127" s="3619"/>
      <c r="U127" s="3619"/>
      <c r="V127" s="3619"/>
      <c r="W127" s="3619"/>
      <c r="X127" s="3619"/>
      <c r="Y127" s="3619"/>
      <c r="Z127" s="3619"/>
      <c r="AA127" s="3619"/>
      <c r="AB127" s="3619"/>
      <c r="AC127" s="3619"/>
    </row>
    <row r="128" spans="1:29" ht="15.75" thickBot="1">
      <c r="A128" s="3731"/>
      <c r="B128" s="3741"/>
      <c r="C128" s="3742">
        <v>100</v>
      </c>
      <c r="D128" s="3742">
        <f t="shared" ref="D128:M128" si="29">C128-$K44</f>
        <v>100</v>
      </c>
      <c r="E128" s="3742">
        <f t="shared" si="29"/>
        <v>100</v>
      </c>
      <c r="F128" s="3742">
        <f t="shared" si="29"/>
        <v>100</v>
      </c>
      <c r="G128" s="3742">
        <f t="shared" si="29"/>
        <v>100</v>
      </c>
      <c r="H128" s="3742">
        <f t="shared" si="29"/>
        <v>100</v>
      </c>
      <c r="I128" s="3742">
        <f t="shared" si="29"/>
        <v>100</v>
      </c>
      <c r="J128" s="3742">
        <f t="shared" si="29"/>
        <v>100</v>
      </c>
      <c r="K128" s="3742">
        <f t="shared" si="29"/>
        <v>100</v>
      </c>
      <c r="L128" s="3742">
        <f t="shared" si="29"/>
        <v>100</v>
      </c>
      <c r="M128" s="3743">
        <f t="shared" si="29"/>
        <v>100</v>
      </c>
      <c r="N128" s="3735"/>
      <c r="O128" s="3735"/>
      <c r="P128" s="3730"/>
      <c r="Q128" s="3694"/>
      <c r="R128" s="3619"/>
      <c r="S128" s="3619"/>
      <c r="T128" s="3619"/>
      <c r="U128" s="3619"/>
      <c r="V128" s="3619"/>
      <c r="W128" s="3619"/>
      <c r="X128" s="3619"/>
      <c r="Y128" s="3619"/>
      <c r="Z128" s="3619"/>
      <c r="AA128" s="3619"/>
      <c r="AB128" s="3619"/>
      <c r="AC128" s="3619"/>
    </row>
    <row r="129" spans="1:29" ht="15" thickTop="1">
      <c r="A129" s="3818"/>
      <c r="B129" s="3736">
        <f>B45</f>
        <v>111</v>
      </c>
      <c r="C129" s="3751"/>
      <c r="D129" s="3751"/>
      <c r="E129" s="3751"/>
      <c r="F129" s="3751"/>
      <c r="G129" s="3751"/>
      <c r="H129" s="3795"/>
      <c r="I129" s="3795"/>
      <c r="J129" s="3795"/>
      <c r="K129" s="3796"/>
      <c r="L129" s="3797"/>
      <c r="M129" s="3798"/>
      <c r="N129" s="3729"/>
      <c r="O129" s="3729"/>
      <c r="P129" s="3730"/>
      <c r="Q129" s="3694"/>
      <c r="R129" s="3619"/>
      <c r="S129" s="3619"/>
      <c r="T129" s="3619"/>
      <c r="U129" s="3619"/>
      <c r="V129" s="3619"/>
      <c r="W129" s="3619"/>
      <c r="X129" s="3619"/>
      <c r="Y129" s="3619"/>
      <c r="Z129" s="3619"/>
      <c r="AA129" s="3619"/>
      <c r="AB129" s="3619"/>
      <c r="AC129" s="3619"/>
    </row>
    <row r="130" spans="1:29" ht="15.75" thickBot="1">
      <c r="A130" s="3731"/>
      <c r="B130" s="3741"/>
      <c r="C130" s="3761"/>
      <c r="D130" s="3761"/>
      <c r="E130" s="3761"/>
      <c r="F130" s="3761"/>
      <c r="G130" s="3733"/>
      <c r="H130" s="3733"/>
      <c r="I130" s="3733"/>
      <c r="J130" s="3733"/>
      <c r="K130" s="3733"/>
      <c r="L130" s="3733"/>
      <c r="M130" s="3734"/>
      <c r="N130" s="3735"/>
      <c r="O130" s="3735"/>
      <c r="P130" s="3730"/>
      <c r="Q130" s="3694"/>
      <c r="R130" s="3619"/>
      <c r="S130" s="3619"/>
      <c r="T130" s="3619"/>
      <c r="U130" s="3619"/>
      <c r="V130" s="3619"/>
      <c r="W130" s="3619"/>
      <c r="X130" s="3619"/>
      <c r="Y130" s="3619"/>
      <c r="Z130" s="3619"/>
      <c r="AA130" s="3619"/>
      <c r="AB130" s="3619"/>
      <c r="AC130" s="3619"/>
    </row>
    <row r="131" spans="1:29" ht="15" thickTop="1">
      <c r="A131" s="3818"/>
      <c r="B131" s="3736">
        <f>B46</f>
        <v>111</v>
      </c>
      <c r="C131" s="3717"/>
      <c r="D131" s="3717"/>
      <c r="E131" s="3717"/>
      <c r="F131" s="3717"/>
      <c r="G131" s="3795"/>
      <c r="H131" s="3795"/>
      <c r="I131" s="3795"/>
      <c r="J131" s="3795"/>
      <c r="K131" s="3796"/>
      <c r="L131" s="3797"/>
      <c r="M131" s="3798"/>
      <c r="N131" s="3729"/>
      <c r="O131" s="3729"/>
      <c r="P131" s="3730"/>
      <c r="Q131" s="3694"/>
      <c r="R131" s="3619"/>
      <c r="S131" s="3619"/>
      <c r="T131" s="3619"/>
      <c r="U131" s="3619"/>
      <c r="V131" s="3619"/>
      <c r="W131" s="3619"/>
      <c r="X131" s="3619"/>
      <c r="Y131" s="3619"/>
      <c r="Z131" s="3619"/>
      <c r="AA131" s="3619"/>
      <c r="AB131" s="3619"/>
      <c r="AC131" s="3619"/>
    </row>
    <row r="132" spans="1:29" ht="15.75" thickBot="1">
      <c r="A132" s="3731"/>
      <c r="B132" s="3741"/>
      <c r="C132" s="3772"/>
      <c r="D132" s="3772"/>
      <c r="E132" s="3772"/>
      <c r="F132" s="3772"/>
      <c r="G132" s="3733"/>
      <c r="H132" s="3733"/>
      <c r="I132" s="3733"/>
      <c r="J132" s="3733"/>
      <c r="K132" s="3733"/>
      <c r="L132" s="3733"/>
      <c r="M132" s="3734"/>
      <c r="N132" s="3735"/>
      <c r="O132" s="3735"/>
      <c r="P132" s="3730"/>
      <c r="Q132" s="3694"/>
      <c r="R132" s="3619"/>
      <c r="S132" s="3619"/>
      <c r="T132" s="3619"/>
      <c r="U132" s="3619"/>
      <c r="V132" s="3619"/>
      <c r="W132" s="3619"/>
      <c r="X132" s="3619"/>
      <c r="Y132" s="3619"/>
      <c r="Z132" s="3619"/>
      <c r="AA132" s="3619"/>
      <c r="AB132" s="3619"/>
      <c r="AC132" s="3619"/>
    </row>
    <row r="133" spans="1:29" s="3592" customFormat="1" ht="15" thickTop="1">
      <c r="A133" s="3805"/>
      <c r="B133" s="3736">
        <f>B47</f>
        <v>111</v>
      </c>
      <c r="C133" s="3717"/>
      <c r="D133" s="3717"/>
      <c r="E133" s="3717"/>
      <c r="F133" s="3717"/>
      <c r="G133" s="3754"/>
      <c r="H133" s="3754"/>
      <c r="I133" s="3754"/>
      <c r="J133" s="3754"/>
      <c r="K133" s="3754"/>
      <c r="L133" s="3755"/>
      <c r="M133" s="3756"/>
      <c r="N133" s="3757"/>
      <c r="O133" s="3757"/>
      <c r="P133" s="3758"/>
      <c r="Q133" s="3759"/>
      <c r="R133" s="3760"/>
      <c r="S133" s="3760"/>
      <c r="T133" s="3760"/>
      <c r="U133" s="3760"/>
      <c r="V133" s="3760"/>
      <c r="W133" s="3760"/>
      <c r="X133" s="3760"/>
      <c r="Y133" s="3760"/>
      <c r="Z133" s="3760"/>
      <c r="AA133" s="3760"/>
      <c r="AB133" s="3760"/>
      <c r="AC133" s="3760"/>
    </row>
    <row r="134" spans="1:29" s="3592" customFormat="1" ht="15.75" thickBot="1">
      <c r="A134" s="3770"/>
      <c r="B134" s="3820"/>
      <c r="C134" s="3772"/>
      <c r="D134" s="3772"/>
      <c r="E134" s="3772"/>
      <c r="F134" s="3772"/>
      <c r="G134" s="3803"/>
      <c r="H134" s="3803"/>
      <c r="I134" s="3803"/>
      <c r="J134" s="3803"/>
      <c r="K134" s="3803"/>
      <c r="L134" s="3803"/>
      <c r="M134" s="3804"/>
      <c r="N134" s="3757"/>
      <c r="O134" s="3757"/>
      <c r="P134" s="3758"/>
      <c r="Q134" s="3759"/>
      <c r="R134" s="3760"/>
      <c r="S134" s="3760"/>
      <c r="T134" s="3760"/>
      <c r="U134" s="3760"/>
      <c r="V134" s="3760"/>
      <c r="W134" s="3760"/>
      <c r="X134" s="3760"/>
      <c r="Y134" s="3760"/>
      <c r="Z134" s="3760"/>
      <c r="AA134" s="3760"/>
      <c r="AB134" s="3760"/>
      <c r="AC134" s="3760"/>
    </row>
    <row r="135" spans="1:29" s="3824" customFormat="1">
      <c r="A135" s="3821"/>
      <c r="B135" s="3821"/>
      <c r="C135" s="3821"/>
      <c r="D135" s="3821"/>
      <c r="E135" s="3821"/>
      <c r="F135" s="3821"/>
      <c r="G135" s="3821"/>
      <c r="H135" s="3821"/>
      <c r="I135" s="3821"/>
      <c r="J135" s="3821"/>
      <c r="K135" s="3822"/>
      <c r="L135" s="3823"/>
      <c r="M135" s="3821"/>
      <c r="N135" s="3821"/>
      <c r="O135" s="3821"/>
      <c r="P135" s="3821"/>
      <c r="Q135" s="3821"/>
      <c r="R135" s="3821"/>
      <c r="S135" s="3821"/>
      <c r="T135" s="3821"/>
      <c r="U135" s="3821"/>
      <c r="V135" s="3821"/>
      <c r="W135" s="3821"/>
      <c r="X135" s="3821"/>
      <c r="Y135" s="3821"/>
      <c r="Z135" s="3821"/>
      <c r="AA135" s="3821"/>
      <c r="AB135" s="3821"/>
      <c r="AC135" s="3821"/>
    </row>
    <row r="136" spans="1:29" s="3824" customFormat="1">
      <c r="A136" s="3821"/>
      <c r="B136" s="3821"/>
      <c r="C136" s="3821"/>
      <c r="D136" s="3821"/>
      <c r="E136" s="3821"/>
      <c r="F136" s="3821"/>
      <c r="G136" s="3821"/>
      <c r="H136" s="3821"/>
      <c r="I136" s="3821"/>
      <c r="J136" s="3821"/>
      <c r="K136" s="3822"/>
      <c r="L136" s="3823"/>
      <c r="M136" s="3821"/>
      <c r="N136" s="3821"/>
      <c r="O136" s="3821"/>
      <c r="P136" s="3821"/>
      <c r="Q136" s="3821"/>
      <c r="R136" s="3821"/>
      <c r="S136" s="3821"/>
      <c r="T136" s="3821"/>
      <c r="U136" s="3821"/>
      <c r="V136" s="3821"/>
      <c r="W136" s="3821"/>
      <c r="X136" s="3821"/>
      <c r="Y136" s="3821"/>
      <c r="Z136" s="3821"/>
      <c r="AA136" s="3821"/>
      <c r="AB136" s="3821"/>
      <c r="AC136" s="3821"/>
    </row>
    <row r="137" spans="1:29" s="3824" customFormat="1">
      <c r="A137" s="3821"/>
      <c r="B137" s="3821"/>
      <c r="C137" s="3821"/>
      <c r="D137" s="3821"/>
      <c r="E137" s="3821"/>
      <c r="F137" s="3821"/>
      <c r="G137" s="3821"/>
      <c r="H137" s="3821"/>
      <c r="I137" s="3821"/>
      <c r="J137" s="3821"/>
      <c r="K137" s="3822"/>
      <c r="L137" s="3823"/>
      <c r="M137" s="3821"/>
      <c r="N137" s="3821"/>
      <c r="O137" s="3821"/>
      <c r="P137" s="3821"/>
      <c r="Q137" s="3821"/>
      <c r="R137" s="3821"/>
      <c r="S137" s="3821"/>
      <c r="T137" s="3821"/>
      <c r="U137" s="3821"/>
      <c r="V137" s="3821"/>
      <c r="W137" s="3821"/>
      <c r="X137" s="3821"/>
      <c r="Y137" s="3821"/>
      <c r="Z137" s="3821"/>
      <c r="AA137" s="3821"/>
      <c r="AB137" s="3821"/>
      <c r="AC137" s="3821"/>
    </row>
    <row r="138" spans="1:29" s="3824" customFormat="1">
      <c r="A138" s="3821"/>
      <c r="B138" s="3821"/>
      <c r="C138" s="3821"/>
      <c r="D138" s="3821"/>
      <c r="E138" s="3821"/>
      <c r="F138" s="3821"/>
      <c r="G138" s="3821"/>
      <c r="H138" s="3821"/>
      <c r="I138" s="3821"/>
      <c r="J138" s="3821"/>
      <c r="K138" s="3822"/>
      <c r="L138" s="3823"/>
      <c r="M138" s="3821"/>
      <c r="N138" s="3821"/>
      <c r="O138" s="3821"/>
      <c r="P138" s="3821"/>
      <c r="Q138" s="3821"/>
      <c r="R138" s="3821"/>
      <c r="S138" s="3821"/>
      <c r="T138" s="3821"/>
      <c r="U138" s="3821"/>
      <c r="V138" s="3821"/>
      <c r="W138" s="3821"/>
      <c r="X138" s="3821"/>
      <c r="Y138" s="3821"/>
      <c r="Z138" s="3821"/>
      <c r="AA138" s="3821"/>
      <c r="AB138" s="3821"/>
      <c r="AC138" s="3821"/>
    </row>
    <row r="139" spans="1:29" s="3824" customFormat="1">
      <c r="A139" s="3821"/>
      <c r="B139" s="3821"/>
      <c r="C139" s="3821"/>
      <c r="D139" s="3821"/>
      <c r="E139" s="3821"/>
      <c r="F139" s="3821"/>
      <c r="G139" s="3821"/>
      <c r="H139" s="3821"/>
      <c r="I139" s="3821"/>
      <c r="J139" s="3821"/>
      <c r="K139" s="3822"/>
      <c r="L139" s="3823"/>
      <c r="M139" s="3821"/>
      <c r="N139" s="3821"/>
      <c r="O139" s="3821"/>
      <c r="P139" s="3821"/>
      <c r="Q139" s="3821"/>
      <c r="R139" s="3821"/>
      <c r="S139" s="3821"/>
      <c r="T139" s="3821"/>
      <c r="U139" s="3821"/>
      <c r="V139" s="3821"/>
      <c r="W139" s="3821"/>
      <c r="X139" s="3821"/>
      <c r="Y139" s="3821"/>
      <c r="Z139" s="3821"/>
      <c r="AA139" s="3821"/>
      <c r="AB139" s="3821"/>
      <c r="AC139" s="3821"/>
    </row>
    <row r="140" spans="1:29" s="3824" customFormat="1">
      <c r="A140" s="3821"/>
      <c r="B140" s="3821"/>
      <c r="C140" s="3821"/>
      <c r="D140" s="3821"/>
      <c r="E140" s="3821"/>
      <c r="F140" s="3821"/>
      <c r="G140" s="3821"/>
      <c r="H140" s="3821"/>
      <c r="I140" s="3821"/>
      <c r="J140" s="3821"/>
      <c r="K140" s="3822"/>
      <c r="L140" s="3823"/>
      <c r="M140" s="3821"/>
      <c r="N140" s="3821"/>
      <c r="O140" s="3821"/>
      <c r="P140" s="3821"/>
      <c r="Q140" s="3821"/>
      <c r="R140" s="3821"/>
      <c r="S140" s="3821"/>
      <c r="T140" s="3821"/>
      <c r="U140" s="3821"/>
      <c r="V140" s="3821"/>
      <c r="W140" s="3821"/>
      <c r="X140" s="3821"/>
      <c r="Y140" s="3821"/>
      <c r="Z140" s="3821"/>
      <c r="AA140" s="3821"/>
      <c r="AB140" s="3821"/>
      <c r="AC140" s="3821"/>
    </row>
    <row r="141" spans="1:29" s="3824" customFormat="1">
      <c r="A141" s="3821"/>
      <c r="B141" s="3821"/>
      <c r="C141" s="3821"/>
      <c r="D141" s="3821"/>
      <c r="E141" s="3821"/>
      <c r="F141" s="3821"/>
      <c r="G141" s="3821"/>
      <c r="H141" s="3821"/>
      <c r="I141" s="3821"/>
      <c r="J141" s="3821"/>
      <c r="K141" s="3822"/>
      <c r="L141" s="3823"/>
      <c r="M141" s="3821"/>
      <c r="N141" s="3821"/>
      <c r="O141" s="3821"/>
      <c r="P141" s="3821"/>
      <c r="Q141" s="3821"/>
      <c r="R141" s="3821"/>
      <c r="S141" s="3821"/>
      <c r="T141" s="3821"/>
      <c r="U141" s="3821"/>
      <c r="V141" s="3821"/>
      <c r="W141" s="3821"/>
      <c r="X141" s="3821"/>
      <c r="Y141" s="3821"/>
      <c r="Z141" s="3821"/>
      <c r="AA141" s="3821"/>
      <c r="AB141" s="3821"/>
      <c r="AC141" s="3821"/>
    </row>
    <row r="142" spans="1:29" s="3824" customFormat="1">
      <c r="A142" s="3821"/>
      <c r="B142" s="3821"/>
      <c r="C142" s="3821"/>
      <c r="D142" s="3821"/>
      <c r="E142" s="3821"/>
      <c r="F142" s="3821"/>
      <c r="G142" s="3821"/>
      <c r="H142" s="3821"/>
      <c r="I142" s="3821"/>
      <c r="J142" s="3821"/>
      <c r="K142" s="3822"/>
      <c r="L142" s="3823"/>
      <c r="M142" s="3821"/>
      <c r="N142" s="3821"/>
      <c r="O142" s="3821"/>
      <c r="P142" s="3821"/>
      <c r="Q142" s="3821"/>
      <c r="R142" s="3821"/>
      <c r="S142" s="3821"/>
      <c r="T142" s="3821"/>
      <c r="U142" s="3821"/>
      <c r="V142" s="3821"/>
      <c r="W142" s="3821"/>
      <c r="X142" s="3821"/>
      <c r="Y142" s="3821"/>
      <c r="Z142" s="3821"/>
      <c r="AA142" s="3821"/>
      <c r="AB142" s="3821"/>
      <c r="AC142" s="3821"/>
    </row>
    <row r="143" spans="1:29" s="3824" customFormat="1">
      <c r="A143" s="3821"/>
      <c r="B143" s="3821"/>
      <c r="C143" s="3821"/>
      <c r="D143" s="3821"/>
      <c r="E143" s="3821"/>
      <c r="F143" s="3821"/>
      <c r="G143" s="3821"/>
      <c r="H143" s="3821"/>
      <c r="I143" s="3821"/>
      <c r="J143" s="3821"/>
      <c r="K143" s="3822"/>
      <c r="L143" s="3823"/>
      <c r="M143" s="3821"/>
      <c r="N143" s="3821"/>
      <c r="O143" s="3821"/>
      <c r="P143" s="3821"/>
      <c r="Q143" s="3821"/>
      <c r="R143" s="3821"/>
      <c r="S143" s="3821"/>
      <c r="T143" s="3821"/>
      <c r="U143" s="3821"/>
      <c r="V143" s="3821"/>
      <c r="W143" s="3821"/>
      <c r="X143" s="3821"/>
      <c r="Y143" s="3821"/>
      <c r="Z143" s="3821"/>
      <c r="AA143" s="3821"/>
      <c r="AB143" s="3821"/>
      <c r="AC143" s="3821"/>
    </row>
    <row r="144" spans="1:29" s="3824" customFormat="1">
      <c r="A144" s="3821"/>
      <c r="B144" s="3821"/>
      <c r="C144" s="3821"/>
      <c r="D144" s="3821"/>
      <c r="E144" s="3821"/>
      <c r="F144" s="3821"/>
      <c r="G144" s="3821"/>
      <c r="H144" s="3821"/>
      <c r="I144" s="3821"/>
      <c r="J144" s="3821"/>
      <c r="K144" s="3822"/>
      <c r="L144" s="3823"/>
      <c r="M144" s="3821"/>
      <c r="N144" s="3821"/>
      <c r="O144" s="3821"/>
      <c r="P144" s="3821"/>
      <c r="Q144" s="3821"/>
      <c r="R144" s="3821"/>
      <c r="S144" s="3821"/>
      <c r="T144" s="3821"/>
      <c r="U144" s="3821"/>
      <c r="V144" s="3821"/>
      <c r="W144" s="3821"/>
      <c r="X144" s="3821"/>
      <c r="Y144" s="3821"/>
      <c r="Z144" s="3821"/>
      <c r="AA144" s="3821"/>
      <c r="AB144" s="3821"/>
      <c r="AC144" s="3821"/>
    </row>
    <row r="145" spans="1:29" s="3824" customFormat="1">
      <c r="A145" s="3821"/>
      <c r="B145" s="3821"/>
      <c r="C145" s="3821"/>
      <c r="D145" s="3821"/>
      <c r="E145" s="3821"/>
      <c r="F145" s="3821"/>
      <c r="G145" s="3821"/>
      <c r="H145" s="3821"/>
      <c r="I145" s="3821"/>
      <c r="J145" s="3821"/>
      <c r="K145" s="3822"/>
      <c r="L145" s="3823"/>
      <c r="M145" s="3821"/>
      <c r="N145" s="3821"/>
      <c r="O145" s="3821"/>
      <c r="P145" s="3821"/>
      <c r="Q145" s="3821"/>
      <c r="R145" s="3821"/>
      <c r="S145" s="3821"/>
      <c r="T145" s="3821"/>
      <c r="U145" s="3821"/>
      <c r="V145" s="3821"/>
      <c r="W145" s="3821"/>
      <c r="X145" s="3821"/>
      <c r="Y145" s="3821"/>
      <c r="Z145" s="3821"/>
      <c r="AA145" s="3821"/>
      <c r="AB145" s="3821"/>
      <c r="AC145" s="3821"/>
    </row>
    <row r="146" spans="1:29" s="3824" customFormat="1">
      <c r="A146" s="3821"/>
      <c r="B146" s="3821"/>
      <c r="C146" s="3821"/>
      <c r="D146" s="3821"/>
      <c r="E146" s="3821"/>
      <c r="F146" s="3821"/>
      <c r="G146" s="3821"/>
      <c r="H146" s="3821"/>
      <c r="I146" s="3821"/>
      <c r="J146" s="3821"/>
      <c r="K146" s="3822"/>
      <c r="L146" s="3823"/>
      <c r="M146" s="3821"/>
      <c r="N146" s="3821"/>
      <c r="O146" s="3821"/>
      <c r="P146" s="3821"/>
      <c r="Q146" s="3821"/>
      <c r="R146" s="3821"/>
      <c r="S146" s="3821"/>
      <c r="T146" s="3821"/>
      <c r="U146" s="3821"/>
      <c r="V146" s="3821"/>
      <c r="W146" s="3821"/>
      <c r="X146" s="3821"/>
      <c r="Y146" s="3821"/>
      <c r="Z146" s="3821"/>
      <c r="AA146" s="3821"/>
      <c r="AB146" s="3821"/>
      <c r="AC146" s="3821"/>
    </row>
    <row r="147" spans="1:29" s="3824" customFormat="1">
      <c r="A147" s="3821"/>
      <c r="B147" s="3821"/>
      <c r="C147" s="3821"/>
      <c r="D147" s="3821"/>
      <c r="E147" s="3821"/>
      <c r="F147" s="3821"/>
      <c r="G147" s="3821"/>
      <c r="H147" s="3821"/>
      <c r="I147" s="3821"/>
      <c r="J147" s="3821"/>
      <c r="K147" s="3822"/>
      <c r="L147" s="3823"/>
      <c r="M147" s="3821"/>
      <c r="N147" s="3821"/>
      <c r="O147" s="3821"/>
      <c r="P147" s="3821"/>
      <c r="Q147" s="3821"/>
      <c r="R147" s="3821"/>
      <c r="S147" s="3821"/>
      <c r="T147" s="3821"/>
      <c r="U147" s="3821"/>
      <c r="V147" s="3821"/>
      <c r="W147" s="3821"/>
      <c r="X147" s="3821"/>
      <c r="Y147" s="3821"/>
      <c r="Z147" s="3821"/>
      <c r="AA147" s="3821"/>
      <c r="AB147" s="3821"/>
      <c r="AC147" s="3821"/>
    </row>
    <row r="148" spans="1:29" s="3824" customFormat="1">
      <c r="A148" s="3821"/>
      <c r="B148" s="3821"/>
      <c r="C148" s="3821"/>
      <c r="D148" s="3821"/>
      <c r="E148" s="3821"/>
      <c r="F148" s="3821"/>
      <c r="G148" s="3821"/>
      <c r="H148" s="3821"/>
      <c r="I148" s="3821"/>
      <c r="J148" s="3821"/>
      <c r="K148" s="3822"/>
      <c r="L148" s="3823"/>
      <c r="M148" s="3821"/>
      <c r="N148" s="3821"/>
      <c r="O148" s="3821"/>
      <c r="P148" s="3821"/>
      <c r="Q148" s="3821"/>
      <c r="R148" s="3821"/>
      <c r="S148" s="3821"/>
      <c r="T148" s="3821"/>
      <c r="U148" s="3821"/>
      <c r="V148" s="3821"/>
      <c r="W148" s="3821"/>
      <c r="X148" s="3821"/>
      <c r="Y148" s="3821"/>
      <c r="Z148" s="3821"/>
      <c r="AA148" s="3821"/>
      <c r="AB148" s="3821"/>
      <c r="AC148" s="3821"/>
    </row>
    <row r="149" spans="1:29" s="3824" customFormat="1">
      <c r="A149" s="3821"/>
      <c r="B149" s="3821"/>
      <c r="C149" s="3821"/>
      <c r="D149" s="3821"/>
      <c r="E149" s="3821"/>
      <c r="F149" s="3821"/>
      <c r="G149" s="3821"/>
      <c r="H149" s="3821"/>
      <c r="I149" s="3821"/>
      <c r="J149" s="3821"/>
      <c r="K149" s="3822"/>
      <c r="L149" s="3823"/>
      <c r="M149" s="3821"/>
      <c r="N149" s="3821"/>
      <c r="O149" s="3821"/>
      <c r="P149" s="3821"/>
      <c r="Q149" s="3821"/>
      <c r="R149" s="3821"/>
      <c r="S149" s="3821"/>
      <c r="T149" s="3821"/>
      <c r="U149" s="3821"/>
      <c r="V149" s="3821"/>
      <c r="W149" s="3821"/>
      <c r="X149" s="3821"/>
      <c r="Y149" s="3821"/>
      <c r="Z149" s="3821"/>
      <c r="AA149" s="3821"/>
      <c r="AB149" s="3821"/>
      <c r="AC149" s="3821"/>
    </row>
    <row r="150" spans="1:29" s="3824" customFormat="1">
      <c r="A150" s="3821"/>
      <c r="B150" s="3821"/>
      <c r="C150" s="3821"/>
      <c r="D150" s="3821"/>
      <c r="E150" s="3821"/>
      <c r="F150" s="3821"/>
      <c r="G150" s="3821"/>
      <c r="H150" s="3821"/>
      <c r="I150" s="3821"/>
      <c r="J150" s="3821"/>
      <c r="K150" s="3822"/>
      <c r="L150" s="3823"/>
      <c r="M150" s="3821"/>
      <c r="N150" s="3821"/>
      <c r="O150" s="3821"/>
      <c r="P150" s="3821"/>
      <c r="Q150" s="3821"/>
      <c r="R150" s="3821"/>
      <c r="S150" s="3821"/>
      <c r="T150" s="3821"/>
      <c r="U150" s="3821"/>
      <c r="V150" s="3821"/>
      <c r="W150" s="3821"/>
      <c r="X150" s="3821"/>
      <c r="Y150" s="3821"/>
      <c r="Z150" s="3821"/>
      <c r="AA150" s="3821"/>
      <c r="AB150" s="3821"/>
      <c r="AC150" s="3821"/>
    </row>
    <row r="151" spans="1:29" s="3824" customFormat="1">
      <c r="A151" s="3821"/>
      <c r="B151" s="3821"/>
      <c r="C151" s="3821"/>
      <c r="D151" s="3821"/>
      <c r="E151" s="3821"/>
      <c r="F151" s="3821"/>
      <c r="G151" s="3821"/>
      <c r="H151" s="3821"/>
      <c r="I151" s="3821"/>
      <c r="J151" s="3821"/>
      <c r="K151" s="3822"/>
      <c r="L151" s="3823"/>
      <c r="M151" s="3821"/>
      <c r="N151" s="3821"/>
      <c r="O151" s="3821"/>
      <c r="P151" s="3821"/>
      <c r="Q151" s="3821"/>
      <c r="R151" s="3821"/>
      <c r="S151" s="3821"/>
      <c r="T151" s="3821"/>
      <c r="U151" s="3821"/>
      <c r="V151" s="3821"/>
      <c r="W151" s="3821"/>
      <c r="X151" s="3821"/>
      <c r="Y151" s="3821"/>
      <c r="Z151" s="3821"/>
      <c r="AA151" s="3821"/>
      <c r="AB151" s="3821"/>
      <c r="AC151" s="3821"/>
    </row>
    <row r="152" spans="1:29" s="3824" customFormat="1">
      <c r="A152" s="3821"/>
      <c r="B152" s="3821"/>
      <c r="C152" s="3821"/>
      <c r="D152" s="3821"/>
      <c r="E152" s="3821"/>
      <c r="F152" s="3821"/>
      <c r="G152" s="3821"/>
      <c r="H152" s="3821"/>
      <c r="I152" s="3821"/>
      <c r="J152" s="3821"/>
      <c r="K152" s="3822"/>
      <c r="L152" s="3823"/>
      <c r="M152" s="3821"/>
      <c r="N152" s="3821"/>
      <c r="O152" s="3821"/>
      <c r="P152" s="3821"/>
      <c r="Q152" s="3821"/>
      <c r="R152" s="3821"/>
      <c r="S152" s="3821"/>
      <c r="T152" s="3821"/>
      <c r="U152" s="3821"/>
      <c r="V152" s="3821"/>
      <c r="W152" s="3821"/>
      <c r="X152" s="3821"/>
      <c r="Y152" s="3821"/>
      <c r="Z152" s="3821"/>
      <c r="AA152" s="3821"/>
      <c r="AB152" s="3821"/>
      <c r="AC152" s="3821"/>
    </row>
    <row r="153" spans="1:29" s="3824" customFormat="1">
      <c r="A153" s="3821"/>
      <c r="B153" s="3821"/>
      <c r="C153" s="3821"/>
      <c r="D153" s="3821"/>
      <c r="E153" s="3821"/>
      <c r="F153" s="3821"/>
      <c r="G153" s="3821"/>
      <c r="H153" s="3821"/>
      <c r="I153" s="3821"/>
      <c r="J153" s="3821"/>
      <c r="K153" s="3822"/>
      <c r="L153" s="3823"/>
      <c r="M153" s="3821"/>
      <c r="N153" s="3821"/>
      <c r="O153" s="3821"/>
      <c r="P153" s="3821"/>
      <c r="Q153" s="3821"/>
      <c r="R153" s="3821"/>
      <c r="S153" s="3821"/>
      <c r="T153" s="3821"/>
      <c r="U153" s="3821"/>
      <c r="V153" s="3821"/>
      <c r="W153" s="3821"/>
      <c r="X153" s="3821"/>
      <c r="Y153" s="3821"/>
      <c r="Z153" s="3821"/>
      <c r="AA153" s="3821"/>
      <c r="AB153" s="3821"/>
      <c r="AC153" s="3821"/>
    </row>
    <row r="154" spans="1:29" s="3824" customFormat="1">
      <c r="A154" s="3821"/>
      <c r="B154" s="3821"/>
      <c r="C154" s="3821"/>
      <c r="D154" s="3821"/>
      <c r="E154" s="3821"/>
      <c r="F154" s="3821"/>
      <c r="G154" s="3821"/>
      <c r="H154" s="3821"/>
      <c r="I154" s="3821"/>
      <c r="J154" s="3821"/>
      <c r="K154" s="3822"/>
      <c r="L154" s="3823"/>
      <c r="M154" s="3821"/>
      <c r="N154" s="3821"/>
      <c r="O154" s="3821"/>
      <c r="P154" s="3821"/>
      <c r="Q154" s="3821"/>
      <c r="R154" s="3821"/>
      <c r="S154" s="3821"/>
      <c r="T154" s="3821"/>
      <c r="U154" s="3821"/>
      <c r="V154" s="3821"/>
      <c r="W154" s="3821"/>
      <c r="X154" s="3821"/>
      <c r="Y154" s="3821"/>
      <c r="Z154" s="3821"/>
      <c r="AA154" s="3821"/>
      <c r="AB154" s="3821"/>
      <c r="AC154" s="3821"/>
    </row>
    <row r="155" spans="1:29" s="3824" customFormat="1">
      <c r="A155" s="3821"/>
      <c r="B155" s="3821"/>
      <c r="C155" s="3821"/>
      <c r="D155" s="3821"/>
      <c r="E155" s="3821"/>
      <c r="F155" s="3821"/>
      <c r="G155" s="3821"/>
      <c r="H155" s="3821"/>
      <c r="I155" s="3821"/>
      <c r="J155" s="3821"/>
      <c r="K155" s="3822"/>
      <c r="L155" s="3823"/>
      <c r="M155" s="3821"/>
      <c r="N155" s="3821"/>
      <c r="O155" s="3821"/>
      <c r="P155" s="3821"/>
      <c r="Q155" s="3821"/>
      <c r="R155" s="3821"/>
      <c r="S155" s="3821"/>
      <c r="T155" s="3821"/>
      <c r="U155" s="3821"/>
      <c r="V155" s="3821"/>
      <c r="W155" s="3821"/>
      <c r="X155" s="3821"/>
      <c r="Y155" s="3821"/>
      <c r="Z155" s="3821"/>
      <c r="AA155" s="3821"/>
      <c r="AB155" s="3821"/>
      <c r="AC155" s="3821"/>
    </row>
    <row r="156" spans="1:29" s="3824" customFormat="1">
      <c r="A156" s="3821"/>
      <c r="B156" s="3821"/>
      <c r="C156" s="3821"/>
      <c r="D156" s="3821"/>
      <c r="E156" s="3821"/>
      <c r="F156" s="3821"/>
      <c r="G156" s="3821"/>
      <c r="H156" s="3821"/>
      <c r="I156" s="3821"/>
      <c r="J156" s="3821"/>
      <c r="K156" s="3822"/>
      <c r="L156" s="3823"/>
      <c r="M156" s="3821"/>
      <c r="N156" s="3821"/>
      <c r="O156" s="3821"/>
      <c r="P156" s="3821"/>
      <c r="Q156" s="3821"/>
      <c r="R156" s="3821"/>
      <c r="S156" s="3821"/>
      <c r="T156" s="3821"/>
      <c r="U156" s="3821"/>
      <c r="V156" s="3821"/>
      <c r="W156" s="3821"/>
      <c r="X156" s="3821"/>
      <c r="Y156" s="3821"/>
      <c r="Z156" s="3821"/>
      <c r="AA156" s="3821"/>
      <c r="AB156" s="3821"/>
      <c r="AC156" s="3821"/>
    </row>
    <row r="157" spans="1:29" s="3824" customFormat="1">
      <c r="A157" s="3821"/>
      <c r="B157" s="3821"/>
      <c r="C157" s="3821"/>
      <c r="D157" s="3821"/>
      <c r="E157" s="3821"/>
      <c r="F157" s="3821"/>
      <c r="G157" s="3821"/>
      <c r="H157" s="3821"/>
      <c r="I157" s="3821"/>
      <c r="J157" s="3821"/>
      <c r="K157" s="3822"/>
      <c r="L157" s="3823"/>
      <c r="M157" s="3821"/>
      <c r="N157" s="3821"/>
      <c r="O157" s="3821"/>
      <c r="P157" s="3821"/>
      <c r="Q157" s="3821"/>
      <c r="R157" s="3821"/>
      <c r="S157" s="3821"/>
      <c r="T157" s="3821"/>
      <c r="U157" s="3821"/>
      <c r="V157" s="3821"/>
      <c r="W157" s="3821"/>
      <c r="X157" s="3821"/>
      <c r="Y157" s="3821"/>
      <c r="Z157" s="3821"/>
      <c r="AA157" s="3821"/>
      <c r="AB157" s="3821"/>
      <c r="AC157" s="3821"/>
    </row>
    <row r="158" spans="1:29" s="3824" customFormat="1">
      <c r="A158" s="3821"/>
      <c r="B158" s="3821"/>
      <c r="C158" s="3821"/>
      <c r="D158" s="3821"/>
      <c r="E158" s="3821"/>
      <c r="F158" s="3821"/>
      <c r="G158" s="3821"/>
      <c r="H158" s="3821"/>
      <c r="I158" s="3821"/>
      <c r="J158" s="3821"/>
      <c r="K158" s="3822"/>
      <c r="L158" s="3823"/>
      <c r="M158" s="3821"/>
      <c r="N158" s="3821"/>
      <c r="O158" s="3821"/>
      <c r="P158" s="3821"/>
      <c r="Q158" s="3821"/>
      <c r="R158" s="3821"/>
      <c r="S158" s="3821"/>
      <c r="T158" s="3821"/>
      <c r="U158" s="3821"/>
      <c r="V158" s="3821"/>
      <c r="W158" s="3821"/>
      <c r="X158" s="3821"/>
      <c r="Y158" s="3821"/>
      <c r="Z158" s="3821"/>
      <c r="AA158" s="3821"/>
      <c r="AB158" s="3821"/>
      <c r="AC158" s="3821"/>
    </row>
    <row r="159" spans="1:29" s="3824" customFormat="1">
      <c r="A159" s="3821"/>
      <c r="B159" s="3821"/>
      <c r="C159" s="3821"/>
      <c r="D159" s="3821"/>
      <c r="E159" s="3821"/>
      <c r="F159" s="3821"/>
      <c r="G159" s="3821"/>
      <c r="H159" s="3821"/>
      <c r="I159" s="3821"/>
      <c r="J159" s="3821"/>
      <c r="K159" s="3822"/>
      <c r="L159" s="3823"/>
      <c r="M159" s="3821"/>
      <c r="N159" s="3821"/>
      <c r="O159" s="3821"/>
      <c r="P159" s="3821"/>
      <c r="Q159" s="3821"/>
      <c r="R159" s="3821"/>
      <c r="S159" s="3821"/>
      <c r="T159" s="3821"/>
      <c r="U159" s="3821"/>
      <c r="V159" s="3821"/>
      <c r="W159" s="3821"/>
      <c r="X159" s="3821"/>
      <c r="Y159" s="3821"/>
      <c r="Z159" s="3821"/>
      <c r="AA159" s="3821"/>
      <c r="AB159" s="3821"/>
      <c r="AC159" s="3821"/>
    </row>
    <row r="160" spans="1:29" s="3824" customFormat="1">
      <c r="A160" s="3821"/>
      <c r="B160" s="3821"/>
      <c r="C160" s="3821"/>
      <c r="D160" s="3821"/>
      <c r="E160" s="3821"/>
      <c r="F160" s="3821"/>
      <c r="G160" s="3821"/>
      <c r="H160" s="3821"/>
      <c r="I160" s="3821"/>
      <c r="J160" s="3821"/>
      <c r="K160" s="3822"/>
      <c r="L160" s="3823"/>
      <c r="M160" s="3821"/>
      <c r="N160" s="3821"/>
      <c r="O160" s="3821"/>
      <c r="P160" s="3821"/>
      <c r="Q160" s="3821"/>
      <c r="R160" s="3821"/>
      <c r="S160" s="3821"/>
      <c r="T160" s="3821"/>
      <c r="U160" s="3821"/>
      <c r="V160" s="3821"/>
      <c r="W160" s="3821"/>
      <c r="X160" s="3821"/>
      <c r="Y160" s="3821"/>
      <c r="Z160" s="3821"/>
      <c r="AA160" s="3821"/>
      <c r="AB160" s="3821"/>
      <c r="AC160" s="3821"/>
    </row>
    <row r="161" spans="1:29" s="3824" customFormat="1">
      <c r="A161" s="3821"/>
      <c r="B161" s="3821"/>
      <c r="C161" s="3821"/>
      <c r="D161" s="3821"/>
      <c r="E161" s="3821"/>
      <c r="F161" s="3821"/>
      <c r="G161" s="3821"/>
      <c r="H161" s="3821"/>
      <c r="I161" s="3821"/>
      <c r="J161" s="3821"/>
      <c r="K161" s="3822"/>
      <c r="L161" s="3823"/>
      <c r="M161" s="3821"/>
      <c r="N161" s="3821"/>
      <c r="O161" s="3821"/>
      <c r="P161" s="3821"/>
      <c r="Q161" s="3821"/>
      <c r="R161" s="3821"/>
      <c r="S161" s="3821"/>
      <c r="T161" s="3821"/>
      <c r="U161" s="3821"/>
      <c r="V161" s="3821"/>
      <c r="W161" s="3821"/>
      <c r="X161" s="3821"/>
      <c r="Y161" s="3821"/>
      <c r="Z161" s="3821"/>
      <c r="AA161" s="3821"/>
      <c r="AB161" s="3821"/>
      <c r="AC161" s="3821"/>
    </row>
    <row r="162" spans="1:29" s="3824" customFormat="1">
      <c r="A162" s="3821"/>
      <c r="B162" s="3821"/>
      <c r="C162" s="3821"/>
      <c r="D162" s="3821"/>
      <c r="E162" s="3821"/>
      <c r="F162" s="3821"/>
      <c r="G162" s="3821"/>
      <c r="H162" s="3821"/>
      <c r="I162" s="3821"/>
      <c r="J162" s="3821"/>
      <c r="K162" s="3822"/>
      <c r="L162" s="3823"/>
      <c r="M162" s="3821"/>
      <c r="N162" s="3821"/>
      <c r="O162" s="3821"/>
      <c r="P162" s="3821"/>
      <c r="Q162" s="3821"/>
      <c r="R162" s="3821"/>
      <c r="S162" s="3821"/>
      <c r="T162" s="3821"/>
      <c r="U162" s="3821"/>
      <c r="V162" s="3821"/>
      <c r="W162" s="3821"/>
      <c r="X162" s="3821"/>
      <c r="Y162" s="3821"/>
      <c r="Z162" s="3821"/>
      <c r="AA162" s="3821"/>
      <c r="AB162" s="3821"/>
      <c r="AC162" s="3821"/>
    </row>
    <row r="163" spans="1:29" s="3824" customFormat="1">
      <c r="A163" s="3821"/>
      <c r="B163" s="3821"/>
      <c r="C163" s="3821"/>
      <c r="D163" s="3821"/>
      <c r="E163" s="3821"/>
      <c r="F163" s="3821"/>
      <c r="G163" s="3821"/>
      <c r="H163" s="3821"/>
      <c r="I163" s="3821"/>
      <c r="J163" s="3821"/>
      <c r="K163" s="3822"/>
      <c r="L163" s="3823"/>
      <c r="M163" s="3821"/>
      <c r="N163" s="3821"/>
      <c r="O163" s="3821"/>
      <c r="P163" s="3821"/>
      <c r="Q163" s="3821"/>
      <c r="R163" s="3821"/>
      <c r="S163" s="3821"/>
      <c r="T163" s="3821"/>
      <c r="U163" s="3821"/>
      <c r="V163" s="3821"/>
      <c r="W163" s="3821"/>
      <c r="X163" s="3821"/>
      <c r="Y163" s="3821"/>
      <c r="Z163" s="3821"/>
      <c r="AA163" s="3821"/>
      <c r="AB163" s="3821"/>
      <c r="AC163" s="3821"/>
    </row>
    <row r="164" spans="1:29" s="3824" customFormat="1">
      <c r="A164" s="3821"/>
      <c r="B164" s="3821"/>
      <c r="C164" s="3821"/>
      <c r="D164" s="3821"/>
      <c r="E164" s="3821"/>
      <c r="F164" s="3821"/>
      <c r="G164" s="3821"/>
      <c r="H164" s="3821"/>
      <c r="I164" s="3821"/>
      <c r="J164" s="3821"/>
      <c r="K164" s="3822"/>
      <c r="L164" s="3823"/>
      <c r="M164" s="3821"/>
      <c r="N164" s="3821"/>
      <c r="O164" s="3821"/>
      <c r="P164" s="3821"/>
      <c r="Q164" s="3821"/>
      <c r="R164" s="3821"/>
      <c r="S164" s="3821"/>
      <c r="T164" s="3821"/>
      <c r="U164" s="3821"/>
      <c r="V164" s="3821"/>
      <c r="W164" s="3821"/>
      <c r="X164" s="3821"/>
      <c r="Y164" s="3821"/>
      <c r="Z164" s="3821"/>
      <c r="AA164" s="3821"/>
      <c r="AB164" s="3821"/>
      <c r="AC164" s="3821"/>
    </row>
    <row r="165" spans="1:29" s="3824" customFormat="1">
      <c r="A165" s="3821"/>
      <c r="B165" s="3821"/>
      <c r="C165" s="3821"/>
      <c r="D165" s="3821"/>
      <c r="E165" s="3821"/>
      <c r="F165" s="3821"/>
      <c r="G165" s="3821"/>
      <c r="H165" s="3821"/>
      <c r="I165" s="3821"/>
      <c r="J165" s="3821"/>
      <c r="K165" s="3822"/>
      <c r="L165" s="3823"/>
      <c r="M165" s="3821"/>
      <c r="N165" s="3821"/>
      <c r="O165" s="3821"/>
      <c r="P165" s="3821"/>
      <c r="Q165" s="3821"/>
      <c r="R165" s="3821"/>
      <c r="S165" s="3821"/>
      <c r="T165" s="3821"/>
      <c r="U165" s="3821"/>
      <c r="V165" s="3821"/>
      <c r="W165" s="3821"/>
      <c r="X165" s="3821"/>
      <c r="Y165" s="3821"/>
      <c r="Z165" s="3821"/>
      <c r="AA165" s="3821"/>
      <c r="AB165" s="3821"/>
      <c r="AC165" s="3821"/>
    </row>
    <row r="166" spans="1:29" s="3824" customFormat="1">
      <c r="A166" s="3821"/>
      <c r="B166" s="3821"/>
      <c r="C166" s="3821"/>
      <c r="D166" s="3821"/>
      <c r="E166" s="3821"/>
      <c r="F166" s="3821"/>
      <c r="G166" s="3821"/>
      <c r="H166" s="3821"/>
      <c r="I166" s="3821"/>
      <c r="J166" s="3821"/>
      <c r="K166" s="3822"/>
      <c r="L166" s="3823"/>
      <c r="M166" s="3821"/>
      <c r="N166" s="3821"/>
      <c r="O166" s="3821"/>
      <c r="P166" s="3821"/>
      <c r="Q166" s="3821"/>
      <c r="R166" s="3821"/>
      <c r="S166" s="3821"/>
      <c r="T166" s="3821"/>
      <c r="U166" s="3821"/>
      <c r="V166" s="3821"/>
      <c r="W166" s="3821"/>
      <c r="X166" s="3821"/>
      <c r="Y166" s="3821"/>
      <c r="Z166" s="3821"/>
      <c r="AA166" s="3821"/>
      <c r="AB166" s="3821"/>
      <c r="AC166" s="3821"/>
    </row>
    <row r="167" spans="1:29" s="3824" customFormat="1">
      <c r="A167" s="3821"/>
      <c r="B167" s="3821"/>
      <c r="C167" s="3821"/>
      <c r="D167" s="3821"/>
      <c r="E167" s="3821"/>
      <c r="F167" s="3821"/>
      <c r="G167" s="3821"/>
      <c r="H167" s="3821"/>
      <c r="I167" s="3821"/>
      <c r="J167" s="3821"/>
      <c r="K167" s="3822"/>
      <c r="L167" s="3823"/>
      <c r="M167" s="3821"/>
      <c r="N167" s="3821"/>
      <c r="O167" s="3821"/>
      <c r="P167" s="3821"/>
      <c r="Q167" s="3821"/>
      <c r="R167" s="3821"/>
      <c r="S167" s="3821"/>
      <c r="T167" s="3821"/>
      <c r="U167" s="3821"/>
      <c r="V167" s="3821"/>
      <c r="W167" s="3821"/>
      <c r="X167" s="3821"/>
      <c r="Y167" s="3821"/>
      <c r="Z167" s="3821"/>
      <c r="AA167" s="3821"/>
      <c r="AB167" s="3821"/>
      <c r="AC167" s="3821"/>
    </row>
    <row r="168" spans="1:29" s="3824" customFormat="1">
      <c r="A168" s="3821"/>
      <c r="B168" s="3821"/>
      <c r="C168" s="3821"/>
      <c r="D168" s="3821"/>
      <c r="E168" s="3821"/>
      <c r="F168" s="3821"/>
      <c r="G168" s="3821"/>
      <c r="H168" s="3821"/>
      <c r="I168" s="3821"/>
      <c r="J168" s="3821"/>
      <c r="K168" s="3822"/>
      <c r="L168" s="3823"/>
      <c r="M168" s="3821"/>
      <c r="N168" s="3821"/>
      <c r="O168" s="3821"/>
      <c r="P168" s="3821"/>
      <c r="Q168" s="3821"/>
      <c r="R168" s="3821"/>
      <c r="S168" s="3821"/>
      <c r="T168" s="3821"/>
      <c r="U168" s="3821"/>
      <c r="V168" s="3821"/>
      <c r="W168" s="3821"/>
      <c r="X168" s="3821"/>
      <c r="Y168" s="3821"/>
      <c r="Z168" s="3821"/>
      <c r="AA168" s="3821"/>
      <c r="AB168" s="3821"/>
      <c r="AC168" s="3821"/>
    </row>
    <row r="169" spans="1:29" s="3824" customFormat="1">
      <c r="A169" s="3821"/>
      <c r="B169" s="3821"/>
      <c r="C169" s="3821"/>
      <c r="D169" s="3821"/>
      <c r="E169" s="3821"/>
      <c r="F169" s="3821"/>
      <c r="G169" s="3821"/>
      <c r="H169" s="3821"/>
      <c r="I169" s="3821"/>
      <c r="J169" s="3821"/>
      <c r="K169" s="3822"/>
      <c r="L169" s="3823"/>
      <c r="M169" s="3821"/>
      <c r="N169" s="3821"/>
      <c r="O169" s="3821"/>
      <c r="P169" s="3821"/>
      <c r="Q169" s="3821"/>
      <c r="R169" s="3821"/>
      <c r="S169" s="3821"/>
      <c r="T169" s="3821"/>
      <c r="U169" s="3821"/>
      <c r="V169" s="3821"/>
      <c r="W169" s="3821"/>
      <c r="X169" s="3821"/>
      <c r="Y169" s="3821"/>
      <c r="Z169" s="3821"/>
      <c r="AA169" s="3821"/>
      <c r="AB169" s="3821"/>
      <c r="AC169" s="3821"/>
    </row>
    <row r="170" spans="1:29" s="3824" customFormat="1">
      <c r="A170" s="3821"/>
      <c r="B170" s="3821"/>
      <c r="C170" s="3821"/>
      <c r="D170" s="3821"/>
      <c r="E170" s="3821"/>
      <c r="F170" s="3821"/>
      <c r="G170" s="3821"/>
      <c r="H170" s="3821"/>
      <c r="I170" s="3821"/>
      <c r="J170" s="3821"/>
      <c r="K170" s="3822"/>
      <c r="L170" s="3823"/>
      <c r="M170" s="3821"/>
      <c r="N170" s="3821"/>
      <c r="O170" s="3821"/>
      <c r="P170" s="3821"/>
      <c r="Q170" s="3821"/>
      <c r="R170" s="3821"/>
      <c r="S170" s="3821"/>
      <c r="T170" s="3821"/>
      <c r="U170" s="3821"/>
      <c r="V170" s="3821"/>
      <c r="W170" s="3821"/>
      <c r="X170" s="3821"/>
      <c r="Y170" s="3821"/>
      <c r="Z170" s="3821"/>
      <c r="AA170" s="3821"/>
      <c r="AB170" s="3821"/>
      <c r="AC170" s="3821"/>
    </row>
    <row r="171" spans="1:29" s="3824" customFormat="1">
      <c r="A171" s="3821"/>
      <c r="B171" s="3821"/>
      <c r="C171" s="3821"/>
      <c r="D171" s="3821"/>
      <c r="E171" s="3821"/>
      <c r="F171" s="3821"/>
      <c r="G171" s="3821"/>
      <c r="H171" s="3821"/>
      <c r="I171" s="3821"/>
      <c r="J171" s="3821"/>
      <c r="K171" s="3822"/>
      <c r="L171" s="3823"/>
      <c r="M171" s="3821"/>
      <c r="N171" s="3821"/>
      <c r="O171" s="3821"/>
      <c r="P171" s="3821"/>
      <c r="Q171" s="3821"/>
      <c r="R171" s="3821"/>
      <c r="S171" s="3821"/>
      <c r="T171" s="3821"/>
      <c r="U171" s="3821"/>
      <c r="V171" s="3821"/>
      <c r="W171" s="3821"/>
      <c r="X171" s="3821"/>
      <c r="Y171" s="3821"/>
      <c r="Z171" s="3821"/>
      <c r="AA171" s="3821"/>
      <c r="AB171" s="3821"/>
      <c r="AC171" s="3821"/>
    </row>
    <row r="172" spans="1:29" s="3824" customFormat="1">
      <c r="A172" s="3821"/>
      <c r="B172" s="3821"/>
      <c r="C172" s="3821"/>
      <c r="D172" s="3821"/>
      <c r="E172" s="3821"/>
      <c r="F172" s="3821"/>
      <c r="G172" s="3821"/>
      <c r="H172" s="3821"/>
      <c r="I172" s="3821"/>
      <c r="J172" s="3821"/>
      <c r="K172" s="3822"/>
      <c r="L172" s="3823"/>
      <c r="M172" s="3821"/>
      <c r="N172" s="3821"/>
      <c r="O172" s="3821"/>
      <c r="P172" s="3821"/>
      <c r="Q172" s="3821"/>
      <c r="R172" s="3821"/>
      <c r="S172" s="3821"/>
      <c r="T172" s="3821"/>
      <c r="U172" s="3821"/>
      <c r="V172" s="3821"/>
      <c r="W172" s="3821"/>
      <c r="X172" s="3821"/>
      <c r="Y172" s="3821"/>
      <c r="Z172" s="3821"/>
      <c r="AA172" s="3821"/>
      <c r="AB172" s="3821"/>
      <c r="AC172" s="3821"/>
    </row>
    <row r="173" spans="1:29" s="3824" customFormat="1">
      <c r="A173" s="3821"/>
      <c r="B173" s="3821"/>
      <c r="C173" s="3821"/>
      <c r="D173" s="3821"/>
      <c r="E173" s="3821"/>
      <c r="F173" s="3821"/>
      <c r="G173" s="3821"/>
      <c r="H173" s="3821"/>
      <c r="I173" s="3821"/>
      <c r="J173" s="3821"/>
      <c r="K173" s="3822"/>
      <c r="L173" s="3823"/>
      <c r="M173" s="3821"/>
      <c r="N173" s="3821"/>
      <c r="O173" s="3821"/>
      <c r="P173" s="3821"/>
      <c r="Q173" s="3821"/>
      <c r="R173" s="3821"/>
      <c r="S173" s="3821"/>
      <c r="T173" s="3821"/>
      <c r="U173" s="3821"/>
      <c r="V173" s="3821"/>
      <c r="W173" s="3821"/>
      <c r="X173" s="3821"/>
      <c r="Y173" s="3821"/>
      <c r="Z173" s="3821"/>
      <c r="AA173" s="3821"/>
      <c r="AB173" s="3821"/>
      <c r="AC173" s="3821"/>
    </row>
    <row r="174" spans="1:29" s="3824" customFormat="1">
      <c r="A174" s="3821"/>
      <c r="B174" s="3821"/>
      <c r="C174" s="3821"/>
      <c r="D174" s="3821"/>
      <c r="E174" s="3821"/>
      <c r="F174" s="3821"/>
      <c r="G174" s="3821"/>
      <c r="H174" s="3821"/>
      <c r="I174" s="3821"/>
      <c r="J174" s="3821"/>
      <c r="K174" s="3822"/>
      <c r="L174" s="3823"/>
      <c r="M174" s="3821"/>
      <c r="N174" s="3821"/>
      <c r="O174" s="3821"/>
      <c r="P174" s="3821"/>
      <c r="Q174" s="3821"/>
      <c r="R174" s="3821"/>
      <c r="S174" s="3821"/>
      <c r="T174" s="3821"/>
      <c r="U174" s="3821"/>
      <c r="V174" s="3821"/>
      <c r="W174" s="3821"/>
      <c r="X174" s="3821"/>
      <c r="Y174" s="3821"/>
      <c r="Z174" s="3821"/>
      <c r="AA174" s="3821"/>
      <c r="AB174" s="3821"/>
      <c r="AC174" s="3821"/>
    </row>
    <row r="175" spans="1:29" s="3824" customFormat="1">
      <c r="A175" s="3821"/>
      <c r="B175" s="3821"/>
      <c r="C175" s="3821"/>
      <c r="D175" s="3821"/>
      <c r="E175" s="3821"/>
      <c r="F175" s="3821"/>
      <c r="G175" s="3821"/>
      <c r="H175" s="3821"/>
      <c r="I175" s="3821"/>
      <c r="J175" s="3821"/>
      <c r="K175" s="3822"/>
      <c r="L175" s="3823"/>
      <c r="M175" s="3821"/>
      <c r="N175" s="3821"/>
      <c r="O175" s="3821"/>
      <c r="P175" s="3821"/>
      <c r="Q175" s="3821"/>
      <c r="R175" s="3821"/>
      <c r="S175" s="3821"/>
      <c r="T175" s="3821"/>
      <c r="U175" s="3821"/>
      <c r="V175" s="3821"/>
      <c r="W175" s="3821"/>
      <c r="X175" s="3821"/>
      <c r="Y175" s="3821"/>
      <c r="Z175" s="3821"/>
      <c r="AA175" s="3821"/>
      <c r="AB175" s="3821"/>
      <c r="AC175" s="3821"/>
    </row>
    <row r="176" spans="1:29" s="3824" customFormat="1">
      <c r="A176" s="3821"/>
      <c r="B176" s="3821"/>
      <c r="C176" s="3821"/>
      <c r="D176" s="3821"/>
      <c r="E176" s="3821"/>
      <c r="F176" s="3821"/>
      <c r="G176" s="3821"/>
      <c r="H176" s="3821"/>
      <c r="I176" s="3821"/>
      <c r="J176" s="3821"/>
      <c r="K176" s="3822"/>
      <c r="L176" s="3823"/>
      <c r="M176" s="3821"/>
      <c r="N176" s="3821"/>
      <c r="O176" s="3821"/>
      <c r="P176" s="3821"/>
      <c r="Q176" s="3821"/>
      <c r="R176" s="3821"/>
      <c r="S176" s="3821"/>
      <c r="T176" s="3821"/>
      <c r="U176" s="3821"/>
      <c r="V176" s="3821"/>
      <c r="W176" s="3821"/>
      <c r="X176" s="3821"/>
      <c r="Y176" s="3821"/>
      <c r="Z176" s="3821"/>
      <c r="AA176" s="3821"/>
      <c r="AB176" s="3821"/>
      <c r="AC176" s="3821"/>
    </row>
    <row r="177" spans="1:29" s="3824" customFormat="1">
      <c r="A177" s="3821"/>
      <c r="B177" s="3821"/>
      <c r="C177" s="3821"/>
      <c r="D177" s="3821"/>
      <c r="E177" s="3821"/>
      <c r="F177" s="3821"/>
      <c r="G177" s="3821"/>
      <c r="H177" s="3821"/>
      <c r="I177" s="3821"/>
      <c r="J177" s="3821"/>
      <c r="K177" s="3822"/>
      <c r="L177" s="3823"/>
      <c r="M177" s="3821"/>
      <c r="N177" s="3821"/>
      <c r="O177" s="3821"/>
      <c r="P177" s="3821"/>
      <c r="Q177" s="3821"/>
      <c r="R177" s="3821"/>
      <c r="S177" s="3821"/>
      <c r="T177" s="3821"/>
      <c r="U177" s="3821"/>
      <c r="V177" s="3821"/>
      <c r="W177" s="3821"/>
      <c r="X177" s="3821"/>
      <c r="Y177" s="3821"/>
      <c r="Z177" s="3821"/>
      <c r="AA177" s="3821"/>
      <c r="AB177" s="3821"/>
      <c r="AC177" s="3821"/>
    </row>
    <row r="178" spans="1:29" s="3824" customFormat="1">
      <c r="A178" s="3821"/>
      <c r="B178" s="3821"/>
      <c r="C178" s="3821"/>
      <c r="D178" s="3821"/>
      <c r="E178" s="3821"/>
      <c r="F178" s="3821"/>
      <c r="G178" s="3821"/>
      <c r="H178" s="3821"/>
      <c r="I178" s="3821"/>
      <c r="J178" s="3821"/>
      <c r="K178" s="3822"/>
      <c r="L178" s="3823"/>
      <c r="M178" s="3821"/>
      <c r="N178" s="3821"/>
      <c r="O178" s="3821"/>
      <c r="P178" s="3821"/>
      <c r="Q178" s="3821"/>
      <c r="R178" s="3821"/>
      <c r="S178" s="3821"/>
      <c r="T178" s="3821"/>
      <c r="U178" s="3821"/>
      <c r="V178" s="3821"/>
      <c r="W178" s="3821"/>
      <c r="X178" s="3821"/>
      <c r="Y178" s="3821"/>
      <c r="Z178" s="3821"/>
      <c r="AA178" s="3821"/>
      <c r="AB178" s="3821"/>
      <c r="AC178" s="3821"/>
    </row>
    <row r="179" spans="1:29" s="3824" customFormat="1">
      <c r="A179" s="3821"/>
      <c r="B179" s="3821"/>
      <c r="C179" s="3821"/>
      <c r="D179" s="3821"/>
      <c r="E179" s="3821"/>
      <c r="F179" s="3821"/>
      <c r="G179" s="3821"/>
      <c r="H179" s="3821"/>
      <c r="I179" s="3821"/>
      <c r="J179" s="3821"/>
      <c r="K179" s="3822"/>
      <c r="L179" s="3823"/>
      <c r="M179" s="3821"/>
      <c r="N179" s="3821"/>
      <c r="O179" s="3821"/>
      <c r="P179" s="3821"/>
      <c r="Q179" s="3821"/>
      <c r="R179" s="3821"/>
      <c r="S179" s="3821"/>
      <c r="T179" s="3821"/>
      <c r="U179" s="3821"/>
      <c r="V179" s="3821"/>
      <c r="W179" s="3821"/>
      <c r="X179" s="3821"/>
      <c r="Y179" s="3821"/>
      <c r="Z179" s="3821"/>
      <c r="AA179" s="3821"/>
      <c r="AB179" s="3821"/>
      <c r="AC179" s="3821"/>
    </row>
    <row r="180" spans="1:29" s="3824" customFormat="1">
      <c r="A180" s="3821"/>
      <c r="B180" s="3821"/>
      <c r="C180" s="3821"/>
      <c r="D180" s="3821"/>
      <c r="E180" s="3821"/>
      <c r="F180" s="3821"/>
      <c r="G180" s="3821"/>
      <c r="H180" s="3821"/>
      <c r="I180" s="3821"/>
      <c r="J180" s="3821"/>
      <c r="K180" s="3822"/>
      <c r="L180" s="3823"/>
      <c r="M180" s="3821"/>
      <c r="N180" s="3821"/>
      <c r="O180" s="3821"/>
      <c r="P180" s="3821"/>
      <c r="Q180" s="3821"/>
      <c r="R180" s="3821"/>
      <c r="S180" s="3821"/>
      <c r="T180" s="3821"/>
      <c r="U180" s="3821"/>
      <c r="V180" s="3821"/>
      <c r="W180" s="3821"/>
      <c r="X180" s="3821"/>
      <c r="Y180" s="3821"/>
      <c r="Z180" s="3821"/>
      <c r="AA180" s="3821"/>
      <c r="AB180" s="3821"/>
      <c r="AC180" s="3821"/>
    </row>
    <row r="181" spans="1:29" s="3824" customFormat="1">
      <c r="A181" s="3821"/>
      <c r="B181" s="3821"/>
      <c r="C181" s="3821"/>
      <c r="D181" s="3821"/>
      <c r="E181" s="3821"/>
      <c r="F181" s="3821"/>
      <c r="G181" s="3821"/>
      <c r="H181" s="3821"/>
      <c r="I181" s="3821"/>
      <c r="J181" s="3821"/>
      <c r="K181" s="3822"/>
      <c r="L181" s="3823"/>
      <c r="M181" s="3821"/>
      <c r="N181" s="3821"/>
      <c r="O181" s="3821"/>
      <c r="P181" s="3821"/>
      <c r="Q181" s="3821"/>
      <c r="R181" s="3821"/>
      <c r="S181" s="3821"/>
      <c r="T181" s="3821"/>
      <c r="U181" s="3821"/>
      <c r="V181" s="3821"/>
      <c r="W181" s="3821"/>
      <c r="X181" s="3821"/>
      <c r="Y181" s="3821"/>
      <c r="Z181" s="3821"/>
      <c r="AA181" s="3821"/>
      <c r="AB181" s="3821"/>
      <c r="AC181" s="3821"/>
    </row>
    <row r="182" spans="1:29" s="3824" customFormat="1">
      <c r="A182" s="3821"/>
      <c r="B182" s="3821"/>
      <c r="C182" s="3821"/>
      <c r="D182" s="3821"/>
      <c r="E182" s="3821"/>
      <c r="F182" s="3821"/>
      <c r="G182" s="3821"/>
      <c r="H182" s="3821"/>
      <c r="I182" s="3821"/>
      <c r="J182" s="3821"/>
      <c r="K182" s="3822"/>
      <c r="L182" s="3823"/>
      <c r="M182" s="3821"/>
      <c r="N182" s="3821"/>
      <c r="O182" s="3821"/>
      <c r="P182" s="3821"/>
      <c r="Q182" s="3821"/>
      <c r="R182" s="3821"/>
      <c r="S182" s="3821"/>
      <c r="T182" s="3821"/>
      <c r="U182" s="3821"/>
      <c r="V182" s="3821"/>
      <c r="W182" s="3821"/>
      <c r="X182" s="3821"/>
      <c r="Y182" s="3821"/>
      <c r="Z182" s="3821"/>
      <c r="AA182" s="3821"/>
      <c r="AB182" s="3821"/>
      <c r="AC182" s="3821"/>
    </row>
    <row r="183" spans="1:29" s="3824" customFormat="1">
      <c r="A183" s="3821"/>
      <c r="B183" s="3821"/>
      <c r="C183" s="3821"/>
      <c r="D183" s="3821"/>
      <c r="E183" s="3821"/>
      <c r="F183" s="3821"/>
      <c r="G183" s="3821"/>
      <c r="H183" s="3821"/>
      <c r="I183" s="3821"/>
      <c r="J183" s="3821"/>
      <c r="K183" s="3822"/>
      <c r="L183" s="3823"/>
      <c r="M183" s="3821"/>
      <c r="N183" s="3821"/>
      <c r="O183" s="3821"/>
      <c r="P183" s="3821"/>
      <c r="Q183" s="3821"/>
      <c r="R183" s="3821"/>
      <c r="S183" s="3821"/>
      <c r="T183" s="3821"/>
      <c r="U183" s="3821"/>
      <c r="V183" s="3821"/>
      <c r="W183" s="3821"/>
      <c r="X183" s="3821"/>
      <c r="Y183" s="3821"/>
      <c r="Z183" s="3821"/>
      <c r="AA183" s="3821"/>
      <c r="AB183" s="3821"/>
      <c r="AC183" s="3821"/>
    </row>
    <row r="184" spans="1:29" s="3824" customFormat="1">
      <c r="A184" s="3821"/>
      <c r="B184" s="3821"/>
      <c r="C184" s="3821"/>
      <c r="D184" s="3821"/>
      <c r="E184" s="3821"/>
      <c r="F184" s="3821"/>
      <c r="G184" s="3821"/>
      <c r="H184" s="3821"/>
      <c r="I184" s="3821"/>
      <c r="J184" s="3821"/>
      <c r="K184" s="3822"/>
      <c r="L184" s="3823"/>
      <c r="M184" s="3821"/>
      <c r="N184" s="3821"/>
      <c r="O184" s="3821"/>
      <c r="P184" s="3821"/>
      <c r="Q184" s="3821"/>
      <c r="R184" s="3821"/>
      <c r="S184" s="3821"/>
      <c r="T184" s="3821"/>
      <c r="U184" s="3821"/>
      <c r="V184" s="3821"/>
      <c r="W184" s="3821"/>
      <c r="X184" s="3821"/>
      <c r="Y184" s="3821"/>
      <c r="Z184" s="3821"/>
      <c r="AA184" s="3821"/>
      <c r="AB184" s="3821"/>
      <c r="AC184" s="3821"/>
    </row>
    <row r="185" spans="1:29" s="3824" customFormat="1">
      <c r="A185" s="3821"/>
      <c r="B185" s="3821"/>
      <c r="C185" s="3821"/>
      <c r="D185" s="3821"/>
      <c r="E185" s="3821"/>
      <c r="F185" s="3821"/>
      <c r="G185" s="3821"/>
      <c r="H185" s="3821"/>
      <c r="I185" s="3821"/>
      <c r="J185" s="3821"/>
      <c r="K185" s="3822"/>
      <c r="L185" s="3823"/>
      <c r="M185" s="3821"/>
      <c r="N185" s="3821"/>
      <c r="O185" s="3821"/>
      <c r="P185" s="3821"/>
      <c r="Q185" s="3821"/>
      <c r="R185" s="3821"/>
      <c r="S185" s="3821"/>
      <c r="T185" s="3821"/>
      <c r="U185" s="3821"/>
      <c r="V185" s="3821"/>
      <c r="W185" s="3821"/>
      <c r="X185" s="3821"/>
      <c r="Y185" s="3821"/>
      <c r="Z185" s="3821"/>
      <c r="AA185" s="3821"/>
      <c r="AB185" s="3821"/>
      <c r="AC185" s="3821"/>
    </row>
    <row r="186" spans="1:29" s="3824" customFormat="1">
      <c r="A186" s="3821"/>
      <c r="B186" s="3821"/>
      <c r="C186" s="3821"/>
      <c r="D186" s="3821"/>
      <c r="E186" s="3821"/>
      <c r="F186" s="3821"/>
      <c r="G186" s="3821"/>
      <c r="H186" s="3821"/>
      <c r="I186" s="3821"/>
      <c r="J186" s="3821"/>
      <c r="K186" s="3822"/>
      <c r="L186" s="3823"/>
      <c r="M186" s="3821"/>
      <c r="N186" s="3821"/>
      <c r="O186" s="3821"/>
      <c r="P186" s="3821"/>
      <c r="Q186" s="3821"/>
      <c r="R186" s="3821"/>
      <c r="S186" s="3821"/>
      <c r="T186" s="3821"/>
      <c r="U186" s="3821"/>
      <c r="V186" s="3821"/>
      <c r="W186" s="3821"/>
      <c r="X186" s="3821"/>
      <c r="Y186" s="3821"/>
      <c r="Z186" s="3821"/>
      <c r="AA186" s="3821"/>
      <c r="AB186" s="3821"/>
      <c r="AC186" s="3821"/>
    </row>
    <row r="187" spans="1:29" s="3824" customFormat="1">
      <c r="A187" s="3821"/>
      <c r="B187" s="3821"/>
      <c r="C187" s="3821"/>
      <c r="D187" s="3821"/>
      <c r="E187" s="3821"/>
      <c r="F187" s="3821"/>
      <c r="G187" s="3821"/>
      <c r="H187" s="3821"/>
      <c r="I187" s="3821"/>
      <c r="J187" s="3821"/>
      <c r="K187" s="3822"/>
      <c r="L187" s="3823"/>
      <c r="M187" s="3821"/>
      <c r="N187" s="3821"/>
      <c r="O187" s="3821"/>
      <c r="P187" s="3821"/>
      <c r="Q187" s="3821"/>
      <c r="R187" s="3821"/>
      <c r="S187" s="3821"/>
      <c r="T187" s="3821"/>
      <c r="U187" s="3821"/>
      <c r="V187" s="3821"/>
      <c r="W187" s="3821"/>
      <c r="X187" s="3821"/>
      <c r="Y187" s="3821"/>
      <c r="Z187" s="3821"/>
      <c r="AA187" s="3821"/>
      <c r="AB187" s="3821"/>
      <c r="AC187" s="3821"/>
    </row>
    <row r="188" spans="1:29" s="3824" customFormat="1">
      <c r="A188" s="3821"/>
      <c r="B188" s="3821"/>
      <c r="C188" s="3821"/>
      <c r="D188" s="3821"/>
      <c r="E188" s="3821"/>
      <c r="F188" s="3821"/>
      <c r="G188" s="3821"/>
      <c r="H188" s="3821"/>
      <c r="I188" s="3821"/>
      <c r="J188" s="3821"/>
      <c r="K188" s="3822"/>
      <c r="L188" s="3823"/>
      <c r="M188" s="3821"/>
      <c r="N188" s="3821"/>
      <c r="O188" s="3821"/>
      <c r="P188" s="3821"/>
      <c r="Q188" s="3821"/>
      <c r="R188" s="3821"/>
      <c r="S188" s="3821"/>
      <c r="T188" s="3821"/>
      <c r="U188" s="3821"/>
      <c r="V188" s="3821"/>
      <c r="W188" s="3821"/>
      <c r="X188" s="3821"/>
      <c r="Y188" s="3821"/>
      <c r="Z188" s="3821"/>
      <c r="AA188" s="3821"/>
      <c r="AB188" s="3821"/>
      <c r="AC188" s="3821"/>
    </row>
    <row r="189" spans="1:29" s="3824" customFormat="1">
      <c r="A189" s="3821"/>
      <c r="B189" s="3821"/>
      <c r="C189" s="3821"/>
      <c r="D189" s="3821"/>
      <c r="E189" s="3821"/>
      <c r="F189" s="3821"/>
      <c r="G189" s="3821"/>
      <c r="H189" s="3821"/>
      <c r="I189" s="3821"/>
      <c r="J189" s="3821"/>
      <c r="K189" s="3822"/>
      <c r="L189" s="3823"/>
      <c r="M189" s="3821"/>
      <c r="N189" s="3821"/>
      <c r="O189" s="3821"/>
      <c r="P189" s="3821"/>
      <c r="Q189" s="3821"/>
      <c r="R189" s="3821"/>
      <c r="S189" s="3821"/>
      <c r="T189" s="3821"/>
      <c r="U189" s="3821"/>
      <c r="V189" s="3821"/>
      <c r="W189" s="3821"/>
      <c r="X189" s="3821"/>
      <c r="Y189" s="3821"/>
      <c r="Z189" s="3821"/>
      <c r="AA189" s="3821"/>
      <c r="AB189" s="3821"/>
      <c r="AC189" s="3821"/>
    </row>
    <row r="190" spans="1:29" s="3824" customFormat="1">
      <c r="A190" s="3821"/>
      <c r="B190" s="3821"/>
      <c r="C190" s="3821"/>
      <c r="D190" s="3821"/>
      <c r="E190" s="3821"/>
      <c r="F190" s="3821"/>
      <c r="G190" s="3821"/>
      <c r="H190" s="3821"/>
      <c r="I190" s="3821"/>
      <c r="J190" s="3821"/>
      <c r="K190" s="3822"/>
      <c r="L190" s="3823"/>
      <c r="M190" s="3821"/>
      <c r="N190" s="3821"/>
      <c r="O190" s="3821"/>
      <c r="P190" s="3821"/>
      <c r="Q190" s="3821"/>
      <c r="R190" s="3821"/>
      <c r="S190" s="3821"/>
      <c r="T190" s="3821"/>
      <c r="U190" s="3821"/>
      <c r="V190" s="3821"/>
      <c r="W190" s="3821"/>
      <c r="X190" s="3821"/>
      <c r="Y190" s="3821"/>
      <c r="Z190" s="3821"/>
      <c r="AA190" s="3821"/>
      <c r="AB190" s="3821"/>
      <c r="AC190" s="3821"/>
    </row>
    <row r="191" spans="1:29" s="3824" customFormat="1">
      <c r="A191" s="3821"/>
      <c r="B191" s="3821"/>
      <c r="C191" s="3821"/>
      <c r="D191" s="3821"/>
      <c r="E191" s="3821"/>
      <c r="F191" s="3821"/>
      <c r="G191" s="3821"/>
      <c r="H191" s="3821"/>
      <c r="I191" s="3821"/>
      <c r="J191" s="3821"/>
      <c r="K191" s="3822"/>
      <c r="L191" s="3823"/>
      <c r="M191" s="3821"/>
      <c r="N191" s="3821"/>
      <c r="O191" s="3821"/>
      <c r="P191" s="3821"/>
      <c r="Q191" s="3821"/>
      <c r="R191" s="3821"/>
      <c r="S191" s="3821"/>
      <c r="T191" s="3821"/>
      <c r="U191" s="3821"/>
      <c r="V191" s="3821"/>
      <c r="W191" s="3821"/>
      <c r="X191" s="3821"/>
      <c r="Y191" s="3821"/>
      <c r="Z191" s="3821"/>
      <c r="AA191" s="3821"/>
      <c r="AB191" s="3821"/>
      <c r="AC191" s="3821"/>
    </row>
    <row r="192" spans="1:29" s="3824" customFormat="1">
      <c r="A192" s="3821"/>
      <c r="B192" s="3821"/>
      <c r="C192" s="3821"/>
      <c r="D192" s="3821"/>
      <c r="E192" s="3821"/>
      <c r="F192" s="3821"/>
      <c r="G192" s="3821"/>
      <c r="H192" s="3821"/>
      <c r="I192" s="3821"/>
      <c r="J192" s="3821"/>
      <c r="K192" s="3822"/>
      <c r="L192" s="3823"/>
      <c r="M192" s="3821"/>
      <c r="N192" s="3821"/>
      <c r="O192" s="3821"/>
      <c r="P192" s="3821"/>
      <c r="Q192" s="3821"/>
      <c r="R192" s="3821"/>
      <c r="S192" s="3821"/>
      <c r="T192" s="3821"/>
      <c r="U192" s="3821"/>
      <c r="V192" s="3821"/>
      <c r="W192" s="3821"/>
      <c r="X192" s="3821"/>
      <c r="Y192" s="3821"/>
      <c r="Z192" s="3821"/>
      <c r="AA192" s="3821"/>
      <c r="AB192" s="3821"/>
      <c r="AC192" s="3821"/>
    </row>
    <row r="193" spans="1:29" s="3824" customFormat="1">
      <c r="A193" s="3821"/>
      <c r="B193" s="3821"/>
      <c r="C193" s="3821"/>
      <c r="D193" s="3821"/>
      <c r="E193" s="3821"/>
      <c r="F193" s="3821"/>
      <c r="G193" s="3821"/>
      <c r="H193" s="3821"/>
      <c r="I193" s="3821"/>
      <c r="J193" s="3821"/>
      <c r="K193" s="3822"/>
      <c r="L193" s="3823"/>
      <c r="M193" s="3821"/>
      <c r="N193" s="3821"/>
      <c r="O193" s="3821"/>
      <c r="P193" s="3821"/>
      <c r="Q193" s="3821"/>
      <c r="R193" s="3821"/>
      <c r="S193" s="3821"/>
      <c r="T193" s="3821"/>
      <c r="U193" s="3821"/>
      <c r="V193" s="3821"/>
      <c r="W193" s="3821"/>
      <c r="X193" s="3821"/>
      <c r="Y193" s="3821"/>
      <c r="Z193" s="3821"/>
      <c r="AA193" s="3821"/>
      <c r="AB193" s="3821"/>
      <c r="AC193" s="3821"/>
    </row>
    <row r="194" spans="1:29" s="3824" customFormat="1">
      <c r="A194" s="3821"/>
      <c r="B194" s="3821"/>
      <c r="C194" s="3821"/>
      <c r="D194" s="3821"/>
      <c r="E194" s="3821"/>
      <c r="F194" s="3821"/>
      <c r="G194" s="3821"/>
      <c r="H194" s="3821"/>
      <c r="I194" s="3821"/>
      <c r="J194" s="3821"/>
      <c r="K194" s="3822"/>
      <c r="L194" s="3823"/>
      <c r="M194" s="3821"/>
      <c r="N194" s="3821"/>
      <c r="O194" s="3821"/>
      <c r="P194" s="3821"/>
      <c r="Q194" s="3821"/>
      <c r="R194" s="3821"/>
      <c r="S194" s="3821"/>
      <c r="T194" s="3821"/>
      <c r="U194" s="3821"/>
      <c r="V194" s="3821"/>
      <c r="W194" s="3821"/>
      <c r="X194" s="3821"/>
      <c r="Y194" s="3821"/>
      <c r="Z194" s="3821"/>
      <c r="AA194" s="3821"/>
      <c r="AB194" s="3821"/>
      <c r="AC194" s="3821"/>
    </row>
    <row r="195" spans="1:29" s="3824" customFormat="1">
      <c r="A195" s="3821"/>
      <c r="B195" s="3821"/>
      <c r="C195" s="3821"/>
      <c r="D195" s="3821"/>
      <c r="E195" s="3821"/>
      <c r="F195" s="3821"/>
      <c r="G195" s="3821"/>
      <c r="H195" s="3821"/>
      <c r="I195" s="3821"/>
      <c r="J195" s="3821"/>
      <c r="K195" s="3822"/>
      <c r="L195" s="3823"/>
      <c r="M195" s="3821"/>
      <c r="N195" s="3821"/>
      <c r="O195" s="3821"/>
      <c r="P195" s="3821"/>
      <c r="Q195" s="3821"/>
      <c r="R195" s="3821"/>
      <c r="S195" s="3821"/>
      <c r="T195" s="3821"/>
      <c r="U195" s="3821"/>
      <c r="V195" s="3821"/>
      <c r="W195" s="3821"/>
      <c r="X195" s="3821"/>
      <c r="Y195" s="3821"/>
      <c r="Z195" s="3821"/>
      <c r="AA195" s="3821"/>
      <c r="AB195" s="3821"/>
      <c r="AC195" s="3821"/>
    </row>
    <row r="196" spans="1:29" s="3824" customFormat="1">
      <c r="A196" s="3821"/>
      <c r="B196" s="3821"/>
      <c r="C196" s="3821"/>
      <c r="D196" s="3821"/>
      <c r="E196" s="3821"/>
      <c r="F196" s="3821"/>
      <c r="G196" s="3821"/>
      <c r="H196" s="3821"/>
      <c r="I196" s="3821"/>
      <c r="J196" s="3821"/>
      <c r="K196" s="3822"/>
      <c r="L196" s="3823"/>
      <c r="M196" s="3821"/>
      <c r="N196" s="3821"/>
      <c r="O196" s="3821"/>
      <c r="P196" s="3821"/>
      <c r="Q196" s="3821"/>
      <c r="R196" s="3821"/>
      <c r="S196" s="3821"/>
      <c r="T196" s="3821"/>
      <c r="U196" s="3821"/>
      <c r="V196" s="3821"/>
      <c r="W196" s="3821"/>
      <c r="X196" s="3821"/>
      <c r="Y196" s="3821"/>
      <c r="Z196" s="3821"/>
      <c r="AA196" s="3821"/>
      <c r="AB196" s="3821"/>
      <c r="AC196" s="3821"/>
    </row>
    <row r="197" spans="1:29" s="3824" customFormat="1">
      <c r="A197" s="3821"/>
      <c r="B197" s="3821"/>
      <c r="C197" s="3821"/>
      <c r="D197" s="3821"/>
      <c r="E197" s="3821"/>
      <c r="F197" s="3821"/>
      <c r="G197" s="3821"/>
      <c r="H197" s="3821"/>
      <c r="I197" s="3821"/>
      <c r="J197" s="3821"/>
      <c r="K197" s="3822"/>
      <c r="L197" s="3823"/>
      <c r="M197" s="3821"/>
      <c r="N197" s="3821"/>
      <c r="O197" s="3821"/>
      <c r="P197" s="3821"/>
      <c r="Q197" s="3821"/>
      <c r="R197" s="3821"/>
      <c r="S197" s="3821"/>
      <c r="T197" s="3821"/>
      <c r="U197" s="3821"/>
      <c r="V197" s="3821"/>
      <c r="W197" s="3821"/>
      <c r="X197" s="3821"/>
      <c r="Y197" s="3821"/>
      <c r="Z197" s="3821"/>
      <c r="AA197" s="3821"/>
      <c r="AB197" s="3821"/>
      <c r="AC197" s="3821"/>
    </row>
    <row r="198" spans="1:29" s="3824" customFormat="1">
      <c r="A198" s="3821"/>
      <c r="B198" s="3821"/>
      <c r="C198" s="3821"/>
      <c r="D198" s="3821"/>
      <c r="E198" s="3821"/>
      <c r="F198" s="3821"/>
      <c r="G198" s="3821"/>
      <c r="H198" s="3821"/>
      <c r="I198" s="3821"/>
      <c r="J198" s="3821"/>
      <c r="K198" s="3822"/>
      <c r="L198" s="3823"/>
      <c r="M198" s="3821"/>
      <c r="N198" s="3821"/>
      <c r="O198" s="3821"/>
      <c r="P198" s="3821"/>
      <c r="Q198" s="3821"/>
      <c r="R198" s="3821"/>
      <c r="S198" s="3821"/>
      <c r="T198" s="3821"/>
      <c r="U198" s="3821"/>
      <c r="V198" s="3821"/>
      <c r="W198" s="3821"/>
      <c r="X198" s="3821"/>
      <c r="Y198" s="3821"/>
      <c r="Z198" s="3821"/>
      <c r="AA198" s="3821"/>
      <c r="AB198" s="3821"/>
      <c r="AC198" s="3821"/>
    </row>
    <row r="199" spans="1:29" s="3824" customFormat="1">
      <c r="A199" s="3821"/>
      <c r="B199" s="3821"/>
      <c r="C199" s="3821"/>
      <c r="D199" s="3821"/>
      <c r="E199" s="3821"/>
      <c r="F199" s="3821"/>
      <c r="G199" s="3821"/>
      <c r="H199" s="3821"/>
      <c r="I199" s="3821"/>
      <c r="J199" s="3821"/>
      <c r="K199" s="3822"/>
      <c r="L199" s="3823"/>
      <c r="M199" s="3821"/>
      <c r="N199" s="3821"/>
      <c r="O199" s="3821"/>
      <c r="P199" s="3821"/>
      <c r="Q199" s="3821"/>
      <c r="R199" s="3821"/>
      <c r="S199" s="3821"/>
      <c r="T199" s="3821"/>
      <c r="U199" s="3821"/>
      <c r="V199" s="3821"/>
      <c r="W199" s="3821"/>
      <c r="X199" s="3821"/>
      <c r="Y199" s="3821"/>
      <c r="Z199" s="3821"/>
      <c r="AA199" s="3821"/>
      <c r="AB199" s="3821"/>
      <c r="AC199" s="3821"/>
    </row>
    <row r="200" spans="1:29" s="3824" customFormat="1">
      <c r="A200" s="3821"/>
      <c r="B200" s="3821"/>
      <c r="C200" s="3821"/>
      <c r="D200" s="3821"/>
      <c r="E200" s="3821"/>
      <c r="F200" s="3821"/>
      <c r="G200" s="3821"/>
      <c r="H200" s="3821"/>
      <c r="I200" s="3821"/>
      <c r="J200" s="3821"/>
      <c r="K200" s="3822"/>
      <c r="L200" s="3823"/>
      <c r="M200" s="3821"/>
      <c r="N200" s="3821"/>
      <c r="O200" s="3821"/>
      <c r="P200" s="3821"/>
      <c r="Q200" s="3821"/>
      <c r="R200" s="3821"/>
      <c r="S200" s="3821"/>
      <c r="T200" s="3821"/>
      <c r="U200" s="3821"/>
      <c r="V200" s="3821"/>
      <c r="W200" s="3821"/>
      <c r="X200" s="3821"/>
      <c r="Y200" s="3821"/>
      <c r="Z200" s="3821"/>
      <c r="AA200" s="3821"/>
      <c r="AB200" s="3821"/>
      <c r="AC200" s="3821"/>
    </row>
    <row r="201" spans="1:29" s="3824" customFormat="1">
      <c r="A201" s="3821"/>
      <c r="B201" s="3821"/>
      <c r="C201" s="3821"/>
      <c r="D201" s="3821"/>
      <c r="E201" s="3821"/>
      <c r="F201" s="3821"/>
      <c r="G201" s="3821"/>
      <c r="H201" s="3821"/>
      <c r="I201" s="3821"/>
      <c r="J201" s="3821"/>
      <c r="K201" s="3822"/>
      <c r="L201" s="3823"/>
      <c r="M201" s="3821"/>
      <c r="N201" s="3821"/>
      <c r="O201" s="3821"/>
      <c r="P201" s="3821"/>
      <c r="Q201" s="3821"/>
      <c r="R201" s="3821"/>
      <c r="S201" s="3821"/>
      <c r="T201" s="3821"/>
      <c r="U201" s="3821"/>
      <c r="V201" s="3821"/>
      <c r="W201" s="3821"/>
      <c r="X201" s="3821"/>
      <c r="Y201" s="3821"/>
      <c r="Z201" s="3821"/>
      <c r="AA201" s="3821"/>
      <c r="AB201" s="3821"/>
      <c r="AC201" s="3821"/>
    </row>
    <row r="202" spans="1:29" s="3824" customFormat="1">
      <c r="A202" s="3821"/>
      <c r="B202" s="3821"/>
      <c r="C202" s="3821"/>
      <c r="D202" s="3821"/>
      <c r="E202" s="3821"/>
      <c r="F202" s="3821"/>
      <c r="G202" s="3821"/>
      <c r="H202" s="3821"/>
      <c r="I202" s="3821"/>
      <c r="J202" s="3821"/>
      <c r="K202" s="3822"/>
      <c r="L202" s="3823"/>
      <c r="M202" s="3821"/>
      <c r="N202" s="3821"/>
      <c r="O202" s="3821"/>
      <c r="P202" s="3821"/>
      <c r="Q202" s="3821"/>
      <c r="R202" s="3821"/>
      <c r="S202" s="3821"/>
      <c r="T202" s="3821"/>
      <c r="U202" s="3821"/>
      <c r="V202" s="3821"/>
      <c r="W202" s="3821"/>
      <c r="X202" s="3821"/>
      <c r="Y202" s="3821"/>
      <c r="Z202" s="3821"/>
      <c r="AA202" s="3821"/>
      <c r="AB202" s="3821"/>
      <c r="AC202" s="3821"/>
    </row>
    <row r="203" spans="1:29" s="3824" customFormat="1">
      <c r="A203" s="3821"/>
      <c r="B203" s="3821"/>
      <c r="C203" s="3821"/>
      <c r="D203" s="3821"/>
      <c r="E203" s="3821"/>
      <c r="F203" s="3821"/>
      <c r="G203" s="3821"/>
      <c r="H203" s="3821"/>
      <c r="I203" s="3821"/>
      <c r="J203" s="3821"/>
      <c r="K203" s="3822"/>
      <c r="L203" s="3823"/>
      <c r="M203" s="3821"/>
      <c r="N203" s="3821"/>
      <c r="O203" s="3821"/>
      <c r="P203" s="3821"/>
      <c r="Q203" s="3821"/>
      <c r="R203" s="3821"/>
      <c r="S203" s="3821"/>
      <c r="T203" s="3821"/>
      <c r="U203" s="3821"/>
      <c r="V203" s="3821"/>
      <c r="W203" s="3821"/>
      <c r="X203" s="3821"/>
      <c r="Y203" s="3821"/>
      <c r="Z203" s="3821"/>
      <c r="AA203" s="3821"/>
      <c r="AB203" s="3821"/>
      <c r="AC203" s="3821"/>
    </row>
    <row r="204" spans="1:29" s="3824" customFormat="1">
      <c r="A204" s="3821"/>
      <c r="B204" s="3821"/>
      <c r="C204" s="3821"/>
      <c r="D204" s="3821"/>
      <c r="E204" s="3821"/>
      <c r="F204" s="3821"/>
      <c r="G204" s="3821"/>
      <c r="H204" s="3821"/>
      <c r="I204" s="3821"/>
      <c r="J204" s="3821"/>
      <c r="K204" s="3822"/>
      <c r="L204" s="3823"/>
      <c r="M204" s="3821"/>
      <c r="N204" s="3821"/>
      <c r="O204" s="3821"/>
      <c r="P204" s="3821"/>
      <c r="Q204" s="3821"/>
      <c r="R204" s="3821"/>
      <c r="S204" s="3821"/>
      <c r="T204" s="3821"/>
      <c r="U204" s="3821"/>
      <c r="V204" s="3821"/>
      <c r="W204" s="3821"/>
      <c r="X204" s="3821"/>
      <c r="Y204" s="3821"/>
      <c r="Z204" s="3821"/>
      <c r="AA204" s="3821"/>
      <c r="AB204" s="3821"/>
      <c r="AC204" s="3821"/>
    </row>
    <row r="205" spans="1:29" s="3824" customFormat="1">
      <c r="A205" s="3821"/>
      <c r="B205" s="3821"/>
      <c r="C205" s="3821"/>
      <c r="D205" s="3821"/>
      <c r="E205" s="3821"/>
      <c r="F205" s="3821"/>
      <c r="G205" s="3821"/>
      <c r="H205" s="3821"/>
      <c r="I205" s="3821"/>
      <c r="J205" s="3821"/>
      <c r="K205" s="3822"/>
      <c r="L205" s="3823"/>
      <c r="M205" s="3821"/>
      <c r="N205" s="3821"/>
      <c r="O205" s="3821"/>
      <c r="P205" s="3821"/>
      <c r="Q205" s="3821"/>
      <c r="R205" s="3821"/>
      <c r="S205" s="3821"/>
      <c r="T205" s="3821"/>
      <c r="U205" s="3821"/>
      <c r="V205" s="3821"/>
      <c r="W205" s="3821"/>
      <c r="X205" s="3821"/>
      <c r="Y205" s="3821"/>
      <c r="Z205" s="3821"/>
      <c r="AA205" s="3821"/>
      <c r="AB205" s="3821"/>
      <c r="AC205" s="3821"/>
    </row>
    <row r="206" spans="1:29" s="3824" customFormat="1">
      <c r="A206" s="3821"/>
      <c r="B206" s="3821"/>
      <c r="C206" s="3821"/>
      <c r="D206" s="3821"/>
      <c r="E206" s="3821"/>
      <c r="F206" s="3821"/>
      <c r="G206" s="3821"/>
      <c r="H206" s="3821"/>
      <c r="I206" s="3821"/>
      <c r="J206" s="3821"/>
      <c r="K206" s="3822"/>
      <c r="L206" s="3823"/>
      <c r="M206" s="3821"/>
      <c r="N206" s="3821"/>
      <c r="O206" s="3821"/>
      <c r="P206" s="3821"/>
      <c r="Q206" s="3821"/>
      <c r="R206" s="3821"/>
      <c r="S206" s="3821"/>
      <c r="T206" s="3821"/>
      <c r="U206" s="3821"/>
      <c r="V206" s="3821"/>
      <c r="W206" s="3821"/>
      <c r="X206" s="3821"/>
      <c r="Y206" s="3821"/>
      <c r="Z206" s="3821"/>
      <c r="AA206" s="3821"/>
      <c r="AB206" s="3821"/>
      <c r="AC206" s="3821"/>
    </row>
    <row r="207" spans="1:29" s="3824" customFormat="1">
      <c r="A207" s="3821"/>
      <c r="B207" s="3821"/>
      <c r="C207" s="3821"/>
      <c r="D207" s="3821"/>
      <c r="E207" s="3821"/>
      <c r="F207" s="3821"/>
      <c r="G207" s="3821"/>
      <c r="H207" s="3821"/>
      <c r="I207" s="3821"/>
      <c r="J207" s="3821"/>
      <c r="K207" s="3822"/>
      <c r="L207" s="3823"/>
      <c r="M207" s="3821"/>
      <c r="N207" s="3821"/>
      <c r="O207" s="3821"/>
      <c r="P207" s="3821"/>
      <c r="Q207" s="3821"/>
      <c r="R207" s="3821"/>
      <c r="S207" s="3821"/>
      <c r="T207" s="3821"/>
      <c r="U207" s="3821"/>
      <c r="V207" s="3821"/>
      <c r="W207" s="3821"/>
      <c r="X207" s="3821"/>
      <c r="Y207" s="3821"/>
      <c r="Z207" s="3821"/>
      <c r="AA207" s="3821"/>
      <c r="AB207" s="3821"/>
      <c r="AC207" s="3821"/>
    </row>
    <row r="208" spans="1:29" s="3824" customFormat="1">
      <c r="A208" s="3821"/>
      <c r="B208" s="3821"/>
      <c r="C208" s="3821"/>
      <c r="D208" s="3821"/>
      <c r="E208" s="3821"/>
      <c r="F208" s="3821"/>
      <c r="G208" s="3821"/>
      <c r="H208" s="3821"/>
      <c r="I208" s="3821"/>
      <c r="J208" s="3821"/>
      <c r="K208" s="3822"/>
      <c r="L208" s="3823"/>
      <c r="M208" s="3821"/>
      <c r="N208" s="3821"/>
      <c r="O208" s="3821"/>
      <c r="P208" s="3821"/>
      <c r="Q208" s="3821"/>
      <c r="R208" s="3821"/>
      <c r="S208" s="3821"/>
      <c r="T208" s="3821"/>
      <c r="U208" s="3821"/>
      <c r="V208" s="3821"/>
      <c r="W208" s="3821"/>
      <c r="X208" s="3821"/>
      <c r="Y208" s="3821"/>
      <c r="Z208" s="3821"/>
      <c r="AA208" s="3821"/>
      <c r="AB208" s="3821"/>
      <c r="AC208" s="3821"/>
    </row>
    <row r="209" spans="1:29" s="3824" customFormat="1">
      <c r="A209" s="3821"/>
      <c r="B209" s="3821"/>
      <c r="C209" s="3821"/>
      <c r="D209" s="3821"/>
      <c r="E209" s="3821"/>
      <c r="F209" s="3821"/>
      <c r="G209" s="3821"/>
      <c r="H209" s="3821"/>
      <c r="I209" s="3821"/>
      <c r="J209" s="3821"/>
      <c r="K209" s="3822"/>
      <c r="L209" s="3823"/>
      <c r="M209" s="3821"/>
      <c r="N209" s="3821"/>
      <c r="O209" s="3821"/>
      <c r="P209" s="3821"/>
      <c r="Q209" s="3821"/>
      <c r="R209" s="3821"/>
      <c r="S209" s="3821"/>
      <c r="T209" s="3821"/>
      <c r="U209" s="3821"/>
      <c r="V209" s="3821"/>
      <c r="W209" s="3821"/>
      <c r="X209" s="3821"/>
      <c r="Y209" s="3821"/>
      <c r="Z209" s="3821"/>
      <c r="AA209" s="3821"/>
      <c r="AB209" s="3821"/>
      <c r="AC209" s="3821"/>
    </row>
    <row r="210" spans="1:29" s="3824" customFormat="1">
      <c r="A210" s="3821"/>
      <c r="B210" s="3821"/>
      <c r="C210" s="3821"/>
      <c r="D210" s="3821"/>
      <c r="E210" s="3821"/>
      <c r="F210" s="3821"/>
      <c r="G210" s="3821"/>
      <c r="H210" s="3821"/>
      <c r="I210" s="3821"/>
      <c r="J210" s="3821"/>
      <c r="K210" s="3822"/>
      <c r="L210" s="3823"/>
      <c r="M210" s="3821"/>
      <c r="N210" s="3821"/>
      <c r="O210" s="3821"/>
      <c r="P210" s="3821"/>
      <c r="Q210" s="3821"/>
      <c r="R210" s="3821"/>
      <c r="S210" s="3821"/>
      <c r="T210" s="3821"/>
      <c r="U210" s="3821"/>
      <c r="V210" s="3821"/>
      <c r="W210" s="3821"/>
      <c r="X210" s="3821"/>
      <c r="Y210" s="3821"/>
      <c r="Z210" s="3821"/>
      <c r="AA210" s="3821"/>
      <c r="AB210" s="3821"/>
      <c r="AC210" s="3821"/>
    </row>
    <row r="211" spans="1:29" s="3824" customFormat="1">
      <c r="A211" s="3821"/>
      <c r="B211" s="3821"/>
      <c r="C211" s="3821"/>
      <c r="D211" s="3821"/>
      <c r="E211" s="3821"/>
      <c r="F211" s="3821"/>
      <c r="G211" s="3821"/>
      <c r="H211" s="3821"/>
      <c r="I211" s="3821"/>
      <c r="J211" s="3821"/>
      <c r="K211" s="3822"/>
      <c r="L211" s="3823"/>
      <c r="M211" s="3821"/>
      <c r="N211" s="3821"/>
      <c r="O211" s="3821"/>
      <c r="P211" s="3821"/>
      <c r="Q211" s="3821"/>
      <c r="R211" s="3821"/>
      <c r="S211" s="3821"/>
      <c r="T211" s="3821"/>
      <c r="U211" s="3821"/>
      <c r="V211" s="3821"/>
      <c r="W211" s="3821"/>
      <c r="X211" s="3821"/>
      <c r="Y211" s="3821"/>
      <c r="Z211" s="3821"/>
      <c r="AA211" s="3821"/>
      <c r="AB211" s="3821"/>
      <c r="AC211" s="3821"/>
    </row>
    <row r="212" spans="1:29" s="3824" customFormat="1">
      <c r="A212" s="3821"/>
      <c r="B212" s="3821"/>
      <c r="C212" s="3821"/>
      <c r="D212" s="3821"/>
      <c r="E212" s="3821"/>
      <c r="F212" s="3821"/>
      <c r="G212" s="3821"/>
      <c r="H212" s="3821"/>
      <c r="I212" s="3821"/>
      <c r="J212" s="3821"/>
      <c r="K212" s="3822"/>
      <c r="L212" s="3823"/>
      <c r="M212" s="3821"/>
      <c r="N212" s="3821"/>
      <c r="O212" s="3821"/>
      <c r="P212" s="3821"/>
      <c r="Q212" s="3821"/>
      <c r="R212" s="3821"/>
      <c r="S212" s="3821"/>
      <c r="T212" s="3821"/>
      <c r="U212" s="3821"/>
      <c r="V212" s="3821"/>
      <c r="W212" s="3821"/>
      <c r="X212" s="3821"/>
      <c r="Y212" s="3821"/>
      <c r="Z212" s="3821"/>
      <c r="AA212" s="3821"/>
      <c r="AB212" s="3821"/>
      <c r="AC212" s="3821"/>
    </row>
    <row r="213" spans="1:29" s="3824" customFormat="1">
      <c r="A213" s="3821"/>
      <c r="B213" s="3821"/>
      <c r="C213" s="3821"/>
      <c r="D213" s="3821"/>
      <c r="E213" s="3821"/>
      <c r="F213" s="3821"/>
      <c r="G213" s="3821"/>
      <c r="H213" s="3821"/>
      <c r="I213" s="3821"/>
      <c r="J213" s="3821"/>
      <c r="K213" s="3822"/>
      <c r="L213" s="3823"/>
      <c r="M213" s="3821"/>
      <c r="N213" s="3821"/>
      <c r="O213" s="3821"/>
      <c r="P213" s="3821"/>
      <c r="Q213" s="3821"/>
      <c r="R213" s="3821"/>
      <c r="S213" s="3821"/>
      <c r="T213" s="3821"/>
      <c r="U213" s="3821"/>
      <c r="V213" s="3821"/>
      <c r="W213" s="3821"/>
      <c r="X213" s="3821"/>
      <c r="Y213" s="3821"/>
      <c r="Z213" s="3821"/>
      <c r="AA213" s="3821"/>
      <c r="AB213" s="3821"/>
      <c r="AC213" s="3821"/>
    </row>
    <row r="214" spans="1:29" s="3824" customFormat="1">
      <c r="A214" s="3821"/>
      <c r="B214" s="3821"/>
      <c r="C214" s="3821"/>
      <c r="D214" s="3821"/>
      <c r="E214" s="3821"/>
      <c r="F214" s="3821"/>
      <c r="G214" s="3821"/>
      <c r="H214" s="3821"/>
      <c r="I214" s="3821"/>
      <c r="J214" s="3821"/>
      <c r="K214" s="3822"/>
      <c r="L214" s="3823"/>
      <c r="M214" s="3821"/>
      <c r="N214" s="3821"/>
      <c r="O214" s="3821"/>
      <c r="P214" s="3821"/>
      <c r="Q214" s="3821"/>
      <c r="R214" s="3821"/>
      <c r="S214" s="3821"/>
      <c r="T214" s="3821"/>
      <c r="U214" s="3821"/>
      <c r="V214" s="3821"/>
      <c r="W214" s="3821"/>
      <c r="X214" s="3821"/>
      <c r="Y214" s="3821"/>
      <c r="Z214" s="3821"/>
      <c r="AA214" s="3821"/>
      <c r="AB214" s="3821"/>
      <c r="AC214" s="3821"/>
    </row>
    <row r="215" spans="1:29" s="3824" customFormat="1">
      <c r="A215" s="3821"/>
      <c r="B215" s="3821"/>
      <c r="C215" s="3821"/>
      <c r="D215" s="3821"/>
      <c r="E215" s="3821"/>
      <c r="F215" s="3821"/>
      <c r="G215" s="3821"/>
      <c r="H215" s="3821"/>
      <c r="I215" s="3821"/>
      <c r="J215" s="3821"/>
      <c r="K215" s="3822"/>
      <c r="L215" s="3823"/>
      <c r="M215" s="3821"/>
      <c r="N215" s="3821"/>
      <c r="O215" s="3821"/>
      <c r="P215" s="3821"/>
      <c r="Q215" s="3821"/>
      <c r="R215" s="3821"/>
      <c r="S215" s="3821"/>
      <c r="T215" s="3821"/>
      <c r="U215" s="3821"/>
      <c r="V215" s="3821"/>
      <c r="W215" s="3821"/>
      <c r="X215" s="3821"/>
      <c r="Y215" s="3821"/>
      <c r="Z215" s="3821"/>
      <c r="AA215" s="3821"/>
      <c r="AB215" s="3821"/>
      <c r="AC215" s="3821"/>
    </row>
    <row r="216" spans="1:29" s="3824" customFormat="1">
      <c r="A216" s="3821"/>
      <c r="B216" s="3821"/>
      <c r="C216" s="3821"/>
      <c r="D216" s="3821"/>
      <c r="E216" s="3821"/>
      <c r="F216" s="3821"/>
      <c r="G216" s="3821"/>
      <c r="H216" s="3821"/>
      <c r="I216" s="3821"/>
      <c r="J216" s="3821"/>
      <c r="K216" s="3822"/>
      <c r="L216" s="3823"/>
      <c r="M216" s="3821"/>
      <c r="N216" s="3821"/>
      <c r="O216" s="3821"/>
      <c r="P216" s="3821"/>
      <c r="Q216" s="3821"/>
      <c r="R216" s="3821"/>
      <c r="S216" s="3821"/>
      <c r="T216" s="3821"/>
      <c r="U216" s="3821"/>
      <c r="V216" s="3821"/>
      <c r="W216" s="3821"/>
      <c r="X216" s="3821"/>
      <c r="Y216" s="3821"/>
      <c r="Z216" s="3821"/>
      <c r="AA216" s="3821"/>
      <c r="AB216" s="3821"/>
      <c r="AC216" s="3821"/>
    </row>
    <row r="217" spans="1:29" s="3824" customFormat="1">
      <c r="A217" s="3821"/>
      <c r="B217" s="3821"/>
      <c r="C217" s="3821"/>
      <c r="D217" s="3821"/>
      <c r="E217" s="3821"/>
      <c r="F217" s="3821"/>
      <c r="G217" s="3821"/>
      <c r="H217" s="3821"/>
      <c r="I217" s="3821"/>
      <c r="J217" s="3821"/>
      <c r="K217" s="3822"/>
      <c r="L217" s="3823"/>
      <c r="M217" s="3821"/>
      <c r="N217" s="3821"/>
      <c r="O217" s="3821"/>
      <c r="P217" s="3821"/>
      <c r="Q217" s="3821"/>
      <c r="R217" s="3821"/>
      <c r="S217" s="3821"/>
      <c r="T217" s="3821"/>
      <c r="U217" s="3821"/>
      <c r="V217" s="3821"/>
      <c r="W217" s="3821"/>
      <c r="X217" s="3821"/>
      <c r="Y217" s="3821"/>
      <c r="Z217" s="3821"/>
      <c r="AA217" s="3821"/>
      <c r="AB217" s="3821"/>
      <c r="AC217" s="3821"/>
    </row>
    <row r="218" spans="1:29" s="3824" customFormat="1">
      <c r="A218" s="3821"/>
      <c r="B218" s="3821"/>
      <c r="C218" s="3821"/>
      <c r="D218" s="3821"/>
      <c r="E218" s="3821"/>
      <c r="F218" s="3821"/>
      <c r="G218" s="3821"/>
      <c r="H218" s="3821"/>
      <c r="I218" s="3821"/>
      <c r="J218" s="3821"/>
      <c r="K218" s="3822"/>
      <c r="L218" s="3823"/>
      <c r="M218" s="3821"/>
      <c r="N218" s="3821"/>
      <c r="O218" s="3821"/>
      <c r="P218" s="3821"/>
      <c r="Q218" s="3821"/>
      <c r="R218" s="3821"/>
      <c r="S218" s="3821"/>
      <c r="T218" s="3821"/>
      <c r="U218" s="3821"/>
      <c r="V218" s="3821"/>
      <c r="W218" s="3821"/>
      <c r="X218" s="3821"/>
      <c r="Y218" s="3821"/>
      <c r="Z218" s="3821"/>
      <c r="AA218" s="3821"/>
      <c r="AB218" s="3821"/>
      <c r="AC218" s="3821"/>
    </row>
    <row r="219" spans="1:29" s="3824" customFormat="1">
      <c r="A219" s="3821"/>
      <c r="B219" s="3821"/>
      <c r="C219" s="3821"/>
      <c r="D219" s="3821"/>
      <c r="E219" s="3821"/>
      <c r="F219" s="3821"/>
      <c r="G219" s="3821"/>
      <c r="H219" s="3821"/>
      <c r="I219" s="3821"/>
      <c r="J219" s="3821"/>
      <c r="K219" s="3822"/>
      <c r="L219" s="3823"/>
      <c r="M219" s="3821"/>
      <c r="N219" s="3821"/>
      <c r="O219" s="3821"/>
      <c r="P219" s="3821"/>
      <c r="Q219" s="3821"/>
      <c r="R219" s="3821"/>
      <c r="S219" s="3821"/>
      <c r="T219" s="3821"/>
      <c r="U219" s="3821"/>
      <c r="V219" s="3821"/>
      <c r="W219" s="3821"/>
      <c r="X219" s="3821"/>
      <c r="Y219" s="3821"/>
      <c r="Z219" s="3821"/>
      <c r="AA219" s="3821"/>
      <c r="AB219" s="3821"/>
      <c r="AC219" s="3821"/>
    </row>
    <row r="220" spans="1:29" s="3824" customFormat="1">
      <c r="A220" s="3821"/>
      <c r="B220" s="3821"/>
      <c r="C220" s="3821"/>
      <c r="D220" s="3821"/>
      <c r="E220" s="3821"/>
      <c r="F220" s="3821"/>
      <c r="G220" s="3821"/>
      <c r="H220" s="3821"/>
      <c r="I220" s="3821"/>
      <c r="J220" s="3821"/>
      <c r="K220" s="3822"/>
      <c r="L220" s="3823"/>
      <c r="M220" s="3821"/>
      <c r="N220" s="3821"/>
      <c r="O220" s="3821"/>
      <c r="P220" s="3821"/>
      <c r="Q220" s="3821"/>
      <c r="R220" s="3821"/>
      <c r="S220" s="3821"/>
      <c r="T220" s="3821"/>
      <c r="U220" s="3821"/>
      <c r="V220" s="3821"/>
      <c r="W220" s="3821"/>
      <c r="X220" s="3821"/>
      <c r="Y220" s="3821"/>
      <c r="Z220" s="3821"/>
      <c r="AA220" s="3821"/>
      <c r="AB220" s="3821"/>
      <c r="AC220" s="3821"/>
    </row>
    <row r="221" spans="1:29" s="3824" customFormat="1">
      <c r="A221" s="3821"/>
      <c r="B221" s="3821"/>
      <c r="C221" s="3821"/>
      <c r="D221" s="3821"/>
      <c r="E221" s="3821"/>
      <c r="F221" s="3821"/>
      <c r="G221" s="3821"/>
      <c r="H221" s="3821"/>
      <c r="I221" s="3821"/>
      <c r="J221" s="3821"/>
      <c r="K221" s="3822"/>
      <c r="L221" s="3823"/>
      <c r="M221" s="3821"/>
      <c r="N221" s="3821"/>
      <c r="O221" s="3821"/>
      <c r="P221" s="3821"/>
      <c r="Q221" s="3821"/>
      <c r="R221" s="3821"/>
      <c r="S221" s="3821"/>
      <c r="T221" s="3821"/>
      <c r="U221" s="3821"/>
      <c r="V221" s="3821"/>
      <c r="W221" s="3821"/>
      <c r="X221" s="3821"/>
      <c r="Y221" s="3821"/>
      <c r="Z221" s="3821"/>
      <c r="AA221" s="3821"/>
      <c r="AB221" s="3821"/>
      <c r="AC221" s="3821"/>
    </row>
    <row r="222" spans="1:29" s="3824" customFormat="1">
      <c r="A222" s="3821"/>
      <c r="B222" s="3821"/>
      <c r="C222" s="3821"/>
      <c r="D222" s="3821"/>
      <c r="E222" s="3821"/>
      <c r="F222" s="3821"/>
      <c r="G222" s="3821"/>
      <c r="H222" s="3821"/>
      <c r="I222" s="3821"/>
      <c r="J222" s="3821"/>
      <c r="K222" s="3822"/>
      <c r="L222" s="3823"/>
      <c r="M222" s="3821"/>
      <c r="N222" s="3821"/>
      <c r="O222" s="3821"/>
      <c r="P222" s="3821"/>
      <c r="Q222" s="3821"/>
      <c r="R222" s="3821"/>
      <c r="S222" s="3821"/>
      <c r="T222" s="3821"/>
      <c r="U222" s="3821"/>
      <c r="V222" s="3821"/>
      <c r="W222" s="3821"/>
      <c r="X222" s="3821"/>
      <c r="Y222" s="3821"/>
      <c r="Z222" s="3821"/>
      <c r="AA222" s="3821"/>
      <c r="AB222" s="3821"/>
      <c r="AC222" s="3821"/>
    </row>
    <row r="223" spans="1:29" s="3824" customFormat="1">
      <c r="A223" s="3821"/>
      <c r="B223" s="3821"/>
      <c r="C223" s="3821"/>
      <c r="D223" s="3821"/>
      <c r="E223" s="3821"/>
      <c r="F223" s="3821"/>
      <c r="G223" s="3821"/>
      <c r="H223" s="3821"/>
      <c r="I223" s="3821"/>
      <c r="J223" s="3821"/>
      <c r="K223" s="3822"/>
      <c r="L223" s="3823"/>
      <c r="M223" s="3821"/>
      <c r="N223" s="3821"/>
      <c r="O223" s="3821"/>
      <c r="P223" s="3821"/>
      <c r="Q223" s="3821"/>
      <c r="R223" s="3821"/>
      <c r="S223" s="3821"/>
      <c r="T223" s="3821"/>
      <c r="U223" s="3821"/>
      <c r="V223" s="3821"/>
      <c r="W223" s="3821"/>
      <c r="X223" s="3821"/>
      <c r="Y223" s="3821"/>
      <c r="Z223" s="3821"/>
      <c r="AA223" s="3821"/>
      <c r="AB223" s="3821"/>
      <c r="AC223" s="3821"/>
    </row>
    <row r="224" spans="1:29" s="3824" customFormat="1">
      <c r="A224" s="3821"/>
      <c r="B224" s="3821"/>
      <c r="C224" s="3821"/>
      <c r="D224" s="3821"/>
      <c r="E224" s="3821"/>
      <c r="F224" s="3821"/>
      <c r="G224" s="3821"/>
      <c r="H224" s="3821"/>
      <c r="I224" s="3821"/>
      <c r="J224" s="3821"/>
      <c r="K224" s="3822"/>
      <c r="L224" s="3823"/>
      <c r="M224" s="3821"/>
      <c r="N224" s="3821"/>
      <c r="O224" s="3821"/>
      <c r="P224" s="3821"/>
      <c r="Q224" s="3821"/>
      <c r="R224" s="3821"/>
      <c r="S224" s="3821"/>
      <c r="T224" s="3821"/>
      <c r="U224" s="3821"/>
      <c r="V224" s="3821"/>
      <c r="W224" s="3821"/>
      <c r="X224" s="3821"/>
      <c r="Y224" s="3821"/>
      <c r="Z224" s="3821"/>
      <c r="AA224" s="3821"/>
      <c r="AB224" s="3821"/>
      <c r="AC224" s="3821"/>
    </row>
    <row r="225" spans="1:29" s="3824" customFormat="1">
      <c r="A225" s="3821"/>
      <c r="B225" s="3821"/>
      <c r="C225" s="3821"/>
      <c r="D225" s="3821"/>
      <c r="E225" s="3821"/>
      <c r="F225" s="3821"/>
      <c r="G225" s="3821"/>
      <c r="H225" s="3821"/>
      <c r="I225" s="3821"/>
      <c r="J225" s="3821"/>
      <c r="K225" s="3822"/>
      <c r="L225" s="3823"/>
      <c r="M225" s="3821"/>
      <c r="N225" s="3821"/>
      <c r="O225" s="3821"/>
      <c r="P225" s="3821"/>
      <c r="Q225" s="3821"/>
      <c r="R225" s="3821"/>
      <c r="S225" s="3821"/>
      <c r="T225" s="3821"/>
      <c r="U225" s="3821"/>
      <c r="V225" s="3821"/>
      <c r="W225" s="3821"/>
      <c r="X225" s="3821"/>
      <c r="Y225" s="3821"/>
      <c r="Z225" s="3821"/>
      <c r="AA225" s="3821"/>
      <c r="AB225" s="3821"/>
      <c r="AC225" s="3821"/>
    </row>
    <row r="226" spans="1:29" s="3824" customFormat="1">
      <c r="A226" s="3821"/>
      <c r="B226" s="3821"/>
      <c r="C226" s="3821"/>
      <c r="D226" s="3821"/>
      <c r="E226" s="3821"/>
      <c r="F226" s="3821"/>
      <c r="G226" s="3821"/>
      <c r="H226" s="3821"/>
      <c r="I226" s="3821"/>
      <c r="J226" s="3821"/>
      <c r="K226" s="3822"/>
      <c r="L226" s="3823"/>
      <c r="M226" s="3821"/>
      <c r="N226" s="3821"/>
      <c r="O226" s="3821"/>
      <c r="P226" s="3821"/>
      <c r="Q226" s="3821"/>
      <c r="R226" s="3821"/>
      <c r="S226" s="3821"/>
      <c r="T226" s="3821"/>
      <c r="U226" s="3821"/>
      <c r="V226" s="3821"/>
      <c r="W226" s="3821"/>
      <c r="X226" s="3821"/>
      <c r="Y226" s="3821"/>
      <c r="Z226" s="3821"/>
      <c r="AA226" s="3821"/>
      <c r="AB226" s="3821"/>
      <c r="AC226" s="3821"/>
    </row>
    <row r="227" spans="1:29" s="3824" customFormat="1">
      <c r="A227" s="3821"/>
      <c r="B227" s="3821"/>
      <c r="C227" s="3821"/>
      <c r="D227" s="3821"/>
      <c r="E227" s="3821"/>
      <c r="F227" s="3821"/>
      <c r="G227" s="3821"/>
      <c r="H227" s="3821"/>
      <c r="I227" s="3821"/>
      <c r="J227" s="3821"/>
      <c r="K227" s="3822"/>
      <c r="L227" s="3823"/>
      <c r="M227" s="3821"/>
      <c r="N227" s="3821"/>
      <c r="O227" s="3821"/>
      <c r="P227" s="3821"/>
      <c r="Q227" s="3821"/>
      <c r="R227" s="3821"/>
      <c r="S227" s="3821"/>
      <c r="T227" s="3821"/>
      <c r="U227" s="3821"/>
      <c r="V227" s="3821"/>
      <c r="W227" s="3821"/>
      <c r="X227" s="3821"/>
      <c r="Y227" s="3821"/>
      <c r="Z227" s="3821"/>
      <c r="AA227" s="3821"/>
      <c r="AB227" s="3821"/>
      <c r="AC227" s="3821"/>
    </row>
    <row r="228" spans="1:29" s="3824" customFormat="1">
      <c r="A228" s="3821"/>
      <c r="B228" s="3821"/>
      <c r="C228" s="3821"/>
      <c r="D228" s="3821"/>
      <c r="E228" s="3821"/>
      <c r="F228" s="3821"/>
      <c r="G228" s="3821"/>
      <c r="H228" s="3821"/>
      <c r="I228" s="3821"/>
      <c r="J228" s="3821"/>
      <c r="K228" s="3822"/>
      <c r="L228" s="3823"/>
      <c r="M228" s="3821"/>
      <c r="N228" s="3821"/>
      <c r="O228" s="3821"/>
      <c r="P228" s="3821"/>
      <c r="Q228" s="3821"/>
      <c r="R228" s="3821"/>
      <c r="S228" s="3821"/>
      <c r="T228" s="3821"/>
      <c r="U228" s="3821"/>
      <c r="V228" s="3821"/>
      <c r="W228" s="3821"/>
      <c r="X228" s="3821"/>
      <c r="Y228" s="3821"/>
      <c r="Z228" s="3821"/>
      <c r="AA228" s="3821"/>
      <c r="AB228" s="3821"/>
      <c r="AC228" s="3821"/>
    </row>
    <row r="229" spans="1:29" s="3824" customFormat="1">
      <c r="A229" s="3821"/>
      <c r="B229" s="3821"/>
      <c r="C229" s="3821"/>
      <c r="D229" s="3821"/>
      <c r="E229" s="3821"/>
      <c r="F229" s="3821"/>
      <c r="G229" s="3821"/>
      <c r="H229" s="3821"/>
      <c r="I229" s="3821"/>
      <c r="J229" s="3821"/>
      <c r="K229" s="3822"/>
      <c r="L229" s="3823"/>
      <c r="M229" s="3821"/>
      <c r="N229" s="3821"/>
      <c r="O229" s="3821"/>
      <c r="P229" s="3821"/>
      <c r="Q229" s="3821"/>
      <c r="R229" s="3821"/>
      <c r="S229" s="3821"/>
      <c r="T229" s="3821"/>
      <c r="U229" s="3821"/>
      <c r="V229" s="3821"/>
      <c r="W229" s="3821"/>
      <c r="X229" s="3821"/>
      <c r="Y229" s="3821"/>
      <c r="Z229" s="3821"/>
      <c r="AA229" s="3821"/>
      <c r="AB229" s="3821"/>
      <c r="AC229" s="3821"/>
    </row>
    <row r="230" spans="1:29" s="3824" customFormat="1">
      <c r="A230" s="3821"/>
      <c r="B230" s="3821"/>
      <c r="C230" s="3821"/>
      <c r="D230" s="3821"/>
      <c r="E230" s="3821"/>
      <c r="F230" s="3821"/>
      <c r="G230" s="3821"/>
      <c r="H230" s="3821"/>
      <c r="I230" s="3821"/>
      <c r="J230" s="3821"/>
      <c r="K230" s="3822"/>
      <c r="L230" s="3823"/>
      <c r="M230" s="3821"/>
      <c r="N230" s="3821"/>
      <c r="O230" s="3821"/>
      <c r="P230" s="3821"/>
      <c r="Q230" s="3821"/>
      <c r="R230" s="3821"/>
      <c r="S230" s="3821"/>
      <c r="T230" s="3821"/>
      <c r="U230" s="3821"/>
      <c r="V230" s="3821"/>
      <c r="W230" s="3821"/>
      <c r="X230" s="3821"/>
      <c r="Y230" s="3821"/>
      <c r="Z230" s="3821"/>
      <c r="AA230" s="3821"/>
      <c r="AB230" s="3821"/>
      <c r="AC230" s="3821"/>
    </row>
    <row r="231" spans="1:29" s="3824" customFormat="1">
      <c r="A231" s="3821"/>
      <c r="B231" s="3821"/>
      <c r="C231" s="3821"/>
      <c r="D231" s="3821"/>
      <c r="E231" s="3821"/>
      <c r="F231" s="3821"/>
      <c r="G231" s="3821"/>
      <c r="H231" s="3821"/>
      <c r="I231" s="3821"/>
      <c r="J231" s="3821"/>
      <c r="K231" s="3822"/>
      <c r="L231" s="3823"/>
      <c r="M231" s="3821"/>
      <c r="N231" s="3821"/>
      <c r="O231" s="3821"/>
      <c r="P231" s="3821"/>
      <c r="Q231" s="3821"/>
      <c r="R231" s="3821"/>
      <c r="S231" s="3821"/>
      <c r="T231" s="3821"/>
      <c r="U231" s="3821"/>
      <c r="V231" s="3821"/>
      <c r="W231" s="3821"/>
      <c r="X231" s="3821"/>
      <c r="Y231" s="3821"/>
      <c r="Z231" s="3821"/>
      <c r="AA231" s="3821"/>
      <c r="AB231" s="3821"/>
      <c r="AC231" s="3821"/>
    </row>
    <row r="232" spans="1:29" s="3824" customFormat="1">
      <c r="A232" s="3821"/>
      <c r="B232" s="3821"/>
      <c r="C232" s="3821"/>
      <c r="D232" s="3821"/>
      <c r="E232" s="3821"/>
      <c r="F232" s="3821"/>
      <c r="G232" s="3821"/>
      <c r="H232" s="3821"/>
      <c r="I232" s="3821"/>
      <c r="J232" s="3821"/>
      <c r="K232" s="3822"/>
      <c r="L232" s="3823"/>
      <c r="M232" s="3821"/>
      <c r="N232" s="3821"/>
      <c r="O232" s="3821"/>
      <c r="P232" s="3821"/>
      <c r="Q232" s="3821"/>
      <c r="R232" s="3821"/>
      <c r="S232" s="3821"/>
      <c r="T232" s="3821"/>
      <c r="U232" s="3821"/>
      <c r="V232" s="3821"/>
      <c r="W232" s="3821"/>
      <c r="X232" s="3821"/>
      <c r="Y232" s="3821"/>
      <c r="Z232" s="3821"/>
      <c r="AA232" s="3821"/>
      <c r="AB232" s="3821"/>
      <c r="AC232" s="3821"/>
    </row>
    <row r="233" spans="1:29" s="3824" customFormat="1">
      <c r="A233" s="3821"/>
      <c r="B233" s="3821"/>
      <c r="C233" s="3821"/>
      <c r="D233" s="3821"/>
      <c r="E233" s="3821"/>
      <c r="F233" s="3821"/>
      <c r="G233" s="3821"/>
      <c r="H233" s="3821"/>
      <c r="I233" s="3821"/>
      <c r="J233" s="3821"/>
      <c r="K233" s="3822"/>
      <c r="L233" s="3823"/>
      <c r="M233" s="3821"/>
      <c r="N233" s="3821"/>
      <c r="O233" s="3821"/>
      <c r="P233" s="3821"/>
      <c r="Q233" s="3821"/>
      <c r="R233" s="3821"/>
      <c r="S233" s="3821"/>
      <c r="T233" s="3821"/>
      <c r="U233" s="3821"/>
      <c r="V233" s="3821"/>
      <c r="W233" s="3821"/>
      <c r="X233" s="3821"/>
      <c r="Y233" s="3821"/>
      <c r="Z233" s="3821"/>
      <c r="AA233" s="3821"/>
      <c r="AB233" s="3821"/>
      <c r="AC233" s="3821"/>
    </row>
    <row r="234" spans="1:29" s="3824" customFormat="1">
      <c r="A234" s="3821"/>
      <c r="B234" s="3821"/>
      <c r="C234" s="3821"/>
      <c r="D234" s="3821"/>
      <c r="E234" s="3821"/>
      <c r="F234" s="3821"/>
      <c r="G234" s="3821"/>
      <c r="H234" s="3821"/>
      <c r="I234" s="3821"/>
      <c r="J234" s="3821"/>
      <c r="K234" s="3822"/>
      <c r="L234" s="3823"/>
      <c r="M234" s="3821"/>
      <c r="N234" s="3821"/>
      <c r="O234" s="3821"/>
      <c r="P234" s="3821"/>
      <c r="Q234" s="3821"/>
      <c r="R234" s="3821"/>
      <c r="S234" s="3821"/>
      <c r="T234" s="3821"/>
      <c r="U234" s="3821"/>
      <c r="V234" s="3821"/>
      <c r="W234" s="3821"/>
      <c r="X234" s="3821"/>
      <c r="Y234" s="3821"/>
      <c r="Z234" s="3821"/>
      <c r="AA234" s="3821"/>
      <c r="AB234" s="3821"/>
      <c r="AC234" s="3821"/>
    </row>
    <row r="235" spans="1:29" s="3824" customFormat="1">
      <c r="A235" s="3821"/>
      <c r="B235" s="3821"/>
      <c r="C235" s="3821"/>
      <c r="D235" s="3821"/>
      <c r="E235" s="3821"/>
      <c r="F235" s="3821"/>
      <c r="G235" s="3821"/>
      <c r="H235" s="3821"/>
      <c r="I235" s="3821"/>
      <c r="J235" s="3821"/>
      <c r="K235" s="3822"/>
      <c r="L235" s="3823"/>
      <c r="M235" s="3821"/>
      <c r="N235" s="3821"/>
      <c r="O235" s="3821"/>
      <c r="P235" s="3821"/>
      <c r="Q235" s="3821"/>
      <c r="R235" s="3821"/>
      <c r="S235" s="3821"/>
      <c r="T235" s="3821"/>
      <c r="U235" s="3821"/>
      <c r="V235" s="3821"/>
      <c r="W235" s="3821"/>
      <c r="X235" s="3821"/>
      <c r="Y235" s="3821"/>
      <c r="Z235" s="3821"/>
      <c r="AA235" s="3821"/>
      <c r="AB235" s="3821"/>
      <c r="AC235" s="3821"/>
    </row>
    <row r="236" spans="1:29" s="3824" customFormat="1">
      <c r="A236" s="3821"/>
      <c r="B236" s="3821"/>
      <c r="C236" s="3821"/>
      <c r="D236" s="3821"/>
      <c r="E236" s="3821"/>
      <c r="F236" s="3821"/>
      <c r="G236" s="3821"/>
      <c r="H236" s="3821"/>
      <c r="I236" s="3821"/>
      <c r="J236" s="3821"/>
      <c r="K236" s="3822"/>
      <c r="L236" s="3823"/>
      <c r="M236" s="3821"/>
      <c r="N236" s="3821"/>
      <c r="O236" s="3821"/>
      <c r="P236" s="3821"/>
      <c r="Q236" s="3821"/>
      <c r="R236" s="3821"/>
      <c r="S236" s="3821"/>
      <c r="T236" s="3821"/>
      <c r="U236" s="3821"/>
      <c r="V236" s="3821"/>
      <c r="W236" s="3821"/>
      <c r="X236" s="3821"/>
      <c r="Y236" s="3821"/>
      <c r="Z236" s="3821"/>
      <c r="AA236" s="3821"/>
      <c r="AB236" s="3821"/>
      <c r="AC236" s="3821"/>
    </row>
    <row r="237" spans="1:29" s="3824" customFormat="1">
      <c r="A237" s="3821"/>
      <c r="B237" s="3821"/>
      <c r="C237" s="3821"/>
      <c r="D237" s="3821"/>
      <c r="E237" s="3821"/>
      <c r="F237" s="3821"/>
      <c r="G237" s="3821"/>
      <c r="H237" s="3821"/>
      <c r="I237" s="3821"/>
      <c r="J237" s="3821"/>
      <c r="K237" s="3822"/>
      <c r="L237" s="3823"/>
      <c r="M237" s="3821"/>
      <c r="N237" s="3821"/>
      <c r="O237" s="3821"/>
      <c r="P237" s="3821"/>
      <c r="Q237" s="3821"/>
      <c r="R237" s="3821"/>
      <c r="S237" s="3821"/>
      <c r="T237" s="3821"/>
      <c r="U237" s="3821"/>
      <c r="V237" s="3821"/>
      <c r="W237" s="3821"/>
      <c r="X237" s="3821"/>
      <c r="Y237" s="3821"/>
      <c r="Z237" s="3821"/>
      <c r="AA237" s="3821"/>
      <c r="AB237" s="3821"/>
      <c r="AC237" s="3821"/>
    </row>
    <row r="238" spans="1:29" s="3824" customFormat="1">
      <c r="A238" s="3821"/>
      <c r="B238" s="3821"/>
      <c r="C238" s="3821"/>
      <c r="D238" s="3821"/>
      <c r="E238" s="3821"/>
      <c r="F238" s="3821"/>
      <c r="G238" s="3821"/>
      <c r="H238" s="3821"/>
      <c r="I238" s="3821"/>
      <c r="J238" s="3821"/>
      <c r="K238" s="3822"/>
      <c r="L238" s="3823"/>
      <c r="M238" s="3821"/>
      <c r="N238" s="3821"/>
      <c r="O238" s="3821"/>
      <c r="P238" s="3821"/>
      <c r="Q238" s="3821"/>
      <c r="R238" s="3821"/>
      <c r="S238" s="3821"/>
      <c r="T238" s="3821"/>
      <c r="U238" s="3821"/>
      <c r="V238" s="3821"/>
      <c r="W238" s="3821"/>
      <c r="X238" s="3821"/>
      <c r="Y238" s="3821"/>
      <c r="Z238" s="3821"/>
      <c r="AA238" s="3821"/>
      <c r="AB238" s="3821"/>
      <c r="AC238" s="3821"/>
    </row>
    <row r="239" spans="1:29" s="3824" customFormat="1">
      <c r="A239" s="3821"/>
      <c r="B239" s="3821"/>
      <c r="C239" s="3821"/>
      <c r="D239" s="3821"/>
      <c r="E239" s="3821"/>
      <c r="F239" s="3821"/>
      <c r="G239" s="3821"/>
      <c r="H239" s="3821"/>
      <c r="I239" s="3821"/>
      <c r="J239" s="3821"/>
      <c r="K239" s="3822"/>
      <c r="L239" s="3823"/>
      <c r="M239" s="3821"/>
      <c r="N239" s="3821"/>
      <c r="O239" s="3821"/>
      <c r="P239" s="3821"/>
      <c r="Q239" s="3821"/>
      <c r="R239" s="3821"/>
      <c r="S239" s="3821"/>
      <c r="T239" s="3821"/>
      <c r="U239" s="3821"/>
      <c r="V239" s="3821"/>
      <c r="W239" s="3821"/>
      <c r="X239" s="3821"/>
      <c r="Y239" s="3821"/>
      <c r="Z239" s="3821"/>
      <c r="AA239" s="3821"/>
      <c r="AB239" s="3821"/>
      <c r="AC239" s="3821"/>
    </row>
    <row r="240" spans="1:29" s="3824" customFormat="1">
      <c r="A240" s="3821"/>
      <c r="B240" s="3821"/>
      <c r="C240" s="3821"/>
      <c r="D240" s="3821"/>
      <c r="E240" s="3821"/>
      <c r="F240" s="3821"/>
      <c r="G240" s="3821"/>
      <c r="H240" s="3821"/>
      <c r="I240" s="3821"/>
      <c r="J240" s="3821"/>
      <c r="K240" s="3822"/>
      <c r="L240" s="3823"/>
      <c r="M240" s="3821"/>
      <c r="N240" s="3821"/>
      <c r="O240" s="3821"/>
      <c r="P240" s="3821"/>
      <c r="Q240" s="3821"/>
      <c r="R240" s="3821"/>
      <c r="S240" s="3821"/>
      <c r="T240" s="3821"/>
      <c r="U240" s="3821"/>
      <c r="V240" s="3821"/>
      <c r="W240" s="3821"/>
      <c r="X240" s="3821"/>
      <c r="Y240" s="3821"/>
      <c r="Z240" s="3821"/>
      <c r="AA240" s="3821"/>
      <c r="AB240" s="3821"/>
      <c r="AC240" s="3821"/>
    </row>
    <row r="241" spans="1:29" s="3824" customFormat="1">
      <c r="A241" s="3821"/>
      <c r="B241" s="3821"/>
      <c r="C241" s="3821"/>
      <c r="D241" s="3821"/>
      <c r="E241" s="3821"/>
      <c r="F241" s="3821"/>
      <c r="G241" s="3821"/>
      <c r="H241" s="3821"/>
      <c r="I241" s="3821"/>
      <c r="J241" s="3821"/>
      <c r="K241" s="3822"/>
      <c r="L241" s="3823"/>
      <c r="M241" s="3821"/>
      <c r="N241" s="3821"/>
      <c r="O241" s="3821"/>
      <c r="P241" s="3821"/>
      <c r="Q241" s="3821"/>
      <c r="R241" s="3821"/>
      <c r="S241" s="3821"/>
      <c r="T241" s="3821"/>
      <c r="U241" s="3821"/>
      <c r="V241" s="3821"/>
      <c r="W241" s="3821"/>
      <c r="X241" s="3821"/>
      <c r="Y241" s="3821"/>
      <c r="Z241" s="3821"/>
      <c r="AA241" s="3821"/>
      <c r="AB241" s="3821"/>
      <c r="AC241" s="3821"/>
    </row>
    <row r="242" spans="1:29" s="3824" customFormat="1">
      <c r="A242" s="3821"/>
      <c r="B242" s="3821"/>
      <c r="C242" s="3821"/>
      <c r="D242" s="3821"/>
      <c r="E242" s="3821"/>
      <c r="F242" s="3821"/>
      <c r="G242" s="3821"/>
      <c r="H242" s="3821"/>
      <c r="I242" s="3821"/>
      <c r="J242" s="3821"/>
      <c r="K242" s="3822"/>
      <c r="L242" s="3823"/>
      <c r="M242" s="3821"/>
      <c r="N242" s="3821"/>
      <c r="O242" s="3821"/>
      <c r="P242" s="3821"/>
      <c r="Q242" s="3821"/>
      <c r="R242" s="3821"/>
      <c r="S242" s="3821"/>
      <c r="T242" s="3821"/>
      <c r="U242" s="3821"/>
      <c r="V242" s="3821"/>
      <c r="W242" s="3821"/>
      <c r="X242" s="3821"/>
      <c r="Y242" s="3821"/>
      <c r="Z242" s="3821"/>
      <c r="AA242" s="3821"/>
      <c r="AB242" s="3821"/>
      <c r="AC242" s="3821"/>
    </row>
    <row r="243" spans="1:29" s="3824" customFormat="1">
      <c r="A243" s="3821"/>
      <c r="B243" s="3821"/>
      <c r="C243" s="3821"/>
      <c r="D243" s="3821"/>
      <c r="E243" s="3821"/>
      <c r="F243" s="3821"/>
      <c r="G243" s="3821"/>
      <c r="H243" s="3821"/>
      <c r="I243" s="3821"/>
      <c r="J243" s="3821"/>
      <c r="K243" s="3822"/>
      <c r="L243" s="3823"/>
      <c r="M243" s="3821"/>
      <c r="N243" s="3821"/>
      <c r="O243" s="3821"/>
      <c r="P243" s="3821"/>
      <c r="Q243" s="3821"/>
      <c r="R243" s="3821"/>
      <c r="S243" s="3821"/>
      <c r="T243" s="3821"/>
      <c r="U243" s="3821"/>
      <c r="V243" s="3821"/>
      <c r="W243" s="3821"/>
      <c r="X243" s="3821"/>
      <c r="Y243" s="3821"/>
      <c r="Z243" s="3821"/>
      <c r="AA243" s="3821"/>
      <c r="AB243" s="3821"/>
      <c r="AC243" s="3821"/>
    </row>
    <row r="244" spans="1:29" s="3824" customFormat="1">
      <c r="A244" s="3821"/>
      <c r="B244" s="3821"/>
      <c r="C244" s="3821"/>
      <c r="D244" s="3821"/>
      <c r="E244" s="3821"/>
      <c r="F244" s="3821"/>
      <c r="G244" s="3821"/>
      <c r="H244" s="3821"/>
      <c r="I244" s="3821"/>
      <c r="J244" s="3821"/>
      <c r="K244" s="3822"/>
      <c r="L244" s="3823"/>
      <c r="M244" s="3821"/>
      <c r="N244" s="3821"/>
      <c r="O244" s="3821"/>
      <c r="P244" s="3821"/>
      <c r="Q244" s="3821"/>
      <c r="R244" s="3821"/>
      <c r="S244" s="3821"/>
      <c r="T244" s="3821"/>
      <c r="U244" s="3821"/>
      <c r="V244" s="3821"/>
      <c r="W244" s="3821"/>
      <c r="X244" s="3821"/>
      <c r="Y244" s="3821"/>
      <c r="Z244" s="3821"/>
      <c r="AA244" s="3821"/>
      <c r="AB244" s="3821"/>
      <c r="AC244" s="3821"/>
    </row>
    <row r="245" spans="1:29" s="3824" customFormat="1">
      <c r="A245" s="3821"/>
      <c r="B245" s="3821"/>
      <c r="C245" s="3821"/>
      <c r="D245" s="3821"/>
      <c r="E245" s="3821"/>
      <c r="F245" s="3821"/>
      <c r="G245" s="3821"/>
      <c r="H245" s="3821"/>
      <c r="I245" s="3821"/>
      <c r="J245" s="3821"/>
      <c r="K245" s="3822"/>
      <c r="L245" s="3823"/>
      <c r="M245" s="3821"/>
      <c r="N245" s="3821"/>
      <c r="O245" s="3821"/>
      <c r="P245" s="3821"/>
      <c r="Q245" s="3821"/>
      <c r="R245" s="3821"/>
      <c r="S245" s="3821"/>
      <c r="T245" s="3821"/>
      <c r="U245" s="3821"/>
      <c r="V245" s="3821"/>
      <c r="W245" s="3821"/>
      <c r="X245" s="3821"/>
      <c r="Y245" s="3821"/>
      <c r="Z245" s="3821"/>
      <c r="AA245" s="3821"/>
      <c r="AB245" s="3821"/>
      <c r="AC245" s="3821"/>
    </row>
    <row r="246" spans="1:29" s="3824" customFormat="1">
      <c r="A246" s="3821"/>
      <c r="B246" s="3821"/>
      <c r="C246" s="3821"/>
      <c r="D246" s="3821"/>
      <c r="E246" s="3821"/>
      <c r="F246" s="3821"/>
      <c r="G246" s="3821"/>
      <c r="H246" s="3821"/>
      <c r="I246" s="3821"/>
      <c r="J246" s="3821"/>
      <c r="K246" s="3822"/>
      <c r="L246" s="3823"/>
      <c r="M246" s="3821"/>
      <c r="N246" s="3821"/>
      <c r="O246" s="3821"/>
      <c r="P246" s="3821"/>
      <c r="Q246" s="3821"/>
      <c r="R246" s="3821"/>
      <c r="S246" s="3821"/>
      <c r="T246" s="3821"/>
      <c r="U246" s="3821"/>
      <c r="V246" s="3821"/>
      <c r="W246" s="3821"/>
      <c r="X246" s="3821"/>
      <c r="Y246" s="3821"/>
      <c r="Z246" s="3821"/>
      <c r="AA246" s="3821"/>
      <c r="AB246" s="3821"/>
      <c r="AC246" s="3821"/>
    </row>
    <row r="247" spans="1:29" s="3824" customFormat="1">
      <c r="A247" s="3821"/>
      <c r="B247" s="3821"/>
      <c r="C247" s="3821"/>
      <c r="D247" s="3821"/>
      <c r="E247" s="3821"/>
      <c r="F247" s="3821"/>
      <c r="G247" s="3821"/>
      <c r="H247" s="3821"/>
      <c r="I247" s="3821"/>
      <c r="J247" s="3821"/>
      <c r="K247" s="3822"/>
      <c r="L247" s="3823"/>
      <c r="M247" s="3821"/>
      <c r="N247" s="3821"/>
      <c r="O247" s="3821"/>
      <c r="P247" s="3821"/>
      <c r="Q247" s="3821"/>
      <c r="R247" s="3821"/>
      <c r="S247" s="3821"/>
      <c r="T247" s="3821"/>
      <c r="U247" s="3821"/>
      <c r="V247" s="3821"/>
      <c r="W247" s="3821"/>
      <c r="X247" s="3821"/>
      <c r="Y247" s="3821"/>
      <c r="Z247" s="3821"/>
      <c r="AA247" s="3821"/>
      <c r="AB247" s="3821"/>
      <c r="AC247" s="3821"/>
    </row>
    <row r="248" spans="1:29" s="3824" customFormat="1">
      <c r="A248" s="3821"/>
      <c r="B248" s="3821"/>
      <c r="C248" s="3821"/>
      <c r="D248" s="3821"/>
      <c r="E248" s="3821"/>
      <c r="F248" s="3821"/>
      <c r="G248" s="3821"/>
      <c r="H248" s="3821"/>
      <c r="I248" s="3821"/>
      <c r="J248" s="3821"/>
      <c r="K248" s="3822"/>
      <c r="L248" s="3823"/>
      <c r="M248" s="3821"/>
      <c r="N248" s="3821"/>
      <c r="O248" s="3821"/>
      <c r="P248" s="3821"/>
      <c r="Q248" s="3821"/>
      <c r="R248" s="3821"/>
      <c r="S248" s="3821"/>
      <c r="T248" s="3821"/>
      <c r="U248" s="3821"/>
      <c r="V248" s="3821"/>
      <c r="W248" s="3821"/>
      <c r="X248" s="3821"/>
      <c r="Y248" s="3821"/>
      <c r="Z248" s="3821"/>
      <c r="AA248" s="3821"/>
      <c r="AB248" s="3821"/>
      <c r="AC248" s="3821"/>
    </row>
    <row r="249" spans="1:29" s="3824" customFormat="1">
      <c r="A249" s="3821"/>
      <c r="B249" s="3821"/>
      <c r="C249" s="3821"/>
      <c r="D249" s="3821"/>
      <c r="E249" s="3821"/>
      <c r="F249" s="3821"/>
      <c r="G249" s="3821"/>
      <c r="H249" s="3821"/>
      <c r="I249" s="3821"/>
      <c r="J249" s="3821"/>
      <c r="K249" s="3822"/>
      <c r="L249" s="3823"/>
      <c r="M249" s="3821"/>
      <c r="N249" s="3821"/>
      <c r="O249" s="3821"/>
      <c r="P249" s="3821"/>
      <c r="Q249" s="3821"/>
      <c r="R249" s="3821"/>
      <c r="S249" s="3821"/>
      <c r="T249" s="3821"/>
      <c r="U249" s="3821"/>
      <c r="V249" s="3821"/>
      <c r="W249" s="3821"/>
      <c r="X249" s="3821"/>
      <c r="Y249" s="3821"/>
      <c r="Z249" s="3821"/>
      <c r="AA249" s="3821"/>
      <c r="AB249" s="3821"/>
      <c r="AC249" s="3821"/>
    </row>
    <row r="250" spans="1:29" s="3824" customFormat="1">
      <c r="A250" s="3821"/>
      <c r="B250" s="3821"/>
      <c r="C250" s="3821"/>
      <c r="D250" s="3821"/>
      <c r="E250" s="3821"/>
      <c r="F250" s="3821"/>
      <c r="G250" s="3821"/>
      <c r="H250" s="3821"/>
      <c r="I250" s="3821"/>
      <c r="J250" s="3821"/>
      <c r="K250" s="3822"/>
      <c r="L250" s="3823"/>
      <c r="M250" s="3821"/>
      <c r="N250" s="3821"/>
      <c r="O250" s="3821"/>
      <c r="P250" s="3821"/>
      <c r="Q250" s="3821"/>
      <c r="R250" s="3821"/>
      <c r="S250" s="3821"/>
      <c r="T250" s="3821"/>
      <c r="U250" s="3821"/>
      <c r="V250" s="3821"/>
      <c r="W250" s="3821"/>
      <c r="X250" s="3821"/>
      <c r="Y250" s="3821"/>
      <c r="Z250" s="3821"/>
      <c r="AA250" s="3821"/>
      <c r="AB250" s="3821"/>
      <c r="AC250" s="3821"/>
    </row>
    <row r="251" spans="1:29" s="3824" customFormat="1">
      <c r="A251" s="3821"/>
      <c r="B251" s="3821"/>
      <c r="C251" s="3821"/>
      <c r="D251" s="3821"/>
      <c r="E251" s="3821"/>
      <c r="F251" s="3821"/>
      <c r="G251" s="3821"/>
      <c r="H251" s="3821"/>
      <c r="I251" s="3821"/>
      <c r="J251" s="3821"/>
      <c r="K251" s="3822"/>
      <c r="L251" s="3823"/>
      <c r="M251" s="3821"/>
      <c r="N251" s="3821"/>
      <c r="O251" s="3821"/>
      <c r="P251" s="3821"/>
      <c r="Q251" s="3821"/>
      <c r="R251" s="3821"/>
      <c r="S251" s="3821"/>
      <c r="T251" s="3821"/>
      <c r="U251" s="3821"/>
      <c r="V251" s="3821"/>
      <c r="W251" s="3821"/>
      <c r="X251" s="3821"/>
      <c r="Y251" s="3821"/>
      <c r="Z251" s="3821"/>
      <c r="AA251" s="3821"/>
      <c r="AB251" s="3821"/>
      <c r="AC251" s="3821"/>
    </row>
    <row r="252" spans="1:29" s="3824" customFormat="1">
      <c r="A252" s="3821"/>
      <c r="B252" s="3821"/>
      <c r="C252" s="3821"/>
      <c r="D252" s="3821"/>
      <c r="E252" s="3821"/>
      <c r="F252" s="3821"/>
      <c r="G252" s="3821"/>
      <c r="H252" s="3821"/>
      <c r="I252" s="3821"/>
      <c r="J252" s="3821"/>
      <c r="K252" s="3822"/>
      <c r="L252" s="3823"/>
      <c r="M252" s="3821"/>
      <c r="N252" s="3821"/>
      <c r="O252" s="3821"/>
      <c r="P252" s="3821"/>
      <c r="Q252" s="3821"/>
      <c r="R252" s="3821"/>
      <c r="S252" s="3821"/>
      <c r="T252" s="3821"/>
      <c r="U252" s="3821"/>
      <c r="V252" s="3821"/>
      <c r="W252" s="3821"/>
      <c r="X252" s="3821"/>
      <c r="Y252" s="3821"/>
      <c r="Z252" s="3821"/>
      <c r="AA252" s="3821"/>
      <c r="AB252" s="3821"/>
      <c r="AC252" s="3821"/>
    </row>
    <row r="253" spans="1:29" s="3824" customFormat="1">
      <c r="A253" s="3821"/>
      <c r="B253" s="3821"/>
      <c r="C253" s="3821"/>
      <c r="D253" s="3821"/>
      <c r="E253" s="3821"/>
      <c r="F253" s="3821"/>
      <c r="G253" s="3821"/>
      <c r="H253" s="3821"/>
      <c r="I253" s="3821"/>
      <c r="J253" s="3821"/>
      <c r="K253" s="3822"/>
      <c r="L253" s="3823"/>
      <c r="M253" s="3821"/>
      <c r="N253" s="3821"/>
      <c r="O253" s="3821"/>
      <c r="P253" s="3821"/>
      <c r="Q253" s="3821"/>
      <c r="R253" s="3821"/>
      <c r="S253" s="3821"/>
      <c r="T253" s="3821"/>
      <c r="U253" s="3821"/>
      <c r="V253" s="3821"/>
      <c r="W253" s="3821"/>
      <c r="X253" s="3821"/>
      <c r="Y253" s="3821"/>
      <c r="Z253" s="3821"/>
      <c r="AA253" s="3821"/>
      <c r="AB253" s="3821"/>
      <c r="AC253" s="3821"/>
    </row>
    <row r="254" spans="1:29" s="3824" customFormat="1">
      <c r="A254" s="3821"/>
      <c r="B254" s="3821"/>
      <c r="C254" s="3821"/>
      <c r="D254" s="3821"/>
      <c r="E254" s="3821"/>
      <c r="F254" s="3821"/>
      <c r="G254" s="3821"/>
      <c r="H254" s="3821"/>
      <c r="I254" s="3821"/>
      <c r="J254" s="3821"/>
      <c r="K254" s="3822"/>
      <c r="L254" s="3823"/>
      <c r="M254" s="3821"/>
      <c r="N254" s="3821"/>
      <c r="O254" s="3821"/>
      <c r="P254" s="3821"/>
      <c r="Q254" s="3821"/>
      <c r="R254" s="3821"/>
      <c r="S254" s="3821"/>
      <c r="T254" s="3821"/>
      <c r="U254" s="3821"/>
      <c r="V254" s="3821"/>
      <c r="W254" s="3821"/>
      <c r="X254" s="3821"/>
      <c r="Y254" s="3821"/>
      <c r="Z254" s="3821"/>
      <c r="AA254" s="3821"/>
      <c r="AB254" s="3821"/>
      <c r="AC254" s="3821"/>
    </row>
    <row r="255" spans="1:29" s="3824" customFormat="1">
      <c r="A255" s="3821"/>
      <c r="B255" s="3821"/>
      <c r="C255" s="3821"/>
      <c r="D255" s="3821"/>
      <c r="E255" s="3821"/>
      <c r="F255" s="3821"/>
      <c r="G255" s="3821"/>
      <c r="H255" s="3821"/>
      <c r="I255" s="3821"/>
      <c r="J255" s="3821"/>
      <c r="K255" s="3822"/>
      <c r="L255" s="3823"/>
      <c r="M255" s="3821"/>
      <c r="N255" s="3821"/>
      <c r="O255" s="3821"/>
      <c r="P255" s="3821"/>
      <c r="Q255" s="3821"/>
      <c r="R255" s="3821"/>
      <c r="S255" s="3821"/>
      <c r="T255" s="3821"/>
      <c r="U255" s="3821"/>
      <c r="V255" s="3821"/>
      <c r="W255" s="3821"/>
      <c r="X255" s="3821"/>
      <c r="Y255" s="3821"/>
      <c r="Z255" s="3821"/>
      <c r="AA255" s="3821"/>
      <c r="AB255" s="3821"/>
      <c r="AC255" s="3821"/>
    </row>
    <row r="256" spans="1:29" s="3824" customFormat="1">
      <c r="K256" s="3825"/>
      <c r="L256" s="3826"/>
    </row>
    <row r="257" spans="11:12" s="3824" customFormat="1">
      <c r="K257" s="3825"/>
      <c r="L257" s="3826"/>
    </row>
    <row r="258" spans="11:12" s="3824" customFormat="1">
      <c r="K258" s="3825"/>
      <c r="L258" s="3826"/>
    </row>
    <row r="259" spans="11:12" s="3824" customFormat="1">
      <c r="K259" s="3825"/>
      <c r="L259" s="3826"/>
    </row>
  </sheetData>
  <sheetProtection password="CEE9" sheet="1" objects="1" scenarios="1" formatCells="0" formatColumns="0" formatRows="0"/>
  <mergeCells count="42">
    <mergeCell ref="G57:H58"/>
    <mergeCell ref="G59:G62"/>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A10" workbookViewId="0">
      <selection activeCell="M32" sqref="M32"/>
    </sheetView>
  </sheetViews>
  <sheetFormatPr defaultRowHeight="12.75"/>
  <cols>
    <col min="1" max="1" width="25.375" style="3829" customWidth="1"/>
    <col min="2" max="2" width="14.5" style="3829" customWidth="1"/>
    <col min="3" max="3" width="11.75" style="3829" customWidth="1"/>
    <col min="4" max="4" width="13.875" style="3829" customWidth="1"/>
    <col min="5" max="5" width="7.75" style="3829" customWidth="1"/>
    <col min="6" max="6" width="19" style="3829" customWidth="1"/>
    <col min="7" max="7" width="6.375" style="3829" customWidth="1"/>
    <col min="8" max="8" width="11.25" style="3829" customWidth="1"/>
    <col min="9" max="9" width="7.875" style="3829" hidden="1" customWidth="1"/>
    <col min="10" max="11" width="9" style="3829" customWidth="1"/>
    <col min="12" max="13" width="10.625" style="3829" customWidth="1"/>
    <col min="14" max="14" width="14.375" style="3829" customWidth="1"/>
    <col min="15" max="15" width="9.75" style="3829" customWidth="1"/>
    <col min="16" max="16" width="6.25" style="3829" customWidth="1"/>
    <col min="17" max="17" width="32.625" style="3829" customWidth="1"/>
    <col min="18" max="18" width="7.875" style="3829" customWidth="1"/>
    <col min="19" max="19" width="9" style="3832"/>
    <col min="20" max="256" width="9" style="3829"/>
    <col min="257" max="257" width="25.375" style="3829" customWidth="1"/>
    <col min="258" max="258" width="14.5" style="3829" customWidth="1"/>
    <col min="259" max="259" width="11.75" style="3829" customWidth="1"/>
    <col min="260" max="261" width="13.875" style="3829" customWidth="1"/>
    <col min="262" max="262" width="10.5" style="3829" customWidth="1"/>
    <col min="263" max="263" width="6.375" style="3829" customWidth="1"/>
    <col min="264" max="264" width="11.25" style="3829" customWidth="1"/>
    <col min="265" max="265" width="0" style="3829" hidden="1" customWidth="1"/>
    <col min="266" max="267" width="9" style="3829" customWidth="1"/>
    <col min="268" max="269" width="10.625" style="3829" customWidth="1"/>
    <col min="270" max="270" width="14.375" style="3829" customWidth="1"/>
    <col min="271" max="271" width="9.75" style="3829" customWidth="1"/>
    <col min="272" max="272" width="6.25" style="3829" customWidth="1"/>
    <col min="273" max="273" width="32.625" style="3829" customWidth="1"/>
    <col min="274" max="274" width="7.875" style="3829" customWidth="1"/>
    <col min="275" max="512" width="9" style="3829"/>
    <col min="513" max="513" width="25.375" style="3829" customWidth="1"/>
    <col min="514" max="514" width="14.5" style="3829" customWidth="1"/>
    <col min="515" max="515" width="11.75" style="3829" customWidth="1"/>
    <col min="516" max="517" width="13.875" style="3829" customWidth="1"/>
    <col min="518" max="518" width="10.5" style="3829" customWidth="1"/>
    <col min="519" max="519" width="6.375" style="3829" customWidth="1"/>
    <col min="520" max="520" width="11.25" style="3829" customWidth="1"/>
    <col min="521" max="521" width="0" style="3829" hidden="1" customWidth="1"/>
    <col min="522" max="523" width="9" style="3829" customWidth="1"/>
    <col min="524" max="525" width="10.625" style="3829" customWidth="1"/>
    <col min="526" max="526" width="14.375" style="3829" customWidth="1"/>
    <col min="527" max="527" width="9.75" style="3829" customWidth="1"/>
    <col min="528" max="528" width="6.25" style="3829" customWidth="1"/>
    <col min="529" max="529" width="32.625" style="3829" customWidth="1"/>
    <col min="530" max="530" width="7.875" style="3829" customWidth="1"/>
    <col min="531" max="768" width="9" style="3829"/>
    <col min="769" max="769" width="25.375" style="3829" customWidth="1"/>
    <col min="770" max="770" width="14.5" style="3829" customWidth="1"/>
    <col min="771" max="771" width="11.75" style="3829" customWidth="1"/>
    <col min="772" max="773" width="13.875" style="3829" customWidth="1"/>
    <col min="774" max="774" width="10.5" style="3829" customWidth="1"/>
    <col min="775" max="775" width="6.375" style="3829" customWidth="1"/>
    <col min="776" max="776" width="11.25" style="3829" customWidth="1"/>
    <col min="777" max="777" width="0" style="3829" hidden="1" customWidth="1"/>
    <col min="778" max="779" width="9" style="3829" customWidth="1"/>
    <col min="780" max="781" width="10.625" style="3829" customWidth="1"/>
    <col min="782" max="782" width="14.375" style="3829" customWidth="1"/>
    <col min="783" max="783" width="9.75" style="3829" customWidth="1"/>
    <col min="784" max="784" width="6.25" style="3829" customWidth="1"/>
    <col min="785" max="785" width="32.625" style="3829" customWidth="1"/>
    <col min="786" max="786" width="7.875" style="3829" customWidth="1"/>
    <col min="787" max="1024" width="9" style="3829"/>
    <col min="1025" max="1025" width="25.375" style="3829" customWidth="1"/>
    <col min="1026" max="1026" width="14.5" style="3829" customWidth="1"/>
    <col min="1027" max="1027" width="11.75" style="3829" customWidth="1"/>
    <col min="1028" max="1029" width="13.875" style="3829" customWidth="1"/>
    <col min="1030" max="1030" width="10.5" style="3829" customWidth="1"/>
    <col min="1031" max="1031" width="6.375" style="3829" customWidth="1"/>
    <col min="1032" max="1032" width="11.25" style="3829" customWidth="1"/>
    <col min="1033" max="1033" width="0" style="3829" hidden="1" customWidth="1"/>
    <col min="1034" max="1035" width="9" style="3829" customWidth="1"/>
    <col min="1036" max="1037" width="10.625" style="3829" customWidth="1"/>
    <col min="1038" max="1038" width="14.375" style="3829" customWidth="1"/>
    <col min="1039" max="1039" width="9.75" style="3829" customWidth="1"/>
    <col min="1040" max="1040" width="6.25" style="3829" customWidth="1"/>
    <col min="1041" max="1041" width="32.625" style="3829" customWidth="1"/>
    <col min="1042" max="1042" width="7.875" style="3829" customWidth="1"/>
    <col min="1043" max="1280" width="9" style="3829"/>
    <col min="1281" max="1281" width="25.375" style="3829" customWidth="1"/>
    <col min="1282" max="1282" width="14.5" style="3829" customWidth="1"/>
    <col min="1283" max="1283" width="11.75" style="3829" customWidth="1"/>
    <col min="1284" max="1285" width="13.875" style="3829" customWidth="1"/>
    <col min="1286" max="1286" width="10.5" style="3829" customWidth="1"/>
    <col min="1287" max="1287" width="6.375" style="3829" customWidth="1"/>
    <col min="1288" max="1288" width="11.25" style="3829" customWidth="1"/>
    <col min="1289" max="1289" width="0" style="3829" hidden="1" customWidth="1"/>
    <col min="1290" max="1291" width="9" style="3829" customWidth="1"/>
    <col min="1292" max="1293" width="10.625" style="3829" customWidth="1"/>
    <col min="1294" max="1294" width="14.375" style="3829" customWidth="1"/>
    <col min="1295" max="1295" width="9.75" style="3829" customWidth="1"/>
    <col min="1296" max="1296" width="6.25" style="3829" customWidth="1"/>
    <col min="1297" max="1297" width="32.625" style="3829" customWidth="1"/>
    <col min="1298" max="1298" width="7.875" style="3829" customWidth="1"/>
    <col min="1299" max="1536" width="9" style="3829"/>
    <col min="1537" max="1537" width="25.375" style="3829" customWidth="1"/>
    <col min="1538" max="1538" width="14.5" style="3829" customWidth="1"/>
    <col min="1539" max="1539" width="11.75" style="3829" customWidth="1"/>
    <col min="1540" max="1541" width="13.875" style="3829" customWidth="1"/>
    <col min="1542" max="1542" width="10.5" style="3829" customWidth="1"/>
    <col min="1543" max="1543" width="6.375" style="3829" customWidth="1"/>
    <col min="1544" max="1544" width="11.25" style="3829" customWidth="1"/>
    <col min="1545" max="1545" width="0" style="3829" hidden="1" customWidth="1"/>
    <col min="1546" max="1547" width="9" style="3829" customWidth="1"/>
    <col min="1548" max="1549" width="10.625" style="3829" customWidth="1"/>
    <col min="1550" max="1550" width="14.375" style="3829" customWidth="1"/>
    <col min="1551" max="1551" width="9.75" style="3829" customWidth="1"/>
    <col min="1552" max="1552" width="6.25" style="3829" customWidth="1"/>
    <col min="1553" max="1553" width="32.625" style="3829" customWidth="1"/>
    <col min="1554" max="1554" width="7.875" style="3829" customWidth="1"/>
    <col min="1555" max="1792" width="9" style="3829"/>
    <col min="1793" max="1793" width="25.375" style="3829" customWidth="1"/>
    <col min="1794" max="1794" width="14.5" style="3829" customWidth="1"/>
    <col min="1795" max="1795" width="11.75" style="3829" customWidth="1"/>
    <col min="1796" max="1797" width="13.875" style="3829" customWidth="1"/>
    <col min="1798" max="1798" width="10.5" style="3829" customWidth="1"/>
    <col min="1799" max="1799" width="6.375" style="3829" customWidth="1"/>
    <col min="1800" max="1800" width="11.25" style="3829" customWidth="1"/>
    <col min="1801" max="1801" width="0" style="3829" hidden="1" customWidth="1"/>
    <col min="1802" max="1803" width="9" style="3829" customWidth="1"/>
    <col min="1804" max="1805" width="10.625" style="3829" customWidth="1"/>
    <col min="1806" max="1806" width="14.375" style="3829" customWidth="1"/>
    <col min="1807" max="1807" width="9.75" style="3829" customWidth="1"/>
    <col min="1808" max="1808" width="6.25" style="3829" customWidth="1"/>
    <col min="1809" max="1809" width="32.625" style="3829" customWidth="1"/>
    <col min="1810" max="1810" width="7.875" style="3829" customWidth="1"/>
    <col min="1811" max="2048" width="9" style="3829"/>
    <col min="2049" max="2049" width="25.375" style="3829" customWidth="1"/>
    <col min="2050" max="2050" width="14.5" style="3829" customWidth="1"/>
    <col min="2051" max="2051" width="11.75" style="3829" customWidth="1"/>
    <col min="2052" max="2053" width="13.875" style="3829" customWidth="1"/>
    <col min="2054" max="2054" width="10.5" style="3829" customWidth="1"/>
    <col min="2055" max="2055" width="6.375" style="3829" customWidth="1"/>
    <col min="2056" max="2056" width="11.25" style="3829" customWidth="1"/>
    <col min="2057" max="2057" width="0" style="3829" hidden="1" customWidth="1"/>
    <col min="2058" max="2059" width="9" style="3829" customWidth="1"/>
    <col min="2060" max="2061" width="10.625" style="3829" customWidth="1"/>
    <col min="2062" max="2062" width="14.375" style="3829" customWidth="1"/>
    <col min="2063" max="2063" width="9.75" style="3829" customWidth="1"/>
    <col min="2064" max="2064" width="6.25" style="3829" customWidth="1"/>
    <col min="2065" max="2065" width="32.625" style="3829" customWidth="1"/>
    <col min="2066" max="2066" width="7.875" style="3829" customWidth="1"/>
    <col min="2067" max="2304" width="9" style="3829"/>
    <col min="2305" max="2305" width="25.375" style="3829" customWidth="1"/>
    <col min="2306" max="2306" width="14.5" style="3829" customWidth="1"/>
    <col min="2307" max="2307" width="11.75" style="3829" customWidth="1"/>
    <col min="2308" max="2309" width="13.875" style="3829" customWidth="1"/>
    <col min="2310" max="2310" width="10.5" style="3829" customWidth="1"/>
    <col min="2311" max="2311" width="6.375" style="3829" customWidth="1"/>
    <col min="2312" max="2312" width="11.25" style="3829" customWidth="1"/>
    <col min="2313" max="2313" width="0" style="3829" hidden="1" customWidth="1"/>
    <col min="2314" max="2315" width="9" style="3829" customWidth="1"/>
    <col min="2316" max="2317" width="10.625" style="3829" customWidth="1"/>
    <col min="2318" max="2318" width="14.375" style="3829" customWidth="1"/>
    <col min="2319" max="2319" width="9.75" style="3829" customWidth="1"/>
    <col min="2320" max="2320" width="6.25" style="3829" customWidth="1"/>
    <col min="2321" max="2321" width="32.625" style="3829" customWidth="1"/>
    <col min="2322" max="2322" width="7.875" style="3829" customWidth="1"/>
    <col min="2323" max="2560" width="9" style="3829"/>
    <col min="2561" max="2561" width="25.375" style="3829" customWidth="1"/>
    <col min="2562" max="2562" width="14.5" style="3829" customWidth="1"/>
    <col min="2563" max="2563" width="11.75" style="3829" customWidth="1"/>
    <col min="2564" max="2565" width="13.875" style="3829" customWidth="1"/>
    <col min="2566" max="2566" width="10.5" style="3829" customWidth="1"/>
    <col min="2567" max="2567" width="6.375" style="3829" customWidth="1"/>
    <col min="2568" max="2568" width="11.25" style="3829" customWidth="1"/>
    <col min="2569" max="2569" width="0" style="3829" hidden="1" customWidth="1"/>
    <col min="2570" max="2571" width="9" style="3829" customWidth="1"/>
    <col min="2572" max="2573" width="10.625" style="3829" customWidth="1"/>
    <col min="2574" max="2574" width="14.375" style="3829" customWidth="1"/>
    <col min="2575" max="2575" width="9.75" style="3829" customWidth="1"/>
    <col min="2576" max="2576" width="6.25" style="3829" customWidth="1"/>
    <col min="2577" max="2577" width="32.625" style="3829" customWidth="1"/>
    <col min="2578" max="2578" width="7.875" style="3829" customWidth="1"/>
    <col min="2579" max="2816" width="9" style="3829"/>
    <col min="2817" max="2817" width="25.375" style="3829" customWidth="1"/>
    <col min="2818" max="2818" width="14.5" style="3829" customWidth="1"/>
    <col min="2819" max="2819" width="11.75" style="3829" customWidth="1"/>
    <col min="2820" max="2821" width="13.875" style="3829" customWidth="1"/>
    <col min="2822" max="2822" width="10.5" style="3829" customWidth="1"/>
    <col min="2823" max="2823" width="6.375" style="3829" customWidth="1"/>
    <col min="2824" max="2824" width="11.25" style="3829" customWidth="1"/>
    <col min="2825" max="2825" width="0" style="3829" hidden="1" customWidth="1"/>
    <col min="2826" max="2827" width="9" style="3829" customWidth="1"/>
    <col min="2828" max="2829" width="10.625" style="3829" customWidth="1"/>
    <col min="2830" max="2830" width="14.375" style="3829" customWidth="1"/>
    <col min="2831" max="2831" width="9.75" style="3829" customWidth="1"/>
    <col min="2832" max="2832" width="6.25" style="3829" customWidth="1"/>
    <col min="2833" max="2833" width="32.625" style="3829" customWidth="1"/>
    <col min="2834" max="2834" width="7.875" style="3829" customWidth="1"/>
    <col min="2835" max="3072" width="9" style="3829"/>
    <col min="3073" max="3073" width="25.375" style="3829" customWidth="1"/>
    <col min="3074" max="3074" width="14.5" style="3829" customWidth="1"/>
    <col min="3075" max="3075" width="11.75" style="3829" customWidth="1"/>
    <col min="3076" max="3077" width="13.875" style="3829" customWidth="1"/>
    <col min="3078" max="3078" width="10.5" style="3829" customWidth="1"/>
    <col min="3079" max="3079" width="6.375" style="3829" customWidth="1"/>
    <col min="3080" max="3080" width="11.25" style="3829" customWidth="1"/>
    <col min="3081" max="3081" width="0" style="3829" hidden="1" customWidth="1"/>
    <col min="3082" max="3083" width="9" style="3829" customWidth="1"/>
    <col min="3084" max="3085" width="10.625" style="3829" customWidth="1"/>
    <col min="3086" max="3086" width="14.375" style="3829" customWidth="1"/>
    <col min="3087" max="3087" width="9.75" style="3829" customWidth="1"/>
    <col min="3088" max="3088" width="6.25" style="3829" customWidth="1"/>
    <col min="3089" max="3089" width="32.625" style="3829" customWidth="1"/>
    <col min="3090" max="3090" width="7.875" style="3829" customWidth="1"/>
    <col min="3091" max="3328" width="9" style="3829"/>
    <col min="3329" max="3329" width="25.375" style="3829" customWidth="1"/>
    <col min="3330" max="3330" width="14.5" style="3829" customWidth="1"/>
    <col min="3331" max="3331" width="11.75" style="3829" customWidth="1"/>
    <col min="3332" max="3333" width="13.875" style="3829" customWidth="1"/>
    <col min="3334" max="3334" width="10.5" style="3829" customWidth="1"/>
    <col min="3335" max="3335" width="6.375" style="3829" customWidth="1"/>
    <col min="3336" max="3336" width="11.25" style="3829" customWidth="1"/>
    <col min="3337" max="3337" width="0" style="3829" hidden="1" customWidth="1"/>
    <col min="3338" max="3339" width="9" style="3829" customWidth="1"/>
    <col min="3340" max="3341" width="10.625" style="3829" customWidth="1"/>
    <col min="3342" max="3342" width="14.375" style="3829" customWidth="1"/>
    <col min="3343" max="3343" width="9.75" style="3829" customWidth="1"/>
    <col min="3344" max="3344" width="6.25" style="3829" customWidth="1"/>
    <col min="3345" max="3345" width="32.625" style="3829" customWidth="1"/>
    <col min="3346" max="3346" width="7.875" style="3829" customWidth="1"/>
    <col min="3347" max="3584" width="9" style="3829"/>
    <col min="3585" max="3585" width="25.375" style="3829" customWidth="1"/>
    <col min="3586" max="3586" width="14.5" style="3829" customWidth="1"/>
    <col min="3587" max="3587" width="11.75" style="3829" customWidth="1"/>
    <col min="3588" max="3589" width="13.875" style="3829" customWidth="1"/>
    <col min="3590" max="3590" width="10.5" style="3829" customWidth="1"/>
    <col min="3591" max="3591" width="6.375" style="3829" customWidth="1"/>
    <col min="3592" max="3592" width="11.25" style="3829" customWidth="1"/>
    <col min="3593" max="3593" width="0" style="3829" hidden="1" customWidth="1"/>
    <col min="3594" max="3595" width="9" style="3829" customWidth="1"/>
    <col min="3596" max="3597" width="10.625" style="3829" customWidth="1"/>
    <col min="3598" max="3598" width="14.375" style="3829" customWidth="1"/>
    <col min="3599" max="3599" width="9.75" style="3829" customWidth="1"/>
    <col min="3600" max="3600" width="6.25" style="3829" customWidth="1"/>
    <col min="3601" max="3601" width="32.625" style="3829" customWidth="1"/>
    <col min="3602" max="3602" width="7.875" style="3829" customWidth="1"/>
    <col min="3603" max="3840" width="9" style="3829"/>
    <col min="3841" max="3841" width="25.375" style="3829" customWidth="1"/>
    <col min="3842" max="3842" width="14.5" style="3829" customWidth="1"/>
    <col min="3843" max="3843" width="11.75" style="3829" customWidth="1"/>
    <col min="3844" max="3845" width="13.875" style="3829" customWidth="1"/>
    <col min="3846" max="3846" width="10.5" style="3829" customWidth="1"/>
    <col min="3847" max="3847" width="6.375" style="3829" customWidth="1"/>
    <col min="3848" max="3848" width="11.25" style="3829" customWidth="1"/>
    <col min="3849" max="3849" width="0" style="3829" hidden="1" customWidth="1"/>
    <col min="3850" max="3851" width="9" style="3829" customWidth="1"/>
    <col min="3852" max="3853" width="10.625" style="3829" customWidth="1"/>
    <col min="3854" max="3854" width="14.375" style="3829" customWidth="1"/>
    <col min="3855" max="3855" width="9.75" style="3829" customWidth="1"/>
    <col min="3856" max="3856" width="6.25" style="3829" customWidth="1"/>
    <col min="3857" max="3857" width="32.625" style="3829" customWidth="1"/>
    <col min="3858" max="3858" width="7.875" style="3829" customWidth="1"/>
    <col min="3859" max="4096" width="9" style="3829"/>
    <col min="4097" max="4097" width="25.375" style="3829" customWidth="1"/>
    <col min="4098" max="4098" width="14.5" style="3829" customWidth="1"/>
    <col min="4099" max="4099" width="11.75" style="3829" customWidth="1"/>
    <col min="4100" max="4101" width="13.875" style="3829" customWidth="1"/>
    <col min="4102" max="4102" width="10.5" style="3829" customWidth="1"/>
    <col min="4103" max="4103" width="6.375" style="3829" customWidth="1"/>
    <col min="4104" max="4104" width="11.25" style="3829" customWidth="1"/>
    <col min="4105" max="4105" width="0" style="3829" hidden="1" customWidth="1"/>
    <col min="4106" max="4107" width="9" style="3829" customWidth="1"/>
    <col min="4108" max="4109" width="10.625" style="3829" customWidth="1"/>
    <col min="4110" max="4110" width="14.375" style="3829" customWidth="1"/>
    <col min="4111" max="4111" width="9.75" style="3829" customWidth="1"/>
    <col min="4112" max="4112" width="6.25" style="3829" customWidth="1"/>
    <col min="4113" max="4113" width="32.625" style="3829" customWidth="1"/>
    <col min="4114" max="4114" width="7.875" style="3829" customWidth="1"/>
    <col min="4115" max="4352" width="9" style="3829"/>
    <col min="4353" max="4353" width="25.375" style="3829" customWidth="1"/>
    <col min="4354" max="4354" width="14.5" style="3829" customWidth="1"/>
    <col min="4355" max="4355" width="11.75" style="3829" customWidth="1"/>
    <col min="4356" max="4357" width="13.875" style="3829" customWidth="1"/>
    <col min="4358" max="4358" width="10.5" style="3829" customWidth="1"/>
    <col min="4359" max="4359" width="6.375" style="3829" customWidth="1"/>
    <col min="4360" max="4360" width="11.25" style="3829" customWidth="1"/>
    <col min="4361" max="4361" width="0" style="3829" hidden="1" customWidth="1"/>
    <col min="4362" max="4363" width="9" style="3829" customWidth="1"/>
    <col min="4364" max="4365" width="10.625" style="3829" customWidth="1"/>
    <col min="4366" max="4366" width="14.375" style="3829" customWidth="1"/>
    <col min="4367" max="4367" width="9.75" style="3829" customWidth="1"/>
    <col min="4368" max="4368" width="6.25" style="3829" customWidth="1"/>
    <col min="4369" max="4369" width="32.625" style="3829" customWidth="1"/>
    <col min="4370" max="4370" width="7.875" style="3829" customWidth="1"/>
    <col min="4371" max="4608" width="9" style="3829"/>
    <col min="4609" max="4609" width="25.375" style="3829" customWidth="1"/>
    <col min="4610" max="4610" width="14.5" style="3829" customWidth="1"/>
    <col min="4611" max="4611" width="11.75" style="3829" customWidth="1"/>
    <col min="4612" max="4613" width="13.875" style="3829" customWidth="1"/>
    <col min="4614" max="4614" width="10.5" style="3829" customWidth="1"/>
    <col min="4615" max="4615" width="6.375" style="3829" customWidth="1"/>
    <col min="4616" max="4616" width="11.25" style="3829" customWidth="1"/>
    <col min="4617" max="4617" width="0" style="3829" hidden="1" customWidth="1"/>
    <col min="4618" max="4619" width="9" style="3829" customWidth="1"/>
    <col min="4620" max="4621" width="10.625" style="3829" customWidth="1"/>
    <col min="4622" max="4622" width="14.375" style="3829" customWidth="1"/>
    <col min="4623" max="4623" width="9.75" style="3829" customWidth="1"/>
    <col min="4624" max="4624" width="6.25" style="3829" customWidth="1"/>
    <col min="4625" max="4625" width="32.625" style="3829" customWidth="1"/>
    <col min="4626" max="4626" width="7.875" style="3829" customWidth="1"/>
    <col min="4627" max="4864" width="9" style="3829"/>
    <col min="4865" max="4865" width="25.375" style="3829" customWidth="1"/>
    <col min="4866" max="4866" width="14.5" style="3829" customWidth="1"/>
    <col min="4867" max="4867" width="11.75" style="3829" customWidth="1"/>
    <col min="4868" max="4869" width="13.875" style="3829" customWidth="1"/>
    <col min="4870" max="4870" width="10.5" style="3829" customWidth="1"/>
    <col min="4871" max="4871" width="6.375" style="3829" customWidth="1"/>
    <col min="4872" max="4872" width="11.25" style="3829" customWidth="1"/>
    <col min="4873" max="4873" width="0" style="3829" hidden="1" customWidth="1"/>
    <col min="4874" max="4875" width="9" style="3829" customWidth="1"/>
    <col min="4876" max="4877" width="10.625" style="3829" customWidth="1"/>
    <col min="4878" max="4878" width="14.375" style="3829" customWidth="1"/>
    <col min="4879" max="4879" width="9.75" style="3829" customWidth="1"/>
    <col min="4880" max="4880" width="6.25" style="3829" customWidth="1"/>
    <col min="4881" max="4881" width="32.625" style="3829" customWidth="1"/>
    <col min="4882" max="4882" width="7.875" style="3829" customWidth="1"/>
    <col min="4883" max="5120" width="9" style="3829"/>
    <col min="5121" max="5121" width="25.375" style="3829" customWidth="1"/>
    <col min="5122" max="5122" width="14.5" style="3829" customWidth="1"/>
    <col min="5123" max="5123" width="11.75" style="3829" customWidth="1"/>
    <col min="5124" max="5125" width="13.875" style="3829" customWidth="1"/>
    <col min="5126" max="5126" width="10.5" style="3829" customWidth="1"/>
    <col min="5127" max="5127" width="6.375" style="3829" customWidth="1"/>
    <col min="5128" max="5128" width="11.25" style="3829" customWidth="1"/>
    <col min="5129" max="5129" width="0" style="3829" hidden="1" customWidth="1"/>
    <col min="5130" max="5131" width="9" style="3829" customWidth="1"/>
    <col min="5132" max="5133" width="10.625" style="3829" customWidth="1"/>
    <col min="5134" max="5134" width="14.375" style="3829" customWidth="1"/>
    <col min="5135" max="5135" width="9.75" style="3829" customWidth="1"/>
    <col min="5136" max="5136" width="6.25" style="3829" customWidth="1"/>
    <col min="5137" max="5137" width="32.625" style="3829" customWidth="1"/>
    <col min="5138" max="5138" width="7.875" style="3829" customWidth="1"/>
    <col min="5139" max="5376" width="9" style="3829"/>
    <col min="5377" max="5377" width="25.375" style="3829" customWidth="1"/>
    <col min="5378" max="5378" width="14.5" style="3829" customWidth="1"/>
    <col min="5379" max="5379" width="11.75" style="3829" customWidth="1"/>
    <col min="5380" max="5381" width="13.875" style="3829" customWidth="1"/>
    <col min="5382" max="5382" width="10.5" style="3829" customWidth="1"/>
    <col min="5383" max="5383" width="6.375" style="3829" customWidth="1"/>
    <col min="5384" max="5384" width="11.25" style="3829" customWidth="1"/>
    <col min="5385" max="5385" width="0" style="3829" hidden="1" customWidth="1"/>
    <col min="5386" max="5387" width="9" style="3829" customWidth="1"/>
    <col min="5388" max="5389" width="10.625" style="3829" customWidth="1"/>
    <col min="5390" max="5390" width="14.375" style="3829" customWidth="1"/>
    <col min="5391" max="5391" width="9.75" style="3829" customWidth="1"/>
    <col min="5392" max="5392" width="6.25" style="3829" customWidth="1"/>
    <col min="5393" max="5393" width="32.625" style="3829" customWidth="1"/>
    <col min="5394" max="5394" width="7.875" style="3829" customWidth="1"/>
    <col min="5395" max="5632" width="9" style="3829"/>
    <col min="5633" max="5633" width="25.375" style="3829" customWidth="1"/>
    <col min="5634" max="5634" width="14.5" style="3829" customWidth="1"/>
    <col min="5635" max="5635" width="11.75" style="3829" customWidth="1"/>
    <col min="5636" max="5637" width="13.875" style="3829" customWidth="1"/>
    <col min="5638" max="5638" width="10.5" style="3829" customWidth="1"/>
    <col min="5639" max="5639" width="6.375" style="3829" customWidth="1"/>
    <col min="5640" max="5640" width="11.25" style="3829" customWidth="1"/>
    <col min="5641" max="5641" width="0" style="3829" hidden="1" customWidth="1"/>
    <col min="5642" max="5643" width="9" style="3829" customWidth="1"/>
    <col min="5644" max="5645" width="10.625" style="3829" customWidth="1"/>
    <col min="5646" max="5646" width="14.375" style="3829" customWidth="1"/>
    <col min="5647" max="5647" width="9.75" style="3829" customWidth="1"/>
    <col min="5648" max="5648" width="6.25" style="3829" customWidth="1"/>
    <col min="5649" max="5649" width="32.625" style="3829" customWidth="1"/>
    <col min="5650" max="5650" width="7.875" style="3829" customWidth="1"/>
    <col min="5651" max="5888" width="9" style="3829"/>
    <col min="5889" max="5889" width="25.375" style="3829" customWidth="1"/>
    <col min="5890" max="5890" width="14.5" style="3829" customWidth="1"/>
    <col min="5891" max="5891" width="11.75" style="3829" customWidth="1"/>
    <col min="5892" max="5893" width="13.875" style="3829" customWidth="1"/>
    <col min="5894" max="5894" width="10.5" style="3829" customWidth="1"/>
    <col min="5895" max="5895" width="6.375" style="3829" customWidth="1"/>
    <col min="5896" max="5896" width="11.25" style="3829" customWidth="1"/>
    <col min="5897" max="5897" width="0" style="3829" hidden="1" customWidth="1"/>
    <col min="5898" max="5899" width="9" style="3829" customWidth="1"/>
    <col min="5900" max="5901" width="10.625" style="3829" customWidth="1"/>
    <col min="5902" max="5902" width="14.375" style="3829" customWidth="1"/>
    <col min="5903" max="5903" width="9.75" style="3829" customWidth="1"/>
    <col min="5904" max="5904" width="6.25" style="3829" customWidth="1"/>
    <col min="5905" max="5905" width="32.625" style="3829" customWidth="1"/>
    <col min="5906" max="5906" width="7.875" style="3829" customWidth="1"/>
    <col min="5907" max="6144" width="9" style="3829"/>
    <col min="6145" max="6145" width="25.375" style="3829" customWidth="1"/>
    <col min="6146" max="6146" width="14.5" style="3829" customWidth="1"/>
    <col min="6147" max="6147" width="11.75" style="3829" customWidth="1"/>
    <col min="6148" max="6149" width="13.875" style="3829" customWidth="1"/>
    <col min="6150" max="6150" width="10.5" style="3829" customWidth="1"/>
    <col min="6151" max="6151" width="6.375" style="3829" customWidth="1"/>
    <col min="6152" max="6152" width="11.25" style="3829" customWidth="1"/>
    <col min="6153" max="6153" width="0" style="3829" hidden="1" customWidth="1"/>
    <col min="6154" max="6155" width="9" style="3829" customWidth="1"/>
    <col min="6156" max="6157" width="10.625" style="3829" customWidth="1"/>
    <col min="6158" max="6158" width="14.375" style="3829" customWidth="1"/>
    <col min="6159" max="6159" width="9.75" style="3829" customWidth="1"/>
    <col min="6160" max="6160" width="6.25" style="3829" customWidth="1"/>
    <col min="6161" max="6161" width="32.625" style="3829" customWidth="1"/>
    <col min="6162" max="6162" width="7.875" style="3829" customWidth="1"/>
    <col min="6163" max="6400" width="9" style="3829"/>
    <col min="6401" max="6401" width="25.375" style="3829" customWidth="1"/>
    <col min="6402" max="6402" width="14.5" style="3829" customWidth="1"/>
    <col min="6403" max="6403" width="11.75" style="3829" customWidth="1"/>
    <col min="6404" max="6405" width="13.875" style="3829" customWidth="1"/>
    <col min="6406" max="6406" width="10.5" style="3829" customWidth="1"/>
    <col min="6407" max="6407" width="6.375" style="3829" customWidth="1"/>
    <col min="6408" max="6408" width="11.25" style="3829" customWidth="1"/>
    <col min="6409" max="6409" width="0" style="3829" hidden="1" customWidth="1"/>
    <col min="6410" max="6411" width="9" style="3829" customWidth="1"/>
    <col min="6412" max="6413" width="10.625" style="3829" customWidth="1"/>
    <col min="6414" max="6414" width="14.375" style="3829" customWidth="1"/>
    <col min="6415" max="6415" width="9.75" style="3829" customWidth="1"/>
    <col min="6416" max="6416" width="6.25" style="3829" customWidth="1"/>
    <col min="6417" max="6417" width="32.625" style="3829" customWidth="1"/>
    <col min="6418" max="6418" width="7.875" style="3829" customWidth="1"/>
    <col min="6419" max="6656" width="9" style="3829"/>
    <col min="6657" max="6657" width="25.375" style="3829" customWidth="1"/>
    <col min="6658" max="6658" width="14.5" style="3829" customWidth="1"/>
    <col min="6659" max="6659" width="11.75" style="3829" customWidth="1"/>
    <col min="6660" max="6661" width="13.875" style="3829" customWidth="1"/>
    <col min="6662" max="6662" width="10.5" style="3829" customWidth="1"/>
    <col min="6663" max="6663" width="6.375" style="3829" customWidth="1"/>
    <col min="6664" max="6664" width="11.25" style="3829" customWidth="1"/>
    <col min="6665" max="6665" width="0" style="3829" hidden="1" customWidth="1"/>
    <col min="6666" max="6667" width="9" style="3829" customWidth="1"/>
    <col min="6668" max="6669" width="10.625" style="3829" customWidth="1"/>
    <col min="6670" max="6670" width="14.375" style="3829" customWidth="1"/>
    <col min="6671" max="6671" width="9.75" style="3829" customWidth="1"/>
    <col min="6672" max="6672" width="6.25" style="3829" customWidth="1"/>
    <col min="6673" max="6673" width="32.625" style="3829" customWidth="1"/>
    <col min="6674" max="6674" width="7.875" style="3829" customWidth="1"/>
    <col min="6675" max="6912" width="9" style="3829"/>
    <col min="6913" max="6913" width="25.375" style="3829" customWidth="1"/>
    <col min="6914" max="6914" width="14.5" style="3829" customWidth="1"/>
    <col min="6915" max="6915" width="11.75" style="3829" customWidth="1"/>
    <col min="6916" max="6917" width="13.875" style="3829" customWidth="1"/>
    <col min="6918" max="6918" width="10.5" style="3829" customWidth="1"/>
    <col min="6919" max="6919" width="6.375" style="3829" customWidth="1"/>
    <col min="6920" max="6920" width="11.25" style="3829" customWidth="1"/>
    <col min="6921" max="6921" width="0" style="3829" hidden="1" customWidth="1"/>
    <col min="6922" max="6923" width="9" style="3829" customWidth="1"/>
    <col min="6924" max="6925" width="10.625" style="3829" customWidth="1"/>
    <col min="6926" max="6926" width="14.375" style="3829" customWidth="1"/>
    <col min="6927" max="6927" width="9.75" style="3829" customWidth="1"/>
    <col min="6928" max="6928" width="6.25" style="3829" customWidth="1"/>
    <col min="6929" max="6929" width="32.625" style="3829" customWidth="1"/>
    <col min="6930" max="6930" width="7.875" style="3829" customWidth="1"/>
    <col min="6931" max="7168" width="9" style="3829"/>
    <col min="7169" max="7169" width="25.375" style="3829" customWidth="1"/>
    <col min="7170" max="7170" width="14.5" style="3829" customWidth="1"/>
    <col min="7171" max="7171" width="11.75" style="3829" customWidth="1"/>
    <col min="7172" max="7173" width="13.875" style="3829" customWidth="1"/>
    <col min="7174" max="7174" width="10.5" style="3829" customWidth="1"/>
    <col min="7175" max="7175" width="6.375" style="3829" customWidth="1"/>
    <col min="7176" max="7176" width="11.25" style="3829" customWidth="1"/>
    <col min="7177" max="7177" width="0" style="3829" hidden="1" customWidth="1"/>
    <col min="7178" max="7179" width="9" style="3829" customWidth="1"/>
    <col min="7180" max="7181" width="10.625" style="3829" customWidth="1"/>
    <col min="7182" max="7182" width="14.375" style="3829" customWidth="1"/>
    <col min="7183" max="7183" width="9.75" style="3829" customWidth="1"/>
    <col min="7184" max="7184" width="6.25" style="3829" customWidth="1"/>
    <col min="7185" max="7185" width="32.625" style="3829" customWidth="1"/>
    <col min="7186" max="7186" width="7.875" style="3829" customWidth="1"/>
    <col min="7187" max="7424" width="9" style="3829"/>
    <col min="7425" max="7425" width="25.375" style="3829" customWidth="1"/>
    <col min="7426" max="7426" width="14.5" style="3829" customWidth="1"/>
    <col min="7427" max="7427" width="11.75" style="3829" customWidth="1"/>
    <col min="7428" max="7429" width="13.875" style="3829" customWidth="1"/>
    <col min="7430" max="7430" width="10.5" style="3829" customWidth="1"/>
    <col min="7431" max="7431" width="6.375" style="3829" customWidth="1"/>
    <col min="7432" max="7432" width="11.25" style="3829" customWidth="1"/>
    <col min="7433" max="7433" width="0" style="3829" hidden="1" customWidth="1"/>
    <col min="7434" max="7435" width="9" style="3829" customWidth="1"/>
    <col min="7436" max="7437" width="10.625" style="3829" customWidth="1"/>
    <col min="7438" max="7438" width="14.375" style="3829" customWidth="1"/>
    <col min="7439" max="7439" width="9.75" style="3829" customWidth="1"/>
    <col min="7440" max="7440" width="6.25" style="3829" customWidth="1"/>
    <col min="7441" max="7441" width="32.625" style="3829" customWidth="1"/>
    <col min="7442" max="7442" width="7.875" style="3829" customWidth="1"/>
    <col min="7443" max="7680" width="9" style="3829"/>
    <col min="7681" max="7681" width="25.375" style="3829" customWidth="1"/>
    <col min="7682" max="7682" width="14.5" style="3829" customWidth="1"/>
    <col min="7683" max="7683" width="11.75" style="3829" customWidth="1"/>
    <col min="7684" max="7685" width="13.875" style="3829" customWidth="1"/>
    <col min="7686" max="7686" width="10.5" style="3829" customWidth="1"/>
    <col min="7687" max="7687" width="6.375" style="3829" customWidth="1"/>
    <col min="7688" max="7688" width="11.25" style="3829" customWidth="1"/>
    <col min="7689" max="7689" width="0" style="3829" hidden="1" customWidth="1"/>
    <col min="7690" max="7691" width="9" style="3829" customWidth="1"/>
    <col min="7692" max="7693" width="10.625" style="3829" customWidth="1"/>
    <col min="7694" max="7694" width="14.375" style="3829" customWidth="1"/>
    <col min="7695" max="7695" width="9.75" style="3829" customWidth="1"/>
    <col min="7696" max="7696" width="6.25" style="3829" customWidth="1"/>
    <col min="7697" max="7697" width="32.625" style="3829" customWidth="1"/>
    <col min="7698" max="7698" width="7.875" style="3829" customWidth="1"/>
    <col min="7699" max="7936" width="9" style="3829"/>
    <col min="7937" max="7937" width="25.375" style="3829" customWidth="1"/>
    <col min="7938" max="7938" width="14.5" style="3829" customWidth="1"/>
    <col min="7939" max="7939" width="11.75" style="3829" customWidth="1"/>
    <col min="7940" max="7941" width="13.875" style="3829" customWidth="1"/>
    <col min="7942" max="7942" width="10.5" style="3829" customWidth="1"/>
    <col min="7943" max="7943" width="6.375" style="3829" customWidth="1"/>
    <col min="7944" max="7944" width="11.25" style="3829" customWidth="1"/>
    <col min="7945" max="7945" width="0" style="3829" hidden="1" customWidth="1"/>
    <col min="7946" max="7947" width="9" style="3829" customWidth="1"/>
    <col min="7948" max="7949" width="10.625" style="3829" customWidth="1"/>
    <col min="7950" max="7950" width="14.375" style="3829" customWidth="1"/>
    <col min="7951" max="7951" width="9.75" style="3829" customWidth="1"/>
    <col min="7952" max="7952" width="6.25" style="3829" customWidth="1"/>
    <col min="7953" max="7953" width="32.625" style="3829" customWidth="1"/>
    <col min="7954" max="7954" width="7.875" style="3829" customWidth="1"/>
    <col min="7955" max="8192" width="9" style="3829"/>
    <col min="8193" max="8193" width="25.375" style="3829" customWidth="1"/>
    <col min="8194" max="8194" width="14.5" style="3829" customWidth="1"/>
    <col min="8195" max="8195" width="11.75" style="3829" customWidth="1"/>
    <col min="8196" max="8197" width="13.875" style="3829" customWidth="1"/>
    <col min="8198" max="8198" width="10.5" style="3829" customWidth="1"/>
    <col min="8199" max="8199" width="6.375" style="3829" customWidth="1"/>
    <col min="8200" max="8200" width="11.25" style="3829" customWidth="1"/>
    <col min="8201" max="8201" width="0" style="3829" hidden="1" customWidth="1"/>
    <col min="8202" max="8203" width="9" style="3829" customWidth="1"/>
    <col min="8204" max="8205" width="10.625" style="3829" customWidth="1"/>
    <col min="8206" max="8206" width="14.375" style="3829" customWidth="1"/>
    <col min="8207" max="8207" width="9.75" style="3829" customWidth="1"/>
    <col min="8208" max="8208" width="6.25" style="3829" customWidth="1"/>
    <col min="8209" max="8209" width="32.625" style="3829" customWidth="1"/>
    <col min="8210" max="8210" width="7.875" style="3829" customWidth="1"/>
    <col min="8211" max="8448" width="9" style="3829"/>
    <col min="8449" max="8449" width="25.375" style="3829" customWidth="1"/>
    <col min="8450" max="8450" width="14.5" style="3829" customWidth="1"/>
    <col min="8451" max="8451" width="11.75" style="3829" customWidth="1"/>
    <col min="8452" max="8453" width="13.875" style="3829" customWidth="1"/>
    <col min="8454" max="8454" width="10.5" style="3829" customWidth="1"/>
    <col min="8455" max="8455" width="6.375" style="3829" customWidth="1"/>
    <col min="8456" max="8456" width="11.25" style="3829" customWidth="1"/>
    <col min="8457" max="8457" width="0" style="3829" hidden="1" customWidth="1"/>
    <col min="8458" max="8459" width="9" style="3829" customWidth="1"/>
    <col min="8460" max="8461" width="10.625" style="3829" customWidth="1"/>
    <col min="8462" max="8462" width="14.375" style="3829" customWidth="1"/>
    <col min="8463" max="8463" width="9.75" style="3829" customWidth="1"/>
    <col min="8464" max="8464" width="6.25" style="3829" customWidth="1"/>
    <col min="8465" max="8465" width="32.625" style="3829" customWidth="1"/>
    <col min="8466" max="8466" width="7.875" style="3829" customWidth="1"/>
    <col min="8467" max="8704" width="9" style="3829"/>
    <col min="8705" max="8705" width="25.375" style="3829" customWidth="1"/>
    <col min="8706" max="8706" width="14.5" style="3829" customWidth="1"/>
    <col min="8707" max="8707" width="11.75" style="3829" customWidth="1"/>
    <col min="8708" max="8709" width="13.875" style="3829" customWidth="1"/>
    <col min="8710" max="8710" width="10.5" style="3829" customWidth="1"/>
    <col min="8711" max="8711" width="6.375" style="3829" customWidth="1"/>
    <col min="8712" max="8712" width="11.25" style="3829" customWidth="1"/>
    <col min="8713" max="8713" width="0" style="3829" hidden="1" customWidth="1"/>
    <col min="8714" max="8715" width="9" style="3829" customWidth="1"/>
    <col min="8716" max="8717" width="10.625" style="3829" customWidth="1"/>
    <col min="8718" max="8718" width="14.375" style="3829" customWidth="1"/>
    <col min="8719" max="8719" width="9.75" style="3829" customWidth="1"/>
    <col min="8720" max="8720" width="6.25" style="3829" customWidth="1"/>
    <col min="8721" max="8721" width="32.625" style="3829" customWidth="1"/>
    <col min="8722" max="8722" width="7.875" style="3829" customWidth="1"/>
    <col min="8723" max="8960" width="9" style="3829"/>
    <col min="8961" max="8961" width="25.375" style="3829" customWidth="1"/>
    <col min="8962" max="8962" width="14.5" style="3829" customWidth="1"/>
    <col min="8963" max="8963" width="11.75" style="3829" customWidth="1"/>
    <col min="8964" max="8965" width="13.875" style="3829" customWidth="1"/>
    <col min="8966" max="8966" width="10.5" style="3829" customWidth="1"/>
    <col min="8967" max="8967" width="6.375" style="3829" customWidth="1"/>
    <col min="8968" max="8968" width="11.25" style="3829" customWidth="1"/>
    <col min="8969" max="8969" width="0" style="3829" hidden="1" customWidth="1"/>
    <col min="8970" max="8971" width="9" style="3829" customWidth="1"/>
    <col min="8972" max="8973" width="10.625" style="3829" customWidth="1"/>
    <col min="8974" max="8974" width="14.375" style="3829" customWidth="1"/>
    <col min="8975" max="8975" width="9.75" style="3829" customWidth="1"/>
    <col min="8976" max="8976" width="6.25" style="3829" customWidth="1"/>
    <col min="8977" max="8977" width="32.625" style="3829" customWidth="1"/>
    <col min="8978" max="8978" width="7.875" style="3829" customWidth="1"/>
    <col min="8979" max="9216" width="9" style="3829"/>
    <col min="9217" max="9217" width="25.375" style="3829" customWidth="1"/>
    <col min="9218" max="9218" width="14.5" style="3829" customWidth="1"/>
    <col min="9219" max="9219" width="11.75" style="3829" customWidth="1"/>
    <col min="9220" max="9221" width="13.875" style="3829" customWidth="1"/>
    <col min="9222" max="9222" width="10.5" style="3829" customWidth="1"/>
    <col min="9223" max="9223" width="6.375" style="3829" customWidth="1"/>
    <col min="9224" max="9224" width="11.25" style="3829" customWidth="1"/>
    <col min="9225" max="9225" width="0" style="3829" hidden="1" customWidth="1"/>
    <col min="9226" max="9227" width="9" style="3829" customWidth="1"/>
    <col min="9228" max="9229" width="10.625" style="3829" customWidth="1"/>
    <col min="9230" max="9230" width="14.375" style="3829" customWidth="1"/>
    <col min="9231" max="9231" width="9.75" style="3829" customWidth="1"/>
    <col min="9232" max="9232" width="6.25" style="3829" customWidth="1"/>
    <col min="9233" max="9233" width="32.625" style="3829" customWidth="1"/>
    <col min="9234" max="9234" width="7.875" style="3829" customWidth="1"/>
    <col min="9235" max="9472" width="9" style="3829"/>
    <col min="9473" max="9473" width="25.375" style="3829" customWidth="1"/>
    <col min="9474" max="9474" width="14.5" style="3829" customWidth="1"/>
    <col min="9475" max="9475" width="11.75" style="3829" customWidth="1"/>
    <col min="9476" max="9477" width="13.875" style="3829" customWidth="1"/>
    <col min="9478" max="9478" width="10.5" style="3829" customWidth="1"/>
    <col min="9479" max="9479" width="6.375" style="3829" customWidth="1"/>
    <col min="9480" max="9480" width="11.25" style="3829" customWidth="1"/>
    <col min="9481" max="9481" width="0" style="3829" hidden="1" customWidth="1"/>
    <col min="9482" max="9483" width="9" style="3829" customWidth="1"/>
    <col min="9484" max="9485" width="10.625" style="3829" customWidth="1"/>
    <col min="9486" max="9486" width="14.375" style="3829" customWidth="1"/>
    <col min="9487" max="9487" width="9.75" style="3829" customWidth="1"/>
    <col min="9488" max="9488" width="6.25" style="3829" customWidth="1"/>
    <col min="9489" max="9489" width="32.625" style="3829" customWidth="1"/>
    <col min="9490" max="9490" width="7.875" style="3829" customWidth="1"/>
    <col min="9491" max="9728" width="9" style="3829"/>
    <col min="9729" max="9729" width="25.375" style="3829" customWidth="1"/>
    <col min="9730" max="9730" width="14.5" style="3829" customWidth="1"/>
    <col min="9731" max="9731" width="11.75" style="3829" customWidth="1"/>
    <col min="9732" max="9733" width="13.875" style="3829" customWidth="1"/>
    <col min="9734" max="9734" width="10.5" style="3829" customWidth="1"/>
    <col min="9735" max="9735" width="6.375" style="3829" customWidth="1"/>
    <col min="9736" max="9736" width="11.25" style="3829" customWidth="1"/>
    <col min="9737" max="9737" width="0" style="3829" hidden="1" customWidth="1"/>
    <col min="9738" max="9739" width="9" style="3829" customWidth="1"/>
    <col min="9740" max="9741" width="10.625" style="3829" customWidth="1"/>
    <col min="9742" max="9742" width="14.375" style="3829" customWidth="1"/>
    <col min="9743" max="9743" width="9.75" style="3829" customWidth="1"/>
    <col min="9744" max="9744" width="6.25" style="3829" customWidth="1"/>
    <col min="9745" max="9745" width="32.625" style="3829" customWidth="1"/>
    <col min="9746" max="9746" width="7.875" style="3829" customWidth="1"/>
    <col min="9747" max="9984" width="9" style="3829"/>
    <col min="9985" max="9985" width="25.375" style="3829" customWidth="1"/>
    <col min="9986" max="9986" width="14.5" style="3829" customWidth="1"/>
    <col min="9987" max="9987" width="11.75" style="3829" customWidth="1"/>
    <col min="9988" max="9989" width="13.875" style="3829" customWidth="1"/>
    <col min="9990" max="9990" width="10.5" style="3829" customWidth="1"/>
    <col min="9991" max="9991" width="6.375" style="3829" customWidth="1"/>
    <col min="9992" max="9992" width="11.25" style="3829" customWidth="1"/>
    <col min="9993" max="9993" width="0" style="3829" hidden="1" customWidth="1"/>
    <col min="9994" max="9995" width="9" style="3829" customWidth="1"/>
    <col min="9996" max="9997" width="10.625" style="3829" customWidth="1"/>
    <col min="9998" max="9998" width="14.375" style="3829" customWidth="1"/>
    <col min="9999" max="9999" width="9.75" style="3829" customWidth="1"/>
    <col min="10000" max="10000" width="6.25" style="3829" customWidth="1"/>
    <col min="10001" max="10001" width="32.625" style="3829" customWidth="1"/>
    <col min="10002" max="10002" width="7.875" style="3829" customWidth="1"/>
    <col min="10003" max="10240" width="9" style="3829"/>
    <col min="10241" max="10241" width="25.375" style="3829" customWidth="1"/>
    <col min="10242" max="10242" width="14.5" style="3829" customWidth="1"/>
    <col min="10243" max="10243" width="11.75" style="3829" customWidth="1"/>
    <col min="10244" max="10245" width="13.875" style="3829" customWidth="1"/>
    <col min="10246" max="10246" width="10.5" style="3829" customWidth="1"/>
    <col min="10247" max="10247" width="6.375" style="3829" customWidth="1"/>
    <col min="10248" max="10248" width="11.25" style="3829" customWidth="1"/>
    <col min="10249" max="10249" width="0" style="3829" hidden="1" customWidth="1"/>
    <col min="10250" max="10251" width="9" style="3829" customWidth="1"/>
    <col min="10252" max="10253" width="10.625" style="3829" customWidth="1"/>
    <col min="10254" max="10254" width="14.375" style="3829" customWidth="1"/>
    <col min="10255" max="10255" width="9.75" style="3829" customWidth="1"/>
    <col min="10256" max="10256" width="6.25" style="3829" customWidth="1"/>
    <col min="10257" max="10257" width="32.625" style="3829" customWidth="1"/>
    <col min="10258" max="10258" width="7.875" style="3829" customWidth="1"/>
    <col min="10259" max="10496" width="9" style="3829"/>
    <col min="10497" max="10497" width="25.375" style="3829" customWidth="1"/>
    <col min="10498" max="10498" width="14.5" style="3829" customWidth="1"/>
    <col min="10499" max="10499" width="11.75" style="3829" customWidth="1"/>
    <col min="10500" max="10501" width="13.875" style="3829" customWidth="1"/>
    <col min="10502" max="10502" width="10.5" style="3829" customWidth="1"/>
    <col min="10503" max="10503" width="6.375" style="3829" customWidth="1"/>
    <col min="10504" max="10504" width="11.25" style="3829" customWidth="1"/>
    <col min="10505" max="10505" width="0" style="3829" hidden="1" customWidth="1"/>
    <col min="10506" max="10507" width="9" style="3829" customWidth="1"/>
    <col min="10508" max="10509" width="10.625" style="3829" customWidth="1"/>
    <col min="10510" max="10510" width="14.375" style="3829" customWidth="1"/>
    <col min="10511" max="10511" width="9.75" style="3829" customWidth="1"/>
    <col min="10512" max="10512" width="6.25" style="3829" customWidth="1"/>
    <col min="10513" max="10513" width="32.625" style="3829" customWidth="1"/>
    <col min="10514" max="10514" width="7.875" style="3829" customWidth="1"/>
    <col min="10515" max="10752" width="9" style="3829"/>
    <col min="10753" max="10753" width="25.375" style="3829" customWidth="1"/>
    <col min="10754" max="10754" width="14.5" style="3829" customWidth="1"/>
    <col min="10755" max="10755" width="11.75" style="3829" customWidth="1"/>
    <col min="10756" max="10757" width="13.875" style="3829" customWidth="1"/>
    <col min="10758" max="10758" width="10.5" style="3829" customWidth="1"/>
    <col min="10759" max="10759" width="6.375" style="3829" customWidth="1"/>
    <col min="10760" max="10760" width="11.25" style="3829" customWidth="1"/>
    <col min="10761" max="10761" width="0" style="3829" hidden="1" customWidth="1"/>
    <col min="10762" max="10763" width="9" style="3829" customWidth="1"/>
    <col min="10764" max="10765" width="10.625" style="3829" customWidth="1"/>
    <col min="10766" max="10766" width="14.375" style="3829" customWidth="1"/>
    <col min="10767" max="10767" width="9.75" style="3829" customWidth="1"/>
    <col min="10768" max="10768" width="6.25" style="3829" customWidth="1"/>
    <col min="10769" max="10769" width="32.625" style="3829" customWidth="1"/>
    <col min="10770" max="10770" width="7.875" style="3829" customWidth="1"/>
    <col min="10771" max="11008" width="9" style="3829"/>
    <col min="11009" max="11009" width="25.375" style="3829" customWidth="1"/>
    <col min="11010" max="11010" width="14.5" style="3829" customWidth="1"/>
    <col min="11011" max="11011" width="11.75" style="3829" customWidth="1"/>
    <col min="11012" max="11013" width="13.875" style="3829" customWidth="1"/>
    <col min="11014" max="11014" width="10.5" style="3829" customWidth="1"/>
    <col min="11015" max="11015" width="6.375" style="3829" customWidth="1"/>
    <col min="11016" max="11016" width="11.25" style="3829" customWidth="1"/>
    <col min="11017" max="11017" width="0" style="3829" hidden="1" customWidth="1"/>
    <col min="11018" max="11019" width="9" style="3829" customWidth="1"/>
    <col min="11020" max="11021" width="10.625" style="3829" customWidth="1"/>
    <col min="11022" max="11022" width="14.375" style="3829" customWidth="1"/>
    <col min="11023" max="11023" width="9.75" style="3829" customWidth="1"/>
    <col min="11024" max="11024" width="6.25" style="3829" customWidth="1"/>
    <col min="11025" max="11025" width="32.625" style="3829" customWidth="1"/>
    <col min="11026" max="11026" width="7.875" style="3829" customWidth="1"/>
    <col min="11027" max="11264" width="9" style="3829"/>
    <col min="11265" max="11265" width="25.375" style="3829" customWidth="1"/>
    <col min="11266" max="11266" width="14.5" style="3829" customWidth="1"/>
    <col min="11267" max="11267" width="11.75" style="3829" customWidth="1"/>
    <col min="11268" max="11269" width="13.875" style="3829" customWidth="1"/>
    <col min="11270" max="11270" width="10.5" style="3829" customWidth="1"/>
    <col min="11271" max="11271" width="6.375" style="3829" customWidth="1"/>
    <col min="11272" max="11272" width="11.25" style="3829" customWidth="1"/>
    <col min="11273" max="11273" width="0" style="3829" hidden="1" customWidth="1"/>
    <col min="11274" max="11275" width="9" style="3829" customWidth="1"/>
    <col min="11276" max="11277" width="10.625" style="3829" customWidth="1"/>
    <col min="11278" max="11278" width="14.375" style="3829" customWidth="1"/>
    <col min="11279" max="11279" width="9.75" style="3829" customWidth="1"/>
    <col min="11280" max="11280" width="6.25" style="3829" customWidth="1"/>
    <col min="11281" max="11281" width="32.625" style="3829" customWidth="1"/>
    <col min="11282" max="11282" width="7.875" style="3829" customWidth="1"/>
    <col min="11283" max="11520" width="9" style="3829"/>
    <col min="11521" max="11521" width="25.375" style="3829" customWidth="1"/>
    <col min="11522" max="11522" width="14.5" style="3829" customWidth="1"/>
    <col min="11523" max="11523" width="11.75" style="3829" customWidth="1"/>
    <col min="11524" max="11525" width="13.875" style="3829" customWidth="1"/>
    <col min="11526" max="11526" width="10.5" style="3829" customWidth="1"/>
    <col min="11527" max="11527" width="6.375" style="3829" customWidth="1"/>
    <col min="11528" max="11528" width="11.25" style="3829" customWidth="1"/>
    <col min="11529" max="11529" width="0" style="3829" hidden="1" customWidth="1"/>
    <col min="11530" max="11531" width="9" style="3829" customWidth="1"/>
    <col min="11532" max="11533" width="10.625" style="3829" customWidth="1"/>
    <col min="11534" max="11534" width="14.375" style="3829" customWidth="1"/>
    <col min="11535" max="11535" width="9.75" style="3829" customWidth="1"/>
    <col min="11536" max="11536" width="6.25" style="3829" customWidth="1"/>
    <col min="11537" max="11537" width="32.625" style="3829" customWidth="1"/>
    <col min="11538" max="11538" width="7.875" style="3829" customWidth="1"/>
    <col min="11539" max="11776" width="9" style="3829"/>
    <col min="11777" max="11777" width="25.375" style="3829" customWidth="1"/>
    <col min="11778" max="11778" width="14.5" style="3829" customWidth="1"/>
    <col min="11779" max="11779" width="11.75" style="3829" customWidth="1"/>
    <col min="11780" max="11781" width="13.875" style="3829" customWidth="1"/>
    <col min="11782" max="11782" width="10.5" style="3829" customWidth="1"/>
    <col min="11783" max="11783" width="6.375" style="3829" customWidth="1"/>
    <col min="11784" max="11784" width="11.25" style="3829" customWidth="1"/>
    <col min="11785" max="11785" width="0" style="3829" hidden="1" customWidth="1"/>
    <col min="11786" max="11787" width="9" style="3829" customWidth="1"/>
    <col min="11788" max="11789" width="10.625" style="3829" customWidth="1"/>
    <col min="11790" max="11790" width="14.375" style="3829" customWidth="1"/>
    <col min="11791" max="11791" width="9.75" style="3829" customWidth="1"/>
    <col min="11792" max="11792" width="6.25" style="3829" customWidth="1"/>
    <col min="11793" max="11793" width="32.625" style="3829" customWidth="1"/>
    <col min="11794" max="11794" width="7.875" style="3829" customWidth="1"/>
    <col min="11795" max="12032" width="9" style="3829"/>
    <col min="12033" max="12033" width="25.375" style="3829" customWidth="1"/>
    <col min="12034" max="12034" width="14.5" style="3829" customWidth="1"/>
    <col min="12035" max="12035" width="11.75" style="3829" customWidth="1"/>
    <col min="12036" max="12037" width="13.875" style="3829" customWidth="1"/>
    <col min="12038" max="12038" width="10.5" style="3829" customWidth="1"/>
    <col min="12039" max="12039" width="6.375" style="3829" customWidth="1"/>
    <col min="12040" max="12040" width="11.25" style="3829" customWidth="1"/>
    <col min="12041" max="12041" width="0" style="3829" hidden="1" customWidth="1"/>
    <col min="12042" max="12043" width="9" style="3829" customWidth="1"/>
    <col min="12044" max="12045" width="10.625" style="3829" customWidth="1"/>
    <col min="12046" max="12046" width="14.375" style="3829" customWidth="1"/>
    <col min="12047" max="12047" width="9.75" style="3829" customWidth="1"/>
    <col min="12048" max="12048" width="6.25" style="3829" customWidth="1"/>
    <col min="12049" max="12049" width="32.625" style="3829" customWidth="1"/>
    <col min="12050" max="12050" width="7.875" style="3829" customWidth="1"/>
    <col min="12051" max="12288" width="9" style="3829"/>
    <col min="12289" max="12289" width="25.375" style="3829" customWidth="1"/>
    <col min="12290" max="12290" width="14.5" style="3829" customWidth="1"/>
    <col min="12291" max="12291" width="11.75" style="3829" customWidth="1"/>
    <col min="12292" max="12293" width="13.875" style="3829" customWidth="1"/>
    <col min="12294" max="12294" width="10.5" style="3829" customWidth="1"/>
    <col min="12295" max="12295" width="6.375" style="3829" customWidth="1"/>
    <col min="12296" max="12296" width="11.25" style="3829" customWidth="1"/>
    <col min="12297" max="12297" width="0" style="3829" hidden="1" customWidth="1"/>
    <col min="12298" max="12299" width="9" style="3829" customWidth="1"/>
    <col min="12300" max="12301" width="10.625" style="3829" customWidth="1"/>
    <col min="12302" max="12302" width="14.375" style="3829" customWidth="1"/>
    <col min="12303" max="12303" width="9.75" style="3829" customWidth="1"/>
    <col min="12304" max="12304" width="6.25" style="3829" customWidth="1"/>
    <col min="12305" max="12305" width="32.625" style="3829" customWidth="1"/>
    <col min="12306" max="12306" width="7.875" style="3829" customWidth="1"/>
    <col min="12307" max="12544" width="9" style="3829"/>
    <col min="12545" max="12545" width="25.375" style="3829" customWidth="1"/>
    <col min="12546" max="12546" width="14.5" style="3829" customWidth="1"/>
    <col min="12547" max="12547" width="11.75" style="3829" customWidth="1"/>
    <col min="12548" max="12549" width="13.875" style="3829" customWidth="1"/>
    <col min="12550" max="12550" width="10.5" style="3829" customWidth="1"/>
    <col min="12551" max="12551" width="6.375" style="3829" customWidth="1"/>
    <col min="12552" max="12552" width="11.25" style="3829" customWidth="1"/>
    <col min="12553" max="12553" width="0" style="3829" hidden="1" customWidth="1"/>
    <col min="12554" max="12555" width="9" style="3829" customWidth="1"/>
    <col min="12556" max="12557" width="10.625" style="3829" customWidth="1"/>
    <col min="12558" max="12558" width="14.375" style="3829" customWidth="1"/>
    <col min="12559" max="12559" width="9.75" style="3829" customWidth="1"/>
    <col min="12560" max="12560" width="6.25" style="3829" customWidth="1"/>
    <col min="12561" max="12561" width="32.625" style="3829" customWidth="1"/>
    <col min="12562" max="12562" width="7.875" style="3829" customWidth="1"/>
    <col min="12563" max="12800" width="9" style="3829"/>
    <col min="12801" max="12801" width="25.375" style="3829" customWidth="1"/>
    <col min="12802" max="12802" width="14.5" style="3829" customWidth="1"/>
    <col min="12803" max="12803" width="11.75" style="3829" customWidth="1"/>
    <col min="12804" max="12805" width="13.875" style="3829" customWidth="1"/>
    <col min="12806" max="12806" width="10.5" style="3829" customWidth="1"/>
    <col min="12807" max="12807" width="6.375" style="3829" customWidth="1"/>
    <col min="12808" max="12808" width="11.25" style="3829" customWidth="1"/>
    <col min="12809" max="12809" width="0" style="3829" hidden="1" customWidth="1"/>
    <col min="12810" max="12811" width="9" style="3829" customWidth="1"/>
    <col min="12812" max="12813" width="10.625" style="3829" customWidth="1"/>
    <col min="12814" max="12814" width="14.375" style="3829" customWidth="1"/>
    <col min="12815" max="12815" width="9.75" style="3829" customWidth="1"/>
    <col min="12816" max="12816" width="6.25" style="3829" customWidth="1"/>
    <col min="12817" max="12817" width="32.625" style="3829" customWidth="1"/>
    <col min="12818" max="12818" width="7.875" style="3829" customWidth="1"/>
    <col min="12819" max="13056" width="9" style="3829"/>
    <col min="13057" max="13057" width="25.375" style="3829" customWidth="1"/>
    <col min="13058" max="13058" width="14.5" style="3829" customWidth="1"/>
    <col min="13059" max="13059" width="11.75" style="3829" customWidth="1"/>
    <col min="13060" max="13061" width="13.875" style="3829" customWidth="1"/>
    <col min="13062" max="13062" width="10.5" style="3829" customWidth="1"/>
    <col min="13063" max="13063" width="6.375" style="3829" customWidth="1"/>
    <col min="13064" max="13064" width="11.25" style="3829" customWidth="1"/>
    <col min="13065" max="13065" width="0" style="3829" hidden="1" customWidth="1"/>
    <col min="13066" max="13067" width="9" style="3829" customWidth="1"/>
    <col min="13068" max="13069" width="10.625" style="3829" customWidth="1"/>
    <col min="13070" max="13070" width="14.375" style="3829" customWidth="1"/>
    <col min="13071" max="13071" width="9.75" style="3829" customWidth="1"/>
    <col min="13072" max="13072" width="6.25" style="3829" customWidth="1"/>
    <col min="13073" max="13073" width="32.625" style="3829" customWidth="1"/>
    <col min="13074" max="13074" width="7.875" style="3829" customWidth="1"/>
    <col min="13075" max="13312" width="9" style="3829"/>
    <col min="13313" max="13313" width="25.375" style="3829" customWidth="1"/>
    <col min="13314" max="13314" width="14.5" style="3829" customWidth="1"/>
    <col min="13315" max="13315" width="11.75" style="3829" customWidth="1"/>
    <col min="13316" max="13317" width="13.875" style="3829" customWidth="1"/>
    <col min="13318" max="13318" width="10.5" style="3829" customWidth="1"/>
    <col min="13319" max="13319" width="6.375" style="3829" customWidth="1"/>
    <col min="13320" max="13320" width="11.25" style="3829" customWidth="1"/>
    <col min="13321" max="13321" width="0" style="3829" hidden="1" customWidth="1"/>
    <col min="13322" max="13323" width="9" style="3829" customWidth="1"/>
    <col min="13324" max="13325" width="10.625" style="3829" customWidth="1"/>
    <col min="13326" max="13326" width="14.375" style="3829" customWidth="1"/>
    <col min="13327" max="13327" width="9.75" style="3829" customWidth="1"/>
    <col min="13328" max="13328" width="6.25" style="3829" customWidth="1"/>
    <col min="13329" max="13329" width="32.625" style="3829" customWidth="1"/>
    <col min="13330" max="13330" width="7.875" style="3829" customWidth="1"/>
    <col min="13331" max="13568" width="9" style="3829"/>
    <col min="13569" max="13569" width="25.375" style="3829" customWidth="1"/>
    <col min="13570" max="13570" width="14.5" style="3829" customWidth="1"/>
    <col min="13571" max="13571" width="11.75" style="3829" customWidth="1"/>
    <col min="13572" max="13573" width="13.875" style="3829" customWidth="1"/>
    <col min="13574" max="13574" width="10.5" style="3829" customWidth="1"/>
    <col min="13575" max="13575" width="6.375" style="3829" customWidth="1"/>
    <col min="13576" max="13576" width="11.25" style="3829" customWidth="1"/>
    <col min="13577" max="13577" width="0" style="3829" hidden="1" customWidth="1"/>
    <col min="13578" max="13579" width="9" style="3829" customWidth="1"/>
    <col min="13580" max="13581" width="10.625" style="3829" customWidth="1"/>
    <col min="13582" max="13582" width="14.375" style="3829" customWidth="1"/>
    <col min="13583" max="13583" width="9.75" style="3829" customWidth="1"/>
    <col min="13584" max="13584" width="6.25" style="3829" customWidth="1"/>
    <col min="13585" max="13585" width="32.625" style="3829" customWidth="1"/>
    <col min="13586" max="13586" width="7.875" style="3829" customWidth="1"/>
    <col min="13587" max="13824" width="9" style="3829"/>
    <col min="13825" max="13825" width="25.375" style="3829" customWidth="1"/>
    <col min="13826" max="13826" width="14.5" style="3829" customWidth="1"/>
    <col min="13827" max="13827" width="11.75" style="3829" customWidth="1"/>
    <col min="13828" max="13829" width="13.875" style="3829" customWidth="1"/>
    <col min="13830" max="13830" width="10.5" style="3829" customWidth="1"/>
    <col min="13831" max="13831" width="6.375" style="3829" customWidth="1"/>
    <col min="13832" max="13832" width="11.25" style="3829" customWidth="1"/>
    <col min="13833" max="13833" width="0" style="3829" hidden="1" customWidth="1"/>
    <col min="13834" max="13835" width="9" style="3829" customWidth="1"/>
    <col min="13836" max="13837" width="10.625" style="3829" customWidth="1"/>
    <col min="13838" max="13838" width="14.375" style="3829" customWidth="1"/>
    <col min="13839" max="13839" width="9.75" style="3829" customWidth="1"/>
    <col min="13840" max="13840" width="6.25" style="3829" customWidth="1"/>
    <col min="13841" max="13841" width="32.625" style="3829" customWidth="1"/>
    <col min="13842" max="13842" width="7.875" style="3829" customWidth="1"/>
    <col min="13843" max="14080" width="9" style="3829"/>
    <col min="14081" max="14081" width="25.375" style="3829" customWidth="1"/>
    <col min="14082" max="14082" width="14.5" style="3829" customWidth="1"/>
    <col min="14083" max="14083" width="11.75" style="3829" customWidth="1"/>
    <col min="14084" max="14085" width="13.875" style="3829" customWidth="1"/>
    <col min="14086" max="14086" width="10.5" style="3829" customWidth="1"/>
    <col min="14087" max="14087" width="6.375" style="3829" customWidth="1"/>
    <col min="14088" max="14088" width="11.25" style="3829" customWidth="1"/>
    <col min="14089" max="14089" width="0" style="3829" hidden="1" customWidth="1"/>
    <col min="14090" max="14091" width="9" style="3829" customWidth="1"/>
    <col min="14092" max="14093" width="10.625" style="3829" customWidth="1"/>
    <col min="14094" max="14094" width="14.375" style="3829" customWidth="1"/>
    <col min="14095" max="14095" width="9.75" style="3829" customWidth="1"/>
    <col min="14096" max="14096" width="6.25" style="3829" customWidth="1"/>
    <col min="14097" max="14097" width="32.625" style="3829" customWidth="1"/>
    <col min="14098" max="14098" width="7.875" style="3829" customWidth="1"/>
    <col min="14099" max="14336" width="9" style="3829"/>
    <col min="14337" max="14337" width="25.375" style="3829" customWidth="1"/>
    <col min="14338" max="14338" width="14.5" style="3829" customWidth="1"/>
    <col min="14339" max="14339" width="11.75" style="3829" customWidth="1"/>
    <col min="14340" max="14341" width="13.875" style="3829" customWidth="1"/>
    <col min="14342" max="14342" width="10.5" style="3829" customWidth="1"/>
    <col min="14343" max="14343" width="6.375" style="3829" customWidth="1"/>
    <col min="14344" max="14344" width="11.25" style="3829" customWidth="1"/>
    <col min="14345" max="14345" width="0" style="3829" hidden="1" customWidth="1"/>
    <col min="14346" max="14347" width="9" style="3829" customWidth="1"/>
    <col min="14348" max="14349" width="10.625" style="3829" customWidth="1"/>
    <col min="14350" max="14350" width="14.375" style="3829" customWidth="1"/>
    <col min="14351" max="14351" width="9.75" style="3829" customWidth="1"/>
    <col min="14352" max="14352" width="6.25" style="3829" customWidth="1"/>
    <col min="14353" max="14353" width="32.625" style="3829" customWidth="1"/>
    <col min="14354" max="14354" width="7.875" style="3829" customWidth="1"/>
    <col min="14355" max="14592" width="9" style="3829"/>
    <col min="14593" max="14593" width="25.375" style="3829" customWidth="1"/>
    <col min="14594" max="14594" width="14.5" style="3829" customWidth="1"/>
    <col min="14595" max="14595" width="11.75" style="3829" customWidth="1"/>
    <col min="14596" max="14597" width="13.875" style="3829" customWidth="1"/>
    <col min="14598" max="14598" width="10.5" style="3829" customWidth="1"/>
    <col min="14599" max="14599" width="6.375" style="3829" customWidth="1"/>
    <col min="14600" max="14600" width="11.25" style="3829" customWidth="1"/>
    <col min="14601" max="14601" width="0" style="3829" hidden="1" customWidth="1"/>
    <col min="14602" max="14603" width="9" style="3829" customWidth="1"/>
    <col min="14604" max="14605" width="10.625" style="3829" customWidth="1"/>
    <col min="14606" max="14606" width="14.375" style="3829" customWidth="1"/>
    <col min="14607" max="14607" width="9.75" style="3829" customWidth="1"/>
    <col min="14608" max="14608" width="6.25" style="3829" customWidth="1"/>
    <col min="14609" max="14609" width="32.625" style="3829" customWidth="1"/>
    <col min="14610" max="14610" width="7.875" style="3829" customWidth="1"/>
    <col min="14611" max="14848" width="9" style="3829"/>
    <col min="14849" max="14849" width="25.375" style="3829" customWidth="1"/>
    <col min="14850" max="14850" width="14.5" style="3829" customWidth="1"/>
    <col min="14851" max="14851" width="11.75" style="3829" customWidth="1"/>
    <col min="14852" max="14853" width="13.875" style="3829" customWidth="1"/>
    <col min="14854" max="14854" width="10.5" style="3829" customWidth="1"/>
    <col min="14855" max="14855" width="6.375" style="3829" customWidth="1"/>
    <col min="14856" max="14856" width="11.25" style="3829" customWidth="1"/>
    <col min="14857" max="14857" width="0" style="3829" hidden="1" customWidth="1"/>
    <col min="14858" max="14859" width="9" style="3829" customWidth="1"/>
    <col min="14860" max="14861" width="10.625" style="3829" customWidth="1"/>
    <col min="14862" max="14862" width="14.375" style="3829" customWidth="1"/>
    <col min="14863" max="14863" width="9.75" style="3829" customWidth="1"/>
    <col min="14864" max="14864" width="6.25" style="3829" customWidth="1"/>
    <col min="14865" max="14865" width="32.625" style="3829" customWidth="1"/>
    <col min="14866" max="14866" width="7.875" style="3829" customWidth="1"/>
    <col min="14867" max="15104" width="9" style="3829"/>
    <col min="15105" max="15105" width="25.375" style="3829" customWidth="1"/>
    <col min="15106" max="15106" width="14.5" style="3829" customWidth="1"/>
    <col min="15107" max="15107" width="11.75" style="3829" customWidth="1"/>
    <col min="15108" max="15109" width="13.875" style="3829" customWidth="1"/>
    <col min="15110" max="15110" width="10.5" style="3829" customWidth="1"/>
    <col min="15111" max="15111" width="6.375" style="3829" customWidth="1"/>
    <col min="15112" max="15112" width="11.25" style="3829" customWidth="1"/>
    <col min="15113" max="15113" width="0" style="3829" hidden="1" customWidth="1"/>
    <col min="15114" max="15115" width="9" style="3829" customWidth="1"/>
    <col min="15116" max="15117" width="10.625" style="3829" customWidth="1"/>
    <col min="15118" max="15118" width="14.375" style="3829" customWidth="1"/>
    <col min="15119" max="15119" width="9.75" style="3829" customWidth="1"/>
    <col min="15120" max="15120" width="6.25" style="3829" customWidth="1"/>
    <col min="15121" max="15121" width="32.625" style="3829" customWidth="1"/>
    <col min="15122" max="15122" width="7.875" style="3829" customWidth="1"/>
    <col min="15123" max="15360" width="9" style="3829"/>
    <col min="15361" max="15361" width="25.375" style="3829" customWidth="1"/>
    <col min="15362" max="15362" width="14.5" style="3829" customWidth="1"/>
    <col min="15363" max="15363" width="11.75" style="3829" customWidth="1"/>
    <col min="15364" max="15365" width="13.875" style="3829" customWidth="1"/>
    <col min="15366" max="15366" width="10.5" style="3829" customWidth="1"/>
    <col min="15367" max="15367" width="6.375" style="3829" customWidth="1"/>
    <col min="15368" max="15368" width="11.25" style="3829" customWidth="1"/>
    <col min="15369" max="15369" width="0" style="3829" hidden="1" customWidth="1"/>
    <col min="15370" max="15371" width="9" style="3829" customWidth="1"/>
    <col min="15372" max="15373" width="10.625" style="3829" customWidth="1"/>
    <col min="15374" max="15374" width="14.375" style="3829" customWidth="1"/>
    <col min="15375" max="15375" width="9.75" style="3829" customWidth="1"/>
    <col min="15376" max="15376" width="6.25" style="3829" customWidth="1"/>
    <col min="15377" max="15377" width="32.625" style="3829" customWidth="1"/>
    <col min="15378" max="15378" width="7.875" style="3829" customWidth="1"/>
    <col min="15379" max="15616" width="9" style="3829"/>
    <col min="15617" max="15617" width="25.375" style="3829" customWidth="1"/>
    <col min="15618" max="15618" width="14.5" style="3829" customWidth="1"/>
    <col min="15619" max="15619" width="11.75" style="3829" customWidth="1"/>
    <col min="15620" max="15621" width="13.875" style="3829" customWidth="1"/>
    <col min="15622" max="15622" width="10.5" style="3829" customWidth="1"/>
    <col min="15623" max="15623" width="6.375" style="3829" customWidth="1"/>
    <col min="15624" max="15624" width="11.25" style="3829" customWidth="1"/>
    <col min="15625" max="15625" width="0" style="3829" hidden="1" customWidth="1"/>
    <col min="15626" max="15627" width="9" style="3829" customWidth="1"/>
    <col min="15628" max="15629" width="10.625" style="3829" customWidth="1"/>
    <col min="15630" max="15630" width="14.375" style="3829" customWidth="1"/>
    <col min="15631" max="15631" width="9.75" style="3829" customWidth="1"/>
    <col min="15632" max="15632" width="6.25" style="3829" customWidth="1"/>
    <col min="15633" max="15633" width="32.625" style="3829" customWidth="1"/>
    <col min="15634" max="15634" width="7.875" style="3829" customWidth="1"/>
    <col min="15635" max="15872" width="9" style="3829"/>
    <col min="15873" max="15873" width="25.375" style="3829" customWidth="1"/>
    <col min="15874" max="15874" width="14.5" style="3829" customWidth="1"/>
    <col min="15875" max="15875" width="11.75" style="3829" customWidth="1"/>
    <col min="15876" max="15877" width="13.875" style="3829" customWidth="1"/>
    <col min="15878" max="15878" width="10.5" style="3829" customWidth="1"/>
    <col min="15879" max="15879" width="6.375" style="3829" customWidth="1"/>
    <col min="15880" max="15880" width="11.25" style="3829" customWidth="1"/>
    <col min="15881" max="15881" width="0" style="3829" hidden="1" customWidth="1"/>
    <col min="15882" max="15883" width="9" style="3829" customWidth="1"/>
    <col min="15884" max="15885" width="10.625" style="3829" customWidth="1"/>
    <col min="15886" max="15886" width="14.375" style="3829" customWidth="1"/>
    <col min="15887" max="15887" width="9.75" style="3829" customWidth="1"/>
    <col min="15888" max="15888" width="6.25" style="3829" customWidth="1"/>
    <col min="15889" max="15889" width="32.625" style="3829" customWidth="1"/>
    <col min="15890" max="15890" width="7.875" style="3829" customWidth="1"/>
    <col min="15891" max="16128" width="9" style="3829"/>
    <col min="16129" max="16129" width="25.375" style="3829" customWidth="1"/>
    <col min="16130" max="16130" width="14.5" style="3829" customWidth="1"/>
    <col min="16131" max="16131" width="11.75" style="3829" customWidth="1"/>
    <col min="16132" max="16133" width="13.875" style="3829" customWidth="1"/>
    <col min="16134" max="16134" width="10.5" style="3829" customWidth="1"/>
    <col min="16135" max="16135" width="6.375" style="3829" customWidth="1"/>
    <col min="16136" max="16136" width="11.25" style="3829" customWidth="1"/>
    <col min="16137" max="16137" width="0" style="3829" hidden="1" customWidth="1"/>
    <col min="16138" max="16139" width="9" style="3829" customWidth="1"/>
    <col min="16140" max="16141" width="10.625" style="3829" customWidth="1"/>
    <col min="16142" max="16142" width="14.375" style="3829" customWidth="1"/>
    <col min="16143" max="16143" width="9.75" style="3829" customWidth="1"/>
    <col min="16144" max="16144" width="6.25" style="3829" customWidth="1"/>
    <col min="16145" max="16145" width="32.625" style="3829" customWidth="1"/>
    <col min="16146" max="16146" width="7.875" style="3829" customWidth="1"/>
    <col min="16147" max="16384" width="9" style="3829"/>
  </cols>
  <sheetData>
    <row r="1" spans="1:19" ht="14.25">
      <c r="A1" s="3829" t="s">
        <v>3210</v>
      </c>
      <c r="B1" s="3829" t="s">
        <v>3211</v>
      </c>
      <c r="C1" s="3829" t="s">
        <v>3212</v>
      </c>
      <c r="D1" s="3829" t="s">
        <v>3213</v>
      </c>
      <c r="E1" s="3829" t="s">
        <v>3214</v>
      </c>
      <c r="F1" s="3829" t="s">
        <v>3215</v>
      </c>
      <c r="G1" s="3829" t="s">
        <v>3216</v>
      </c>
      <c r="H1" s="3829" t="s">
        <v>3217</v>
      </c>
      <c r="I1" s="3829" t="s">
        <v>3218</v>
      </c>
      <c r="J1" s="3829" t="s">
        <v>3219</v>
      </c>
      <c r="K1" s="3829" t="s">
        <v>3220</v>
      </c>
      <c r="L1" s="3829" t="s">
        <v>3221</v>
      </c>
      <c r="M1" s="3829" t="s">
        <v>3222</v>
      </c>
      <c r="N1" s="3830" t="s">
        <v>3223</v>
      </c>
      <c r="O1" s="3831" t="s">
        <v>3224</v>
      </c>
      <c r="P1" s="3829" t="s">
        <v>3225</v>
      </c>
      <c r="Q1" s="3829" t="s">
        <v>3226</v>
      </c>
      <c r="R1" s="3829" t="s">
        <v>3227</v>
      </c>
    </row>
    <row r="2" spans="1:19">
      <c r="A2" s="3829" t="s">
        <v>3228</v>
      </c>
      <c r="B2" s="3829" t="s">
        <v>3229</v>
      </c>
      <c r="C2" s="3829" t="s">
        <v>3230</v>
      </c>
      <c r="D2" s="3829">
        <v>2692.88</v>
      </c>
      <c r="E2" s="3829">
        <v>807.86</v>
      </c>
      <c r="F2" s="3829" t="s">
        <v>3231</v>
      </c>
      <c r="G2" s="3829" t="s">
        <v>3232</v>
      </c>
      <c r="H2" s="3829" t="s">
        <v>3113</v>
      </c>
      <c r="I2" s="3829">
        <v>0</v>
      </c>
      <c r="J2" s="3829" t="s">
        <v>3233</v>
      </c>
      <c r="K2" s="3829" t="s">
        <v>3233</v>
      </c>
      <c r="L2" s="3829">
        <v>102.84</v>
      </c>
      <c r="M2" s="3829">
        <v>102.84</v>
      </c>
      <c r="N2" s="3829">
        <v>1272.99</v>
      </c>
      <c r="O2" s="3829">
        <f>N2*0.3</f>
        <v>381.89699999999999</v>
      </c>
      <c r="P2" s="3829">
        <v>0</v>
      </c>
      <c r="Q2" s="3829" t="s">
        <v>3234</v>
      </c>
      <c r="R2" s="3829" t="s">
        <v>3235</v>
      </c>
      <c r="S2" s="3832">
        <f>M2/(D2/666.67)</f>
        <v>25.459858144440151</v>
      </c>
    </row>
    <row r="3" spans="1:19">
      <c r="A3" s="3829" t="s">
        <v>3236</v>
      </c>
      <c r="B3" s="3829" t="s">
        <v>3229</v>
      </c>
      <c r="C3" s="3829" t="s">
        <v>3237</v>
      </c>
      <c r="D3" s="3829">
        <v>3480.09</v>
      </c>
      <c r="E3" s="3829">
        <v>2505.66</v>
      </c>
      <c r="F3" s="3829" t="s">
        <v>3238</v>
      </c>
      <c r="G3" s="3829" t="s">
        <v>3232</v>
      </c>
      <c r="H3" s="3829" t="s">
        <v>3239</v>
      </c>
      <c r="I3" s="3829">
        <v>0</v>
      </c>
      <c r="J3" s="3829" t="s">
        <v>3240</v>
      </c>
      <c r="K3" s="3829" t="s">
        <v>3240</v>
      </c>
      <c r="L3" s="3829">
        <v>655.39</v>
      </c>
      <c r="M3" s="3829">
        <v>655.39</v>
      </c>
      <c r="N3" s="3829">
        <v>2615.67</v>
      </c>
      <c r="O3" s="3829">
        <f>N3*0.72</f>
        <v>1883.2824000000001</v>
      </c>
      <c r="P3" s="3829">
        <v>0</v>
      </c>
      <c r="Q3" s="3829" t="s">
        <v>3241</v>
      </c>
      <c r="R3" s="3829" t="s">
        <v>3235</v>
      </c>
      <c r="S3" s="3832">
        <f t="shared" ref="S3:S33" si="0">M3/(D3/666.67)</f>
        <v>125.55102060578891</v>
      </c>
    </row>
    <row r="4" spans="1:19">
      <c r="A4" s="3829" t="s">
        <v>3242</v>
      </c>
      <c r="B4" s="3829" t="s">
        <v>3229</v>
      </c>
      <c r="C4" s="3829" t="s">
        <v>3230</v>
      </c>
      <c r="D4" s="3829">
        <v>4484.38</v>
      </c>
      <c r="E4" s="3829">
        <v>807.19</v>
      </c>
      <c r="F4" s="3829" t="s">
        <v>3243</v>
      </c>
      <c r="G4" s="3829" t="s">
        <v>3232</v>
      </c>
      <c r="H4" s="3829" t="s">
        <v>3113</v>
      </c>
      <c r="I4" s="3829">
        <v>0</v>
      </c>
      <c r="J4" s="3829" t="s">
        <v>3244</v>
      </c>
      <c r="K4" s="3829" t="s">
        <v>3244</v>
      </c>
      <c r="L4" s="3829">
        <v>590.52</v>
      </c>
      <c r="M4" s="3829">
        <v>590.52</v>
      </c>
      <c r="N4" s="3829">
        <v>7315.86</v>
      </c>
      <c r="O4" s="3829">
        <f>N4*0.18</f>
        <v>1316.8547999999998</v>
      </c>
      <c r="P4" s="3829">
        <v>0</v>
      </c>
      <c r="Q4" s="3829" t="s">
        <v>3245</v>
      </c>
      <c r="R4" s="3829" t="s">
        <v>3246</v>
      </c>
      <c r="S4" s="3832">
        <f t="shared" si="0"/>
        <v>87.78960935513939</v>
      </c>
    </row>
    <row r="5" spans="1:19">
      <c r="A5" s="3829" t="s">
        <v>3247</v>
      </c>
      <c r="B5" s="3829" t="s">
        <v>3229</v>
      </c>
      <c r="C5" s="3829" t="s">
        <v>3230</v>
      </c>
      <c r="D5" s="3829">
        <v>95194.2</v>
      </c>
      <c r="E5" s="3829">
        <v>47597.1</v>
      </c>
      <c r="F5" s="3829" t="s">
        <v>3248</v>
      </c>
      <c r="G5" s="3829" t="s">
        <v>3232</v>
      </c>
      <c r="H5" s="3829" t="s">
        <v>3249</v>
      </c>
      <c r="I5" s="3829">
        <v>0</v>
      </c>
      <c r="J5" s="3829" t="s">
        <v>3250</v>
      </c>
      <c r="K5" s="3829" t="s">
        <v>3251</v>
      </c>
      <c r="L5" s="3829" t="s">
        <v>1298</v>
      </c>
      <c r="M5" s="3829">
        <v>10992.21</v>
      </c>
      <c r="N5" s="3829">
        <v>2309.42</v>
      </c>
      <c r="O5" s="3829">
        <f>N5*0.5</f>
        <v>1154.71</v>
      </c>
      <c r="P5" s="3829" t="s">
        <v>1298</v>
      </c>
      <c r="Q5" s="3829" t="s">
        <v>3252</v>
      </c>
      <c r="R5" s="3829" t="s">
        <v>3253</v>
      </c>
      <c r="S5" s="3832">
        <f t="shared" si="0"/>
        <v>76.981335424847302</v>
      </c>
    </row>
    <row r="6" spans="1:19">
      <c r="A6" s="3829" t="s">
        <v>3247</v>
      </c>
      <c r="B6" s="3829" t="s">
        <v>3229</v>
      </c>
      <c r="C6" s="3829" t="s">
        <v>3230</v>
      </c>
      <c r="D6" s="3829">
        <v>107515.29</v>
      </c>
      <c r="E6" s="3829">
        <v>53757.65</v>
      </c>
      <c r="F6" s="3829" t="s">
        <v>3248</v>
      </c>
      <c r="G6" s="3829" t="s">
        <v>3232</v>
      </c>
      <c r="H6" s="3829" t="s">
        <v>3249</v>
      </c>
      <c r="I6" s="3829">
        <v>0</v>
      </c>
      <c r="J6" s="3829" t="s">
        <v>3254</v>
      </c>
      <c r="K6" s="3829" t="s">
        <v>3254</v>
      </c>
      <c r="L6" s="3829" t="s">
        <v>1298</v>
      </c>
      <c r="M6" s="3829">
        <v>12407.26</v>
      </c>
      <c r="N6" s="3829">
        <v>2308</v>
      </c>
      <c r="O6" s="3829">
        <f>N6*0.5</f>
        <v>1154</v>
      </c>
      <c r="P6" s="3829" t="s">
        <v>1298</v>
      </c>
      <c r="Q6" s="3829" t="s">
        <v>3252</v>
      </c>
      <c r="R6" s="3829" t="s">
        <v>3253</v>
      </c>
      <c r="S6" s="3832">
        <f t="shared" si="0"/>
        <v>76.933690307676244</v>
      </c>
    </row>
    <row r="7" spans="1:19">
      <c r="A7" s="3829" t="s">
        <v>3255</v>
      </c>
      <c r="B7" s="3829" t="s">
        <v>3229</v>
      </c>
      <c r="C7" s="3829" t="s">
        <v>3230</v>
      </c>
      <c r="D7" s="3829">
        <v>78166.28</v>
      </c>
      <c r="E7" s="3829">
        <v>109432.79</v>
      </c>
      <c r="F7" s="3829" t="s">
        <v>3256</v>
      </c>
      <c r="G7" s="3829" t="s">
        <v>3232</v>
      </c>
      <c r="H7" s="3829" t="s">
        <v>3249</v>
      </c>
      <c r="I7" s="3829">
        <v>0</v>
      </c>
      <c r="J7" s="3829" t="s">
        <v>3254</v>
      </c>
      <c r="K7" s="3829" t="s">
        <v>3254</v>
      </c>
      <c r="L7" s="3829" t="s">
        <v>1298</v>
      </c>
      <c r="M7" s="3829">
        <v>9125.7900000000009</v>
      </c>
      <c r="N7" s="3829">
        <v>833.91</v>
      </c>
      <c r="O7" s="3829">
        <f>N7*1.4</f>
        <v>1167.4739999999999</v>
      </c>
      <c r="P7" s="3829" t="s">
        <v>1298</v>
      </c>
      <c r="Q7" s="3829" t="s">
        <v>3252</v>
      </c>
      <c r="R7" s="3829" t="s">
        <v>3253</v>
      </c>
      <c r="S7" s="3832">
        <f t="shared" si="0"/>
        <v>77.832671828568536</v>
      </c>
    </row>
    <row r="8" spans="1:19">
      <c r="A8" s="3829" t="s">
        <v>3257</v>
      </c>
      <c r="B8" s="3829" t="s">
        <v>3229</v>
      </c>
      <c r="C8" s="3829" t="s">
        <v>3230</v>
      </c>
      <c r="D8" s="3829">
        <v>95788.6</v>
      </c>
      <c r="E8" s="3829">
        <v>47894.3</v>
      </c>
      <c r="F8" s="3829" t="s">
        <v>3248</v>
      </c>
      <c r="G8" s="3829" t="s">
        <v>3232</v>
      </c>
      <c r="H8" s="3829" t="s">
        <v>3249</v>
      </c>
      <c r="I8" s="3829">
        <v>0</v>
      </c>
      <c r="J8" s="3829" t="s">
        <v>3254</v>
      </c>
      <c r="K8" s="3829" t="s">
        <v>3254</v>
      </c>
      <c r="L8" s="3829" t="s">
        <v>1298</v>
      </c>
      <c r="M8" s="3829">
        <v>11060.79</v>
      </c>
      <c r="N8" s="3829">
        <v>2309.42</v>
      </c>
      <c r="O8" s="3829">
        <f>N8*0.5</f>
        <v>1154.71</v>
      </c>
      <c r="P8" s="3829" t="s">
        <v>1298</v>
      </c>
      <c r="Q8" s="3829" t="s">
        <v>3252</v>
      </c>
      <c r="R8" s="3829" t="s">
        <v>3253</v>
      </c>
      <c r="S8" s="3832">
        <f t="shared" si="0"/>
        <v>76.980944176029297</v>
      </c>
    </row>
    <row r="9" spans="1:19">
      <c r="A9" s="3829" t="s">
        <v>3258</v>
      </c>
      <c r="B9" s="3829" t="s">
        <v>3229</v>
      </c>
      <c r="C9" s="3829" t="s">
        <v>3230</v>
      </c>
      <c r="D9" s="3829">
        <v>1538.17</v>
      </c>
      <c r="E9" s="3829">
        <v>1707.37</v>
      </c>
      <c r="F9" s="3829" t="s">
        <v>3259</v>
      </c>
      <c r="G9" s="3829" t="s">
        <v>3232</v>
      </c>
      <c r="H9" s="3829" t="s">
        <v>3113</v>
      </c>
      <c r="I9" s="3829">
        <v>0</v>
      </c>
      <c r="J9" s="3829" t="s">
        <v>3260</v>
      </c>
      <c r="K9" s="3829" t="s">
        <v>3260</v>
      </c>
      <c r="L9" s="3829">
        <v>485.89</v>
      </c>
      <c r="M9" s="3829">
        <v>485.89</v>
      </c>
      <c r="N9" s="3829">
        <v>2845.9</v>
      </c>
      <c r="O9" s="3829">
        <f>N9*1.11</f>
        <v>3158.9490000000005</v>
      </c>
      <c r="P9" s="3829">
        <v>0</v>
      </c>
      <c r="Q9" s="3829" t="s">
        <v>3261</v>
      </c>
      <c r="R9" s="3829" t="s">
        <v>3253</v>
      </c>
      <c r="S9" s="3832">
        <f t="shared" si="0"/>
        <v>210.5932935241228</v>
      </c>
    </row>
    <row r="10" spans="1:19">
      <c r="A10" s="3829" t="s">
        <v>3262</v>
      </c>
      <c r="B10" s="3829" t="s">
        <v>3229</v>
      </c>
      <c r="C10" s="3829" t="s">
        <v>3230</v>
      </c>
      <c r="D10" s="3829">
        <v>20173.48</v>
      </c>
      <c r="E10" s="3829">
        <v>46399</v>
      </c>
      <c r="F10" s="3829" t="s">
        <v>3263</v>
      </c>
      <c r="G10" s="3829" t="s">
        <v>3232</v>
      </c>
      <c r="H10" s="3829" t="s">
        <v>3113</v>
      </c>
      <c r="I10" s="3829">
        <v>0</v>
      </c>
      <c r="J10" s="3829" t="s">
        <v>3264</v>
      </c>
      <c r="K10" s="3829" t="s">
        <v>3264</v>
      </c>
      <c r="L10" s="3829">
        <v>486.23</v>
      </c>
      <c r="M10" s="3829">
        <v>486.23</v>
      </c>
      <c r="N10" s="3829">
        <v>104.79</v>
      </c>
      <c r="O10" s="3829">
        <f>N10*2.3</f>
        <v>241.017</v>
      </c>
      <c r="P10" s="3829">
        <v>0</v>
      </c>
      <c r="Q10" s="3829" t="s">
        <v>3261</v>
      </c>
      <c r="R10" s="3829" t="s">
        <v>3253</v>
      </c>
      <c r="S10" s="3832">
        <f t="shared" si="0"/>
        <v>16.06837065791326</v>
      </c>
    </row>
    <row r="11" spans="1:19" s="3834" customFormat="1">
      <c r="A11" s="3833" t="s">
        <v>3265</v>
      </c>
      <c r="B11" s="3834" t="s">
        <v>3229</v>
      </c>
      <c r="C11" s="3834" t="s">
        <v>3230</v>
      </c>
      <c r="D11" s="3834">
        <v>4215</v>
      </c>
      <c r="E11" s="3834">
        <v>421.5</v>
      </c>
      <c r="F11" s="3834" t="s">
        <v>3266</v>
      </c>
      <c r="G11" s="3834" t="s">
        <v>3232</v>
      </c>
      <c r="H11" s="3834" t="s">
        <v>3112</v>
      </c>
      <c r="I11" s="3834">
        <v>0</v>
      </c>
      <c r="J11" s="3834" t="s">
        <v>3267</v>
      </c>
      <c r="K11" s="3834" t="s">
        <v>3267</v>
      </c>
      <c r="L11" s="3834">
        <v>494.1</v>
      </c>
      <c r="M11" s="3834">
        <v>494.1</v>
      </c>
      <c r="N11" s="3834">
        <v>11722.42</v>
      </c>
      <c r="O11" s="3834">
        <f>N11*0.1</f>
        <v>1172.242</v>
      </c>
      <c r="P11" s="3834">
        <v>0</v>
      </c>
      <c r="Q11" s="3834" t="s">
        <v>3268</v>
      </c>
      <c r="R11" s="3834" t="s">
        <v>3235</v>
      </c>
      <c r="S11" s="3835">
        <f t="shared" si="0"/>
        <v>78.149856939501788</v>
      </c>
    </row>
    <row r="12" spans="1:19">
      <c r="A12" s="3829" t="s">
        <v>3269</v>
      </c>
      <c r="B12" s="3829" t="s">
        <v>3229</v>
      </c>
      <c r="C12" s="3829" t="s">
        <v>3230</v>
      </c>
      <c r="D12" s="3829">
        <v>790.89</v>
      </c>
      <c r="E12" s="3829">
        <v>237.27</v>
      </c>
      <c r="F12" s="3829" t="s">
        <v>3231</v>
      </c>
      <c r="G12" s="3829" t="s">
        <v>3232</v>
      </c>
      <c r="H12" s="3829" t="s">
        <v>3249</v>
      </c>
      <c r="I12" s="3829">
        <v>0</v>
      </c>
      <c r="J12" s="3829" t="s">
        <v>3267</v>
      </c>
      <c r="K12" s="3829" t="s">
        <v>3267</v>
      </c>
      <c r="L12" s="3829" t="s">
        <v>1298</v>
      </c>
      <c r="M12" s="3829">
        <v>40.28</v>
      </c>
      <c r="N12" s="3829">
        <v>1697.64</v>
      </c>
      <c r="P12" s="3829" t="s">
        <v>1298</v>
      </c>
      <c r="Q12" s="3829" t="s">
        <v>3270</v>
      </c>
      <c r="R12" s="3829" t="s">
        <v>3235</v>
      </c>
      <c r="S12" s="3832">
        <f t="shared" si="0"/>
        <v>33.953479750660648</v>
      </c>
    </row>
    <row r="13" spans="1:19">
      <c r="A13" s="3829" t="s">
        <v>3269</v>
      </c>
      <c r="B13" s="3829" t="s">
        <v>3229</v>
      </c>
      <c r="C13" s="3829" t="s">
        <v>3230</v>
      </c>
      <c r="D13" s="3829">
        <v>22590.99</v>
      </c>
      <c r="E13" s="3829">
        <v>6777.3</v>
      </c>
      <c r="F13" s="3829" t="s">
        <v>3231</v>
      </c>
      <c r="G13" s="3829" t="s">
        <v>3232</v>
      </c>
      <c r="H13" s="3829" t="s">
        <v>3113</v>
      </c>
      <c r="I13" s="3829">
        <v>0</v>
      </c>
      <c r="J13" s="3829" t="s">
        <v>3271</v>
      </c>
      <c r="K13" s="3829" t="s">
        <v>3271</v>
      </c>
      <c r="L13" s="3829" t="s">
        <v>1298</v>
      </c>
      <c r="M13" s="3829">
        <v>1147.72</v>
      </c>
      <c r="N13" s="3829">
        <v>1693.48</v>
      </c>
      <c r="P13" s="3829" t="s">
        <v>1298</v>
      </c>
      <c r="Q13" s="3829" t="s">
        <v>3272</v>
      </c>
      <c r="R13" s="3829" t="s">
        <v>3273</v>
      </c>
      <c r="S13" s="3832">
        <f t="shared" si="0"/>
        <v>33.869719405833912</v>
      </c>
    </row>
    <row r="14" spans="1:19">
      <c r="A14" s="3829" t="s">
        <v>3269</v>
      </c>
      <c r="B14" s="3829" t="s">
        <v>3229</v>
      </c>
      <c r="C14" s="3829" t="s">
        <v>3230</v>
      </c>
      <c r="D14" s="3829">
        <v>3402.02</v>
      </c>
      <c r="E14" s="3829">
        <v>1020.61</v>
      </c>
      <c r="F14" s="3829" t="s">
        <v>3231</v>
      </c>
      <c r="G14" s="3829" t="s">
        <v>3232</v>
      </c>
      <c r="H14" s="3829" t="s">
        <v>3113</v>
      </c>
      <c r="I14" s="3829">
        <v>0</v>
      </c>
      <c r="J14" s="3829" t="s">
        <v>3271</v>
      </c>
      <c r="K14" s="3829" t="s">
        <v>3271</v>
      </c>
      <c r="L14" s="3829" t="s">
        <v>1298</v>
      </c>
      <c r="M14" s="3829">
        <v>172.91</v>
      </c>
      <c r="N14" s="3829">
        <v>1694.27</v>
      </c>
      <c r="P14" s="3829" t="s">
        <v>1298</v>
      </c>
      <c r="Q14" s="3829" t="s">
        <v>3272</v>
      </c>
      <c r="R14" s="3829" t="s">
        <v>3273</v>
      </c>
      <c r="S14" s="3832">
        <f t="shared" si="0"/>
        <v>33.883960029629449</v>
      </c>
    </row>
    <row r="15" spans="1:19">
      <c r="A15" s="3829" t="s">
        <v>3274</v>
      </c>
      <c r="B15" s="3829" t="s">
        <v>3229</v>
      </c>
      <c r="C15" s="3829" t="s">
        <v>3230</v>
      </c>
      <c r="D15" s="3829">
        <v>3987.97</v>
      </c>
      <c r="E15" s="3829">
        <v>8733.65</v>
      </c>
      <c r="F15" s="3829" t="s">
        <v>3275</v>
      </c>
      <c r="G15" s="3829" t="s">
        <v>3232</v>
      </c>
      <c r="H15" s="3829" t="s">
        <v>3113</v>
      </c>
      <c r="I15" s="3829">
        <v>0</v>
      </c>
      <c r="J15" s="3829" t="s">
        <v>3276</v>
      </c>
      <c r="K15" s="3829" t="s">
        <v>3276</v>
      </c>
      <c r="L15" s="3829">
        <v>575.79999999999995</v>
      </c>
      <c r="M15" s="3829">
        <v>575.79999999999995</v>
      </c>
      <c r="N15" s="3829">
        <v>659.29</v>
      </c>
      <c r="P15" s="3829">
        <v>0</v>
      </c>
      <c r="Q15" s="3829" t="s">
        <v>3261</v>
      </c>
      <c r="R15" s="3829" t="s">
        <v>3246</v>
      </c>
      <c r="S15" s="3832">
        <f t="shared" si="0"/>
        <v>96.256638339806955</v>
      </c>
    </row>
    <row r="16" spans="1:19">
      <c r="A16" s="3829" t="s">
        <v>3277</v>
      </c>
      <c r="B16" s="3829" t="s">
        <v>3229</v>
      </c>
      <c r="C16" s="3829" t="s">
        <v>3230</v>
      </c>
      <c r="D16" s="3829">
        <v>66617.83</v>
      </c>
      <c r="E16" s="3829">
        <v>33308.92</v>
      </c>
      <c r="F16" s="3829" t="s">
        <v>3248</v>
      </c>
      <c r="G16" s="3829" t="s">
        <v>3232</v>
      </c>
      <c r="H16" s="3829" t="s">
        <v>3249</v>
      </c>
      <c r="I16" s="3829">
        <v>0</v>
      </c>
      <c r="J16" s="3829" t="s">
        <v>3278</v>
      </c>
      <c r="K16" s="3829" t="s">
        <v>3278</v>
      </c>
      <c r="L16" s="3829" t="s">
        <v>1298</v>
      </c>
      <c r="M16" s="3829">
        <v>7661.14</v>
      </c>
      <c r="N16" s="3829">
        <v>2300.0300000000002</v>
      </c>
      <c r="P16" s="3829" t="s">
        <v>1298</v>
      </c>
      <c r="Q16" s="3829" t="s">
        <v>3252</v>
      </c>
      <c r="R16" s="3829" t="s">
        <v>3235</v>
      </c>
      <c r="S16" s="3832">
        <f t="shared" si="0"/>
        <v>76.667946160960213</v>
      </c>
    </row>
    <row r="17" spans="1:19">
      <c r="A17" s="3829" t="s">
        <v>3277</v>
      </c>
      <c r="B17" s="3829" t="s">
        <v>3229</v>
      </c>
      <c r="C17" s="3829" t="s">
        <v>3230</v>
      </c>
      <c r="D17" s="3829">
        <v>68025.56</v>
      </c>
      <c r="E17" s="3829">
        <v>34012.78</v>
      </c>
      <c r="F17" s="3829" t="s">
        <v>3248</v>
      </c>
      <c r="G17" s="3829" t="s">
        <v>3232</v>
      </c>
      <c r="H17" s="3829" t="s">
        <v>3249</v>
      </c>
      <c r="I17" s="3829">
        <v>0</v>
      </c>
      <c r="J17" s="3829" t="s">
        <v>3279</v>
      </c>
      <c r="K17" s="3829" t="s">
        <v>3279</v>
      </c>
      <c r="L17" s="3829" t="s">
        <v>1298</v>
      </c>
      <c r="M17" s="3829">
        <v>7823.03</v>
      </c>
      <c r="N17" s="3829">
        <v>2300.0300000000002</v>
      </c>
      <c r="P17" s="3829" t="s">
        <v>1298</v>
      </c>
      <c r="Q17" s="3829" t="s">
        <v>3252</v>
      </c>
      <c r="R17" s="3829" t="s">
        <v>3235</v>
      </c>
      <c r="S17" s="3832">
        <f t="shared" si="0"/>
        <v>76.667937905987102</v>
      </c>
    </row>
    <row r="18" spans="1:19" s="3834" customFormat="1">
      <c r="A18" s="3834" t="s">
        <v>3280</v>
      </c>
      <c r="B18" s="3834" t="s">
        <v>3229</v>
      </c>
      <c r="C18" s="3834" t="s">
        <v>3230</v>
      </c>
      <c r="D18" s="3834">
        <v>4485.03</v>
      </c>
      <c r="E18" s="3834">
        <v>1121.26</v>
      </c>
      <c r="F18" s="3834" t="s">
        <v>3281</v>
      </c>
      <c r="G18" s="3834" t="s">
        <v>3232</v>
      </c>
      <c r="H18" s="3834" t="s">
        <v>3112</v>
      </c>
      <c r="I18" s="3834">
        <v>0</v>
      </c>
      <c r="J18" s="3834" t="s">
        <v>3282</v>
      </c>
      <c r="K18" s="3834" t="s">
        <v>3282</v>
      </c>
      <c r="L18" s="3834">
        <v>559.37</v>
      </c>
      <c r="M18" s="3834">
        <v>559.37</v>
      </c>
      <c r="N18" s="3834">
        <v>4988.8500000000004</v>
      </c>
      <c r="O18" s="3834">
        <f>N18*0.25</f>
        <v>1247.2125000000001</v>
      </c>
      <c r="P18" s="3834">
        <v>0</v>
      </c>
      <c r="Q18" s="3834" t="s">
        <v>3283</v>
      </c>
      <c r="R18" s="3834" t="s">
        <v>3235</v>
      </c>
      <c r="S18" s="3835">
        <f t="shared" si="0"/>
        <v>83.146645150645583</v>
      </c>
    </row>
    <row r="19" spans="1:19">
      <c r="A19" s="3829" t="s">
        <v>3284</v>
      </c>
      <c r="B19" s="3829" t="s">
        <v>3229</v>
      </c>
      <c r="C19" s="3829" t="s">
        <v>3230</v>
      </c>
      <c r="D19" s="3829">
        <v>5003.05</v>
      </c>
      <c r="E19" s="3829">
        <v>3001.83</v>
      </c>
      <c r="F19" s="3829" t="s">
        <v>3285</v>
      </c>
      <c r="G19" s="3829" t="s">
        <v>3232</v>
      </c>
      <c r="H19" s="3829" t="s">
        <v>3113</v>
      </c>
      <c r="I19" s="3829">
        <v>0</v>
      </c>
      <c r="J19" s="3829" t="s">
        <v>3286</v>
      </c>
      <c r="K19" s="3829" t="s">
        <v>3286</v>
      </c>
      <c r="L19" s="3829">
        <v>548.41999999999996</v>
      </c>
      <c r="M19" s="3829">
        <v>548.41999999999996</v>
      </c>
      <c r="N19" s="3829">
        <v>1826.99</v>
      </c>
      <c r="P19" s="3829">
        <v>0</v>
      </c>
      <c r="Q19" s="3829" t="s">
        <v>3287</v>
      </c>
      <c r="R19" s="3829" t="s">
        <v>3273</v>
      </c>
      <c r="S19" s="3832">
        <f t="shared" si="0"/>
        <v>73.078454422802082</v>
      </c>
    </row>
    <row r="20" spans="1:19">
      <c r="A20" s="3829" t="s">
        <v>3288</v>
      </c>
      <c r="B20" s="3829" t="s">
        <v>3229</v>
      </c>
      <c r="C20" s="3829" t="s">
        <v>3230</v>
      </c>
      <c r="D20" s="3829">
        <v>2798.66</v>
      </c>
      <c r="E20" s="3829">
        <v>5177.5200000000004</v>
      </c>
      <c r="F20" s="3829" t="s">
        <v>3289</v>
      </c>
      <c r="G20" s="3829" t="s">
        <v>3232</v>
      </c>
      <c r="H20" s="3829" t="s">
        <v>3113</v>
      </c>
      <c r="I20" s="3829">
        <v>0</v>
      </c>
      <c r="J20" s="3829" t="s">
        <v>3290</v>
      </c>
      <c r="K20" s="3829" t="s">
        <v>3290</v>
      </c>
      <c r="L20" s="3829">
        <v>348.87</v>
      </c>
      <c r="M20" s="3829">
        <v>348.87</v>
      </c>
      <c r="N20" s="3829">
        <v>673.82</v>
      </c>
      <c r="P20" s="3829">
        <v>0</v>
      </c>
      <c r="Q20" s="3829" t="s">
        <v>3261</v>
      </c>
      <c r="R20" s="3829" t="s">
        <v>3253</v>
      </c>
      <c r="S20" s="3832">
        <f t="shared" si="0"/>
        <v>83.104472461821018</v>
      </c>
    </row>
    <row r="21" spans="1:19">
      <c r="A21" s="3829" t="s">
        <v>3291</v>
      </c>
      <c r="B21" s="3829" t="s">
        <v>3229</v>
      </c>
      <c r="C21" s="3829" t="s">
        <v>3230</v>
      </c>
      <c r="D21" s="3829">
        <v>2400.4699999999998</v>
      </c>
      <c r="E21" s="3829">
        <v>2664.52</v>
      </c>
      <c r="F21" s="3829" t="s">
        <v>3292</v>
      </c>
      <c r="G21" s="3829" t="s">
        <v>3232</v>
      </c>
      <c r="H21" s="3829" t="s">
        <v>3113</v>
      </c>
      <c r="I21" s="3829">
        <v>0</v>
      </c>
      <c r="J21" s="3829" t="s">
        <v>3293</v>
      </c>
      <c r="K21" s="3829" t="s">
        <v>3293</v>
      </c>
      <c r="L21" s="3829">
        <v>482.82</v>
      </c>
      <c r="M21" s="3829">
        <v>482.82</v>
      </c>
      <c r="N21" s="3829">
        <v>1812.06</v>
      </c>
      <c r="P21" s="3829">
        <v>0</v>
      </c>
      <c r="Q21" s="3829" t="s">
        <v>3294</v>
      </c>
      <c r="R21" s="3829" t="s">
        <v>3253</v>
      </c>
      <c r="S21" s="3832">
        <f t="shared" si="0"/>
        <v>134.09107774727448</v>
      </c>
    </row>
    <row r="22" spans="1:19">
      <c r="A22" s="3829" t="s">
        <v>3295</v>
      </c>
      <c r="B22" s="3829" t="s">
        <v>3229</v>
      </c>
      <c r="C22" s="3829" t="s">
        <v>3230</v>
      </c>
      <c r="D22" s="3829">
        <v>4258.54</v>
      </c>
      <c r="E22" s="3829">
        <v>4514.05</v>
      </c>
      <c r="F22" s="3829" t="s">
        <v>3296</v>
      </c>
      <c r="G22" s="3829" t="s">
        <v>3232</v>
      </c>
      <c r="H22" s="3829" t="s">
        <v>3113</v>
      </c>
      <c r="I22" s="3829">
        <v>0</v>
      </c>
      <c r="J22" s="3829" t="s">
        <v>3297</v>
      </c>
      <c r="K22" s="3829" t="s">
        <v>3297</v>
      </c>
      <c r="L22" s="3829">
        <v>486.43</v>
      </c>
      <c r="M22" s="3829">
        <v>486.43</v>
      </c>
      <c r="N22" s="3829">
        <v>1077.58</v>
      </c>
      <c r="P22" s="3829">
        <v>0</v>
      </c>
      <c r="Q22" s="3829" t="s">
        <v>3298</v>
      </c>
      <c r="R22" s="3829" t="s">
        <v>3253</v>
      </c>
      <c r="S22" s="3832">
        <f t="shared" si="0"/>
        <v>76.150109685479052</v>
      </c>
    </row>
    <row r="23" spans="1:19">
      <c r="A23" s="3829" t="s">
        <v>3269</v>
      </c>
      <c r="B23" s="3829" t="s">
        <v>3229</v>
      </c>
      <c r="C23" s="3829" t="s">
        <v>3230</v>
      </c>
      <c r="D23" s="3829">
        <v>2891.07</v>
      </c>
      <c r="E23" s="3829">
        <v>2457.41</v>
      </c>
      <c r="F23" s="3829" t="s">
        <v>3299</v>
      </c>
      <c r="G23" s="3829" t="s">
        <v>3232</v>
      </c>
      <c r="H23" s="3829" t="s">
        <v>3113</v>
      </c>
      <c r="I23" s="3829">
        <v>0</v>
      </c>
      <c r="J23" s="3829" t="s">
        <v>3300</v>
      </c>
      <c r="K23" s="3829" t="s">
        <v>3300</v>
      </c>
      <c r="L23" s="3829">
        <v>146.96</v>
      </c>
      <c r="M23" s="3829">
        <v>146.96</v>
      </c>
      <c r="N23" s="3829">
        <v>598.07000000000005</v>
      </c>
      <c r="P23" s="3829">
        <v>0</v>
      </c>
      <c r="Q23" s="3829" t="s">
        <v>3301</v>
      </c>
      <c r="R23" s="3829" t="s">
        <v>3273</v>
      </c>
      <c r="S23" s="3832">
        <f t="shared" si="0"/>
        <v>33.888429958458289</v>
      </c>
    </row>
    <row r="24" spans="1:19">
      <c r="A24" s="3829" t="s">
        <v>3302</v>
      </c>
      <c r="B24" s="3829" t="s">
        <v>3229</v>
      </c>
      <c r="C24" s="3829" t="s">
        <v>3230</v>
      </c>
      <c r="D24" s="3829">
        <v>26856.73</v>
      </c>
      <c r="E24" s="3829">
        <v>120855.29</v>
      </c>
      <c r="F24" s="3829" t="s">
        <v>3303</v>
      </c>
      <c r="G24" s="3829" t="s">
        <v>3232</v>
      </c>
      <c r="H24" s="3829" t="s">
        <v>3113</v>
      </c>
      <c r="I24" s="3829">
        <v>0</v>
      </c>
      <c r="J24" s="3829" t="s">
        <v>3304</v>
      </c>
      <c r="K24" s="3829" t="s">
        <v>3304</v>
      </c>
      <c r="L24" s="3829">
        <v>3828.61</v>
      </c>
      <c r="M24" s="3829">
        <v>3828.61</v>
      </c>
      <c r="N24" s="3829">
        <v>316.79000000000002</v>
      </c>
      <c r="P24" s="3829">
        <v>0</v>
      </c>
      <c r="Q24" s="3829" t="s">
        <v>3305</v>
      </c>
      <c r="R24" s="3829" t="s">
        <v>3306</v>
      </c>
      <c r="S24" s="3832">
        <f t="shared" si="0"/>
        <v>95.038354583748657</v>
      </c>
    </row>
    <row r="25" spans="1:19">
      <c r="A25" s="3829" t="s">
        <v>3307</v>
      </c>
      <c r="B25" s="3829" t="s">
        <v>3229</v>
      </c>
      <c r="C25" s="3829" t="s">
        <v>3230</v>
      </c>
      <c r="D25" s="3829">
        <v>2459.9499999999998</v>
      </c>
      <c r="E25" s="3829">
        <v>2459.9499999999998</v>
      </c>
      <c r="F25" s="3829" t="s">
        <v>3308</v>
      </c>
      <c r="G25" s="3829" t="s">
        <v>3232</v>
      </c>
      <c r="H25" s="3829" t="s">
        <v>3113</v>
      </c>
      <c r="I25" s="3829">
        <v>0</v>
      </c>
      <c r="J25" s="3829" t="s">
        <v>3309</v>
      </c>
      <c r="K25" s="3829" t="s">
        <v>3309</v>
      </c>
      <c r="L25" s="3829">
        <v>29.87</v>
      </c>
      <c r="M25" s="3829">
        <v>29.87</v>
      </c>
      <c r="N25" s="3829">
        <v>121.43</v>
      </c>
      <c r="P25" s="3829">
        <v>0</v>
      </c>
      <c r="Q25" s="3829" t="s">
        <v>3310</v>
      </c>
      <c r="R25" s="3829" t="s">
        <v>3253</v>
      </c>
      <c r="S25" s="3832">
        <f t="shared" si="0"/>
        <v>8.0950559564218789</v>
      </c>
    </row>
    <row r="26" spans="1:19" s="3834" customFormat="1">
      <c r="A26" s="3834" t="s">
        <v>3311</v>
      </c>
      <c r="B26" s="3834" t="s">
        <v>3229</v>
      </c>
      <c r="C26" s="3834" t="s">
        <v>3230</v>
      </c>
      <c r="D26" s="3834">
        <v>3989.14</v>
      </c>
      <c r="E26" s="3834">
        <v>1436.09</v>
      </c>
      <c r="F26" s="3834" t="s">
        <v>3312</v>
      </c>
      <c r="G26" s="3834" t="s">
        <v>3232</v>
      </c>
      <c r="H26" s="3834" t="s">
        <v>3113</v>
      </c>
      <c r="I26" s="3834">
        <v>0</v>
      </c>
      <c r="J26" s="3834" t="s">
        <v>3313</v>
      </c>
      <c r="K26" s="3834" t="s">
        <v>3313</v>
      </c>
      <c r="L26" s="3834">
        <v>455.66</v>
      </c>
      <c r="M26" s="3834">
        <v>455.66</v>
      </c>
      <c r="N26" s="3834">
        <v>3172.92</v>
      </c>
      <c r="O26" s="3834">
        <f>N26*0.36</f>
        <v>1142.2511999999999</v>
      </c>
      <c r="P26" s="3834">
        <v>0</v>
      </c>
      <c r="Q26" s="3834" t="s">
        <v>3314</v>
      </c>
      <c r="R26" s="3834" t="s">
        <v>3253</v>
      </c>
      <c r="S26" s="3835">
        <f t="shared" si="0"/>
        <v>76.150461553116713</v>
      </c>
    </row>
    <row r="27" spans="1:19">
      <c r="A27" s="3829" t="s">
        <v>3315</v>
      </c>
      <c r="B27" s="3829" t="s">
        <v>3229</v>
      </c>
      <c r="C27" s="3829" t="s">
        <v>3230</v>
      </c>
      <c r="D27" s="3829">
        <v>7014.12</v>
      </c>
      <c r="E27" s="3829">
        <v>41032.6</v>
      </c>
      <c r="F27" s="3829" t="s">
        <v>3316</v>
      </c>
      <c r="G27" s="3829" t="s">
        <v>3232</v>
      </c>
      <c r="H27" s="3829" t="s">
        <v>3113</v>
      </c>
      <c r="I27" s="3829">
        <v>0</v>
      </c>
      <c r="J27" s="3829" t="s">
        <v>3317</v>
      </c>
      <c r="K27" s="3829" t="s">
        <v>3317</v>
      </c>
      <c r="L27" s="3829">
        <v>6517.4</v>
      </c>
      <c r="M27" s="3829">
        <v>6517.4</v>
      </c>
      <c r="N27" s="3829">
        <v>1588.34</v>
      </c>
      <c r="P27" s="3829">
        <v>0</v>
      </c>
      <c r="Q27" s="3829" t="s">
        <v>3318</v>
      </c>
      <c r="R27" s="3829" t="s">
        <v>3253</v>
      </c>
      <c r="S27" s="3832">
        <f t="shared" si="0"/>
        <v>619.45832948395514</v>
      </c>
    </row>
    <row r="28" spans="1:19">
      <c r="A28" s="3829" t="s">
        <v>3319</v>
      </c>
      <c r="B28" s="3829" t="s">
        <v>3229</v>
      </c>
      <c r="C28" s="3829" t="s">
        <v>3230</v>
      </c>
      <c r="D28" s="3829">
        <v>2718.58</v>
      </c>
      <c r="E28" s="3829">
        <v>2772.95</v>
      </c>
      <c r="F28" s="3829" t="s">
        <v>3320</v>
      </c>
      <c r="G28" s="3829" t="s">
        <v>3232</v>
      </c>
      <c r="H28" s="3829" t="s">
        <v>3113</v>
      </c>
      <c r="I28" s="3829">
        <v>0</v>
      </c>
      <c r="J28" s="3829" t="s">
        <v>3321</v>
      </c>
      <c r="K28" s="3829" t="s">
        <v>3321</v>
      </c>
      <c r="L28" s="3829">
        <v>332.85</v>
      </c>
      <c r="M28" s="3829">
        <v>332.85</v>
      </c>
      <c r="N28" s="3829">
        <v>1200.3399999999999</v>
      </c>
      <c r="P28" s="3829">
        <v>0</v>
      </c>
      <c r="Q28" s="3829" t="s">
        <v>3322</v>
      </c>
      <c r="R28" s="3829" t="s">
        <v>3246</v>
      </c>
      <c r="S28" s="3832">
        <f t="shared" si="0"/>
        <v>81.623902735987173</v>
      </c>
    </row>
    <row r="29" spans="1:19">
      <c r="A29" s="3829" t="s">
        <v>3323</v>
      </c>
      <c r="B29" s="3829" t="s">
        <v>3229</v>
      </c>
      <c r="C29" s="3829" t="s">
        <v>3230</v>
      </c>
      <c r="D29" s="3829">
        <v>67236.600000000006</v>
      </c>
      <c r="E29" s="3829">
        <v>108923.3</v>
      </c>
      <c r="F29" s="3829" t="s">
        <v>3324</v>
      </c>
      <c r="G29" s="3829" t="s">
        <v>3232</v>
      </c>
      <c r="H29" s="3829" t="s">
        <v>3113</v>
      </c>
      <c r="I29" s="3829">
        <v>0</v>
      </c>
      <c r="J29" s="3829" t="s">
        <v>3325</v>
      </c>
      <c r="K29" s="3829" t="s">
        <v>3325</v>
      </c>
      <c r="L29" s="3829">
        <v>3713.88</v>
      </c>
      <c r="M29" s="3829">
        <v>3713.88</v>
      </c>
      <c r="N29" s="3829">
        <v>340.95</v>
      </c>
      <c r="P29" s="3829">
        <v>0</v>
      </c>
      <c r="Q29" s="3829" t="s">
        <v>3326</v>
      </c>
      <c r="R29" s="3829" t="s">
        <v>3273</v>
      </c>
      <c r="S29" s="3832">
        <f t="shared" si="0"/>
        <v>36.824175814957918</v>
      </c>
    </row>
    <row r="30" spans="1:19">
      <c r="A30" s="3829" t="s">
        <v>3327</v>
      </c>
      <c r="B30" s="3829" t="s">
        <v>3229</v>
      </c>
      <c r="C30" s="3829" t="s">
        <v>3230</v>
      </c>
      <c r="D30" s="3829">
        <v>14296.58</v>
      </c>
      <c r="E30" s="3829">
        <v>36599.24</v>
      </c>
      <c r="F30" s="3829" t="s">
        <v>3328</v>
      </c>
      <c r="G30" s="3829" t="s">
        <v>3232</v>
      </c>
      <c r="H30" s="3829" t="s">
        <v>3113</v>
      </c>
      <c r="I30" s="3829">
        <v>0</v>
      </c>
      <c r="J30" s="3829" t="s">
        <v>3329</v>
      </c>
      <c r="K30" s="3829" t="s">
        <v>3329</v>
      </c>
      <c r="L30" s="3829">
        <v>1181.45</v>
      </c>
      <c r="M30" s="3829">
        <v>1181.45</v>
      </c>
      <c r="N30" s="3829">
        <v>322.81</v>
      </c>
      <c r="P30" s="3829">
        <v>0</v>
      </c>
      <c r="Q30" s="3829" t="s">
        <v>3330</v>
      </c>
      <c r="R30" s="3829" t="s">
        <v>3253</v>
      </c>
      <c r="S30" s="3832">
        <f t="shared" si="0"/>
        <v>55.092705493201869</v>
      </c>
    </row>
    <row r="31" spans="1:19">
      <c r="A31" s="3829" t="s">
        <v>3331</v>
      </c>
      <c r="B31" s="3829" t="s">
        <v>3229</v>
      </c>
      <c r="C31" s="3829" t="s">
        <v>3230</v>
      </c>
      <c r="D31" s="3829">
        <v>3634.32</v>
      </c>
      <c r="E31" s="3829">
        <v>1090.3</v>
      </c>
      <c r="F31" s="3829" t="s">
        <v>3231</v>
      </c>
      <c r="G31" s="3829" t="s">
        <v>3232</v>
      </c>
      <c r="H31" s="3829" t="s">
        <v>3332</v>
      </c>
      <c r="I31" s="3829">
        <v>0</v>
      </c>
      <c r="J31" s="3829" t="s">
        <v>3333</v>
      </c>
      <c r="K31" s="3829" t="s">
        <v>3333</v>
      </c>
      <c r="L31" s="3829">
        <v>410.05</v>
      </c>
      <c r="M31" s="3829">
        <v>410.05</v>
      </c>
      <c r="N31" s="3829">
        <v>3760.88</v>
      </c>
      <c r="O31" s="3829">
        <f>N31*0.3</f>
        <v>1128.2639999999999</v>
      </c>
      <c r="P31" s="3829">
        <v>0</v>
      </c>
      <c r="Q31" s="3829" t="s">
        <v>3334</v>
      </c>
      <c r="R31" s="3829" t="s">
        <v>3306</v>
      </c>
      <c r="S31" s="3832">
        <f t="shared" si="0"/>
        <v>75.218481999383641</v>
      </c>
    </row>
    <row r="32" spans="1:19">
      <c r="A32" s="3829" t="s">
        <v>3335</v>
      </c>
      <c r="B32" s="3829" t="s">
        <v>3229</v>
      </c>
      <c r="C32" s="3829" t="s">
        <v>3230</v>
      </c>
      <c r="D32" s="3829">
        <v>32250.07</v>
      </c>
      <c r="E32" s="3829">
        <v>88687.69</v>
      </c>
      <c r="F32" s="3829" t="s">
        <v>3336</v>
      </c>
      <c r="G32" s="3829" t="s">
        <v>3232</v>
      </c>
      <c r="H32" s="3829" t="s">
        <v>3113</v>
      </c>
      <c r="I32" s="3829">
        <v>0</v>
      </c>
      <c r="J32" s="3829" t="s">
        <v>3337</v>
      </c>
      <c r="K32" s="3829" t="s">
        <v>3337</v>
      </c>
      <c r="L32" s="3829">
        <v>2261.8000000000002</v>
      </c>
      <c r="M32" s="3829">
        <v>2261.8000000000002</v>
      </c>
      <c r="N32" s="3829">
        <v>255.03</v>
      </c>
      <c r="P32" s="3829">
        <v>0</v>
      </c>
      <c r="Q32" s="3829" t="s">
        <v>3338</v>
      </c>
      <c r="R32" s="3829" t="s">
        <v>3306</v>
      </c>
      <c r="S32" s="3832">
        <f t="shared" si="0"/>
        <v>46.7556878481194</v>
      </c>
    </row>
    <row r="33" spans="1:19">
      <c r="A33" s="3829" t="s">
        <v>3339</v>
      </c>
      <c r="B33" s="3829" t="s">
        <v>3229</v>
      </c>
      <c r="C33" s="3829" t="s">
        <v>3230</v>
      </c>
      <c r="D33" s="3829">
        <v>5899.19</v>
      </c>
      <c r="E33" s="3829">
        <v>5309.27</v>
      </c>
      <c r="F33" s="3829" t="s">
        <v>3340</v>
      </c>
      <c r="G33" s="3829" t="s">
        <v>3232</v>
      </c>
      <c r="H33" s="3829" t="s">
        <v>3113</v>
      </c>
      <c r="I33" s="3829">
        <v>0</v>
      </c>
      <c r="J33" s="3829" t="s">
        <v>3341</v>
      </c>
      <c r="K33" s="3829" t="s">
        <v>3341</v>
      </c>
      <c r="L33" s="3829">
        <v>252.52</v>
      </c>
      <c r="M33" s="3829">
        <v>252.52</v>
      </c>
      <c r="N33" s="3829">
        <v>475.62</v>
      </c>
      <c r="P33" s="3829">
        <v>0</v>
      </c>
      <c r="Q33" s="3829" t="s">
        <v>3342</v>
      </c>
      <c r="R33" s="3829" t="s">
        <v>3273</v>
      </c>
      <c r="S33" s="3832">
        <f t="shared" si="0"/>
        <v>28.537393845595755</v>
      </c>
    </row>
    <row r="34" spans="1:19">
      <c r="A34" s="3829" t="s">
        <v>3343</v>
      </c>
      <c r="B34" s="3829" t="s">
        <v>3229</v>
      </c>
      <c r="C34" s="3829" t="s">
        <v>3230</v>
      </c>
      <c r="D34" s="3829">
        <v>4080.32</v>
      </c>
      <c r="E34" s="3829">
        <v>4080.32</v>
      </c>
      <c r="F34" s="3829" t="s">
        <v>3344</v>
      </c>
      <c r="G34" s="3829" t="s">
        <v>3232</v>
      </c>
      <c r="H34" s="3829" t="s">
        <v>3113</v>
      </c>
      <c r="I34" s="3829">
        <v>0</v>
      </c>
      <c r="J34" s="3829" t="s">
        <v>3345</v>
      </c>
      <c r="K34" s="3829" t="s">
        <v>3345</v>
      </c>
      <c r="L34" s="3829">
        <v>415.48</v>
      </c>
      <c r="M34" s="3829">
        <v>415.48</v>
      </c>
      <c r="N34" s="3829">
        <v>1018.25</v>
      </c>
      <c r="O34" s="3829">
        <f>N34</f>
        <v>1018.25</v>
      </c>
      <c r="P34" s="3829">
        <v>0</v>
      </c>
      <c r="Q34" s="3829" t="s">
        <v>3346</v>
      </c>
      <c r="R34" s="3829" t="s">
        <v>3253</v>
      </c>
    </row>
    <row r="35" spans="1:19">
      <c r="A35" s="3829" t="s">
        <v>3347</v>
      </c>
      <c r="B35" s="3829" t="s">
        <v>3229</v>
      </c>
      <c r="C35" s="3829" t="s">
        <v>3230</v>
      </c>
      <c r="D35" s="3829">
        <v>10176.67</v>
      </c>
      <c r="E35" s="3829">
        <v>55971.69</v>
      </c>
      <c r="F35" s="3829" t="s">
        <v>3348</v>
      </c>
      <c r="G35" s="3829" t="s">
        <v>3232</v>
      </c>
      <c r="H35" s="3829" t="s">
        <v>3332</v>
      </c>
      <c r="I35" s="3829">
        <v>0</v>
      </c>
      <c r="J35" s="3829" t="s">
        <v>3349</v>
      </c>
      <c r="K35" s="3829" t="s">
        <v>3349</v>
      </c>
      <c r="L35" s="3829">
        <v>10288.700000000001</v>
      </c>
      <c r="M35" s="3829">
        <v>10288.700000000001</v>
      </c>
      <c r="N35" s="3829">
        <v>1838.2</v>
      </c>
      <c r="P35" s="3829">
        <v>0</v>
      </c>
      <c r="Q35" s="3829" t="s">
        <v>3350</v>
      </c>
      <c r="R35" s="3829" t="s">
        <v>3253</v>
      </c>
    </row>
    <row r="36" spans="1:19">
      <c r="A36" s="3829" t="s">
        <v>3351</v>
      </c>
      <c r="B36" s="3829" t="s">
        <v>3229</v>
      </c>
      <c r="C36" s="3829" t="s">
        <v>3230</v>
      </c>
      <c r="D36" s="3829">
        <v>3341.37</v>
      </c>
      <c r="E36" s="3829">
        <v>8019.29</v>
      </c>
      <c r="F36" s="3829" t="s">
        <v>3352</v>
      </c>
      <c r="G36" s="3829" t="s">
        <v>3232</v>
      </c>
      <c r="H36" s="3829" t="s">
        <v>3353</v>
      </c>
      <c r="I36" s="3829">
        <v>0</v>
      </c>
      <c r="J36" s="3829" t="s">
        <v>3354</v>
      </c>
      <c r="K36" s="3829" t="s">
        <v>3354</v>
      </c>
      <c r="L36" s="3829">
        <v>684.71</v>
      </c>
      <c r="M36" s="3829">
        <v>684.71</v>
      </c>
      <c r="N36" s="3829">
        <v>853.83</v>
      </c>
      <c r="P36" s="3829">
        <v>0</v>
      </c>
      <c r="Q36" s="3829" t="s">
        <v>3355</v>
      </c>
      <c r="R36" s="3829" t="s">
        <v>3253</v>
      </c>
    </row>
    <row r="37" spans="1:19">
      <c r="A37" s="3829" t="s">
        <v>3269</v>
      </c>
      <c r="B37" s="3829" t="s">
        <v>3229</v>
      </c>
      <c r="C37" s="3829" t="s">
        <v>3230</v>
      </c>
      <c r="D37" s="3829">
        <v>13996</v>
      </c>
      <c r="E37" s="3829">
        <v>15955.44</v>
      </c>
      <c r="F37" s="3829" t="s">
        <v>3356</v>
      </c>
      <c r="G37" s="3829" t="s">
        <v>3232</v>
      </c>
      <c r="H37" s="3829" t="s">
        <v>3353</v>
      </c>
      <c r="I37" s="3829">
        <v>0</v>
      </c>
      <c r="J37" s="3829" t="s">
        <v>3357</v>
      </c>
      <c r="K37" s="3829" t="s">
        <v>3357</v>
      </c>
      <c r="L37" s="3829">
        <v>711.1</v>
      </c>
      <c r="M37" s="3829">
        <v>711.1</v>
      </c>
      <c r="N37" s="3829">
        <v>445.68</v>
      </c>
      <c r="P37" s="3829">
        <v>0</v>
      </c>
      <c r="Q37" s="3829" t="s">
        <v>3270</v>
      </c>
      <c r="R37" s="3829" t="s">
        <v>3273</v>
      </c>
    </row>
    <row r="38" spans="1:19">
      <c r="A38" s="3829" t="s">
        <v>3358</v>
      </c>
      <c r="B38" s="3829" t="s">
        <v>3229</v>
      </c>
      <c r="C38" s="3829" t="s">
        <v>3230</v>
      </c>
      <c r="D38" s="3829">
        <v>8845.14</v>
      </c>
      <c r="E38" s="3829">
        <v>33965.339999999997</v>
      </c>
      <c r="F38" s="3829" t="s">
        <v>3359</v>
      </c>
      <c r="G38" s="3829" t="s">
        <v>3232</v>
      </c>
      <c r="H38" s="3829" t="s">
        <v>3113</v>
      </c>
      <c r="I38" s="3829">
        <v>0</v>
      </c>
      <c r="J38" s="3829" t="s">
        <v>3360</v>
      </c>
      <c r="K38" s="3829" t="s">
        <v>3360</v>
      </c>
      <c r="L38" s="3829">
        <v>5758.18</v>
      </c>
      <c r="M38" s="3829">
        <v>5758.18</v>
      </c>
      <c r="N38" s="3829">
        <v>1695.3</v>
      </c>
      <c r="P38" s="3829">
        <v>0</v>
      </c>
      <c r="Q38" s="3829" t="s">
        <v>3361</v>
      </c>
      <c r="R38" s="3829" t="s">
        <v>3273</v>
      </c>
    </row>
    <row r="39" spans="1:19">
      <c r="A39" s="3829" t="s">
        <v>3358</v>
      </c>
      <c r="B39" s="3829" t="s">
        <v>3229</v>
      </c>
      <c r="C39" s="3829" t="s">
        <v>3230</v>
      </c>
      <c r="D39" s="3829">
        <v>8845.14</v>
      </c>
      <c r="E39" s="3829">
        <v>33965.339999999997</v>
      </c>
      <c r="F39" s="3829" t="s">
        <v>3359</v>
      </c>
      <c r="G39" s="3829" t="s">
        <v>3232</v>
      </c>
      <c r="H39" s="3829" t="s">
        <v>3353</v>
      </c>
      <c r="I39" s="3829">
        <v>0</v>
      </c>
      <c r="J39" s="3829" t="s">
        <v>3362</v>
      </c>
      <c r="K39" s="3829" t="s">
        <v>3360</v>
      </c>
      <c r="L39" s="3829">
        <v>5758.18</v>
      </c>
      <c r="M39" s="3829">
        <v>5758.18</v>
      </c>
      <c r="N39" s="3829">
        <v>1695.3</v>
      </c>
      <c r="P39" s="3829">
        <v>0</v>
      </c>
      <c r="Q39" s="3829" t="s">
        <v>3361</v>
      </c>
      <c r="R39" s="3829" t="s">
        <v>3273</v>
      </c>
    </row>
    <row r="40" spans="1:19">
      <c r="A40" s="3829" t="s">
        <v>3363</v>
      </c>
      <c r="B40" s="3829" t="s">
        <v>3229</v>
      </c>
      <c r="C40" s="3829" t="s">
        <v>3230</v>
      </c>
      <c r="D40" s="3829">
        <v>4215</v>
      </c>
      <c r="E40" s="3829">
        <v>843</v>
      </c>
      <c r="F40" s="3829" t="s">
        <v>3364</v>
      </c>
      <c r="G40" s="3829" t="s">
        <v>3232</v>
      </c>
      <c r="H40" s="3829" t="s">
        <v>3332</v>
      </c>
      <c r="I40" s="3829">
        <v>0</v>
      </c>
      <c r="J40" s="3829" t="s">
        <v>3365</v>
      </c>
      <c r="K40" s="3829" t="s">
        <v>3365</v>
      </c>
      <c r="L40" s="3829">
        <v>416.8</v>
      </c>
      <c r="M40" s="3829">
        <v>416.8</v>
      </c>
      <c r="N40" s="3829">
        <v>4944.25</v>
      </c>
      <c r="P40" s="3829">
        <v>0</v>
      </c>
      <c r="Q40" s="3829" t="s">
        <v>3268</v>
      </c>
      <c r="R40" s="3829" t="s">
        <v>3273</v>
      </c>
    </row>
    <row r="41" spans="1:19">
      <c r="A41" s="3829" t="s">
        <v>3366</v>
      </c>
      <c r="B41" s="3829" t="s">
        <v>3229</v>
      </c>
      <c r="C41" s="3829" t="s">
        <v>3230</v>
      </c>
      <c r="D41" s="3829">
        <v>4362.32</v>
      </c>
      <c r="E41" s="3829">
        <v>6499.86</v>
      </c>
      <c r="F41" s="3829" t="s">
        <v>3367</v>
      </c>
      <c r="G41" s="3829" t="s">
        <v>3232</v>
      </c>
      <c r="H41" s="3829" t="s">
        <v>3353</v>
      </c>
      <c r="I41" s="3829">
        <v>0</v>
      </c>
      <c r="J41" s="3829" t="s">
        <v>3368</v>
      </c>
      <c r="K41" s="3829" t="s">
        <v>3368</v>
      </c>
      <c r="L41" s="3829">
        <v>222.8</v>
      </c>
      <c r="M41" s="3829">
        <v>222.8</v>
      </c>
      <c r="N41" s="3829">
        <v>342.77</v>
      </c>
      <c r="P41" s="3829">
        <v>0</v>
      </c>
      <c r="Q41" s="3829" t="s">
        <v>3270</v>
      </c>
      <c r="R41" s="3829" t="s">
        <v>3273</v>
      </c>
    </row>
    <row r="42" spans="1:19">
      <c r="A42" s="3829" t="s">
        <v>3369</v>
      </c>
      <c r="B42" s="3829" t="s">
        <v>3229</v>
      </c>
      <c r="C42" s="3829" t="s">
        <v>3230</v>
      </c>
      <c r="D42" s="3829">
        <v>15301.36</v>
      </c>
      <c r="E42" s="3829">
        <v>44832.98</v>
      </c>
      <c r="F42" s="3829" t="s">
        <v>3370</v>
      </c>
      <c r="G42" s="3829" t="s">
        <v>3232</v>
      </c>
      <c r="H42" s="3829" t="s">
        <v>3332</v>
      </c>
      <c r="I42" s="3829">
        <v>0</v>
      </c>
      <c r="J42" s="3829" t="s">
        <v>3371</v>
      </c>
      <c r="K42" s="3829" t="s">
        <v>3372</v>
      </c>
      <c r="L42" s="3829">
        <v>5304.3</v>
      </c>
      <c r="M42" s="3829">
        <v>5304.3</v>
      </c>
      <c r="N42" s="3829">
        <v>1183.1099999999999</v>
      </c>
      <c r="P42" s="3829">
        <v>0</v>
      </c>
      <c r="Q42" s="3829" t="s">
        <v>3261</v>
      </c>
      <c r="R42" s="3829" t="s">
        <v>3253</v>
      </c>
    </row>
    <row r="43" spans="1:19">
      <c r="A43" s="3829" t="s">
        <v>3373</v>
      </c>
      <c r="B43" s="3829" t="s">
        <v>3229</v>
      </c>
      <c r="C43" s="3829" t="s">
        <v>3230</v>
      </c>
      <c r="D43" s="3829">
        <v>3113.66</v>
      </c>
      <c r="E43" s="3829">
        <v>311.37</v>
      </c>
      <c r="F43" s="3829" t="s">
        <v>3374</v>
      </c>
      <c r="G43" s="3829" t="s">
        <v>3232</v>
      </c>
      <c r="H43" s="3829" t="s">
        <v>3332</v>
      </c>
      <c r="I43" s="3829">
        <v>0</v>
      </c>
      <c r="J43" s="3829" t="s">
        <v>3375</v>
      </c>
      <c r="K43" s="3829" t="s">
        <v>3375</v>
      </c>
      <c r="L43" s="3829">
        <v>446.19</v>
      </c>
      <c r="M43" s="3829">
        <v>446.19</v>
      </c>
      <c r="N43" s="3829">
        <v>14330.21</v>
      </c>
      <c r="P43" s="3829">
        <v>0</v>
      </c>
      <c r="Q43" s="3829" t="s">
        <v>3283</v>
      </c>
      <c r="R43" s="3829" t="s">
        <v>3246</v>
      </c>
    </row>
    <row r="44" spans="1:19">
      <c r="A44" s="3829" t="s">
        <v>3376</v>
      </c>
      <c r="B44" s="3829" t="s">
        <v>3229</v>
      </c>
      <c r="C44" s="3829" t="s">
        <v>3230</v>
      </c>
      <c r="D44" s="3829">
        <v>2812.08</v>
      </c>
      <c r="E44" s="3829">
        <v>9561.07</v>
      </c>
      <c r="F44" s="3829" t="s">
        <v>3377</v>
      </c>
      <c r="G44" s="3829" t="s">
        <v>3232</v>
      </c>
      <c r="H44" s="3829" t="s">
        <v>3113</v>
      </c>
      <c r="I44" s="3829">
        <v>0</v>
      </c>
      <c r="J44" s="3829" t="s">
        <v>3378</v>
      </c>
      <c r="K44" s="3829" t="s">
        <v>3378</v>
      </c>
      <c r="L44" s="3829" t="s">
        <v>1298</v>
      </c>
      <c r="M44" s="3829">
        <v>1343.09</v>
      </c>
      <c r="N44" s="3829">
        <v>1404.75</v>
      </c>
      <c r="P44" s="3829" t="s">
        <v>1298</v>
      </c>
      <c r="Q44" s="3829" t="s">
        <v>3379</v>
      </c>
      <c r="R44" s="3829" t="s">
        <v>3253</v>
      </c>
    </row>
    <row r="45" spans="1:19">
      <c r="A45" s="3829" t="s">
        <v>3380</v>
      </c>
      <c r="B45" s="3829" t="s">
        <v>3229</v>
      </c>
      <c r="C45" s="3829" t="s">
        <v>3230</v>
      </c>
      <c r="D45" s="3829">
        <v>4726.33</v>
      </c>
      <c r="E45" s="3829">
        <v>945.27</v>
      </c>
      <c r="F45" s="3829" t="s">
        <v>3381</v>
      </c>
      <c r="G45" s="3829" t="s">
        <v>3232</v>
      </c>
      <c r="H45" s="3829" t="s">
        <v>3113</v>
      </c>
      <c r="I45" s="3829">
        <v>0</v>
      </c>
      <c r="J45" s="3829" t="s">
        <v>3382</v>
      </c>
      <c r="K45" s="3829" t="s">
        <v>3382</v>
      </c>
      <c r="L45" s="3829" t="s">
        <v>1298</v>
      </c>
      <c r="M45" s="3829">
        <v>263.60000000000002</v>
      </c>
      <c r="N45" s="3829">
        <v>2788.61</v>
      </c>
      <c r="P45" s="3829" t="s">
        <v>1298</v>
      </c>
      <c r="Q45" s="3829" t="s">
        <v>3383</v>
      </c>
      <c r="R45" s="3829" t="s">
        <v>3306</v>
      </c>
    </row>
    <row r="46" spans="1:19">
      <c r="A46" s="3829" t="s">
        <v>3384</v>
      </c>
      <c r="B46" s="3829" t="s">
        <v>3229</v>
      </c>
      <c r="C46" s="3829" t="s">
        <v>3237</v>
      </c>
      <c r="D46" s="3829">
        <v>94035.91</v>
      </c>
      <c r="E46" s="3829">
        <v>18807.18</v>
      </c>
      <c r="F46" s="3829" t="s">
        <v>3385</v>
      </c>
      <c r="G46" s="3829" t="s">
        <v>3232</v>
      </c>
      <c r="H46" s="3829" t="s">
        <v>3386</v>
      </c>
      <c r="I46" s="3829">
        <v>0</v>
      </c>
      <c r="J46" s="3829" t="s">
        <v>3387</v>
      </c>
      <c r="K46" s="3829" t="s">
        <v>3387</v>
      </c>
      <c r="L46" s="3829">
        <v>1950</v>
      </c>
      <c r="M46" s="3829">
        <v>3921.3</v>
      </c>
      <c r="N46" s="3829">
        <v>2085</v>
      </c>
      <c r="P46" s="3829">
        <v>101.09</v>
      </c>
      <c r="Q46" s="3829" t="s">
        <v>3388</v>
      </c>
      <c r="R46" s="3829" t="s">
        <v>3235</v>
      </c>
    </row>
    <row r="47" spans="1:19">
      <c r="A47" s="3829" t="s">
        <v>3384</v>
      </c>
      <c r="B47" s="3829" t="s">
        <v>3229</v>
      </c>
      <c r="C47" s="3829" t="s">
        <v>3237</v>
      </c>
      <c r="D47" s="3829">
        <v>82916.19</v>
      </c>
      <c r="E47" s="3829">
        <v>16583.240000000002</v>
      </c>
      <c r="F47" s="3829" t="s">
        <v>3385</v>
      </c>
      <c r="G47" s="3829" t="s">
        <v>3232</v>
      </c>
      <c r="H47" s="3829" t="s">
        <v>3386</v>
      </c>
      <c r="I47" s="3829">
        <v>0</v>
      </c>
      <c r="J47" s="3829" t="s">
        <v>3387</v>
      </c>
      <c r="K47" s="3829" t="s">
        <v>3387</v>
      </c>
      <c r="L47" s="3829">
        <v>3772.69</v>
      </c>
      <c r="M47" s="3829">
        <v>3772.69</v>
      </c>
      <c r="N47" s="3829">
        <v>2275</v>
      </c>
      <c r="P47" s="3829">
        <v>0</v>
      </c>
      <c r="Q47" s="3829" t="s">
        <v>3389</v>
      </c>
      <c r="R47" s="3829" t="s">
        <v>3235</v>
      </c>
    </row>
    <row r="48" spans="1:19">
      <c r="A48" s="3829" t="s">
        <v>3390</v>
      </c>
      <c r="B48" s="3829" t="s">
        <v>3229</v>
      </c>
      <c r="C48" s="3829" t="s">
        <v>3230</v>
      </c>
      <c r="D48" s="3829">
        <v>3653.01</v>
      </c>
      <c r="E48" s="3829">
        <v>7306.02</v>
      </c>
      <c r="F48" s="3829" t="s">
        <v>3391</v>
      </c>
      <c r="G48" s="3829" t="s">
        <v>3232</v>
      </c>
      <c r="H48" s="3829" t="s">
        <v>3113</v>
      </c>
      <c r="I48" s="3829">
        <v>0</v>
      </c>
      <c r="J48" s="3829" t="s">
        <v>3392</v>
      </c>
      <c r="K48" s="3829" t="s">
        <v>3392</v>
      </c>
      <c r="L48" s="3829">
        <v>184.09</v>
      </c>
      <c r="M48" s="3829">
        <v>184.09</v>
      </c>
      <c r="N48" s="3829">
        <v>251.97</v>
      </c>
      <c r="P48" s="3829">
        <v>0</v>
      </c>
      <c r="Q48" s="3829" t="s">
        <v>3270</v>
      </c>
      <c r="R48" s="3829" t="s">
        <v>3273</v>
      </c>
    </row>
    <row r="49" spans="1:18">
      <c r="A49" s="3829" t="s">
        <v>3393</v>
      </c>
      <c r="B49" s="3829" t="s">
        <v>3229</v>
      </c>
      <c r="C49" s="3829" t="s">
        <v>3230</v>
      </c>
      <c r="D49" s="3829">
        <v>981.32</v>
      </c>
      <c r="E49" s="3829">
        <v>1864.51</v>
      </c>
      <c r="F49" s="3829" t="s">
        <v>3394</v>
      </c>
      <c r="G49" s="3829" t="s">
        <v>3232</v>
      </c>
      <c r="H49" s="3829" t="s">
        <v>3113</v>
      </c>
      <c r="I49" s="3829">
        <v>0</v>
      </c>
      <c r="J49" s="3829" t="s">
        <v>3395</v>
      </c>
      <c r="K49" s="3829" t="s">
        <v>3395</v>
      </c>
      <c r="L49" s="3829" t="s">
        <v>1298</v>
      </c>
      <c r="M49" s="3829">
        <v>60.64</v>
      </c>
      <c r="N49" s="3829">
        <v>325.29000000000002</v>
      </c>
      <c r="P49" s="3829" t="s">
        <v>1298</v>
      </c>
      <c r="Q49" s="3829" t="s">
        <v>3396</v>
      </c>
      <c r="R49" s="3829" t="s">
        <v>3273</v>
      </c>
    </row>
    <row r="50" spans="1:18">
      <c r="A50" s="3829" t="s">
        <v>3397</v>
      </c>
      <c r="B50" s="3829" t="s">
        <v>3229</v>
      </c>
      <c r="C50" s="3829" t="s">
        <v>3230</v>
      </c>
      <c r="D50" s="3829">
        <v>3461.3</v>
      </c>
      <c r="E50" s="3829">
        <v>3807.43</v>
      </c>
      <c r="F50" s="3829" t="s">
        <v>3398</v>
      </c>
      <c r="G50" s="3829" t="s">
        <v>3232</v>
      </c>
      <c r="H50" s="3829" t="s">
        <v>3113</v>
      </c>
      <c r="I50" s="3829">
        <v>0</v>
      </c>
      <c r="J50" s="3829" t="s">
        <v>3399</v>
      </c>
      <c r="K50" s="3829" t="s">
        <v>3399</v>
      </c>
      <c r="L50" s="3829" t="s">
        <v>1298</v>
      </c>
      <c r="M50" s="3829">
        <v>523.70000000000005</v>
      </c>
      <c r="N50" s="3829">
        <v>1375.47</v>
      </c>
      <c r="P50" s="3829" t="s">
        <v>1298</v>
      </c>
      <c r="Q50" s="3829" t="s">
        <v>3400</v>
      </c>
      <c r="R50" s="3829" t="s">
        <v>3253</v>
      </c>
    </row>
    <row r="51" spans="1:18">
      <c r="A51" s="3829" t="s">
        <v>3401</v>
      </c>
      <c r="B51" s="3829" t="s">
        <v>3229</v>
      </c>
      <c r="C51" s="3829" t="s">
        <v>3230</v>
      </c>
      <c r="D51" s="3829">
        <v>10964.12</v>
      </c>
      <c r="E51" s="3829">
        <v>64688.31</v>
      </c>
      <c r="F51" s="3829" t="s">
        <v>3402</v>
      </c>
      <c r="G51" s="3829" t="s">
        <v>3232</v>
      </c>
      <c r="H51" s="3829" t="s">
        <v>3332</v>
      </c>
      <c r="I51" s="3829">
        <v>0</v>
      </c>
      <c r="J51" s="3829" t="s">
        <v>3403</v>
      </c>
      <c r="K51" s="3829" t="s">
        <v>3403</v>
      </c>
      <c r="L51" s="3829" t="s">
        <v>1298</v>
      </c>
      <c r="M51" s="3829">
        <v>1396.82</v>
      </c>
      <c r="N51" s="3829">
        <v>215.93</v>
      </c>
      <c r="P51" s="3829" t="s">
        <v>1298</v>
      </c>
      <c r="Q51" s="3829" t="s">
        <v>3404</v>
      </c>
      <c r="R51" s="3829" t="s">
        <v>3253</v>
      </c>
    </row>
  </sheetData>
  <phoneticPr fontId="140" type="noConversion"/>
  <pageMargins left="0.75" right="0.75" top="1" bottom="1" header="0.5" footer="0.5"/>
  <pageSetup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2" sqref="M32"/>
    </sheetView>
  </sheetViews>
  <sheetFormatPr defaultRowHeight="13.5"/>
  <cols>
    <col min="1" max="16384" width="9" style="3836"/>
  </cols>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估价结果一览表</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房地产市场价值</v>
      </c>
      <c r="I2" s="3081"/>
    </row>
    <row r="3" spans="1:9" ht="15">
      <c r="A3" s="3075"/>
      <c r="B3" s="3075"/>
      <c r="C3" s="3075"/>
      <c r="D3" s="963" t="s">
        <v>1603</v>
      </c>
      <c r="E3" s="963" t="s">
        <v>1609</v>
      </c>
      <c r="F3" s="963" t="s">
        <v>1603</v>
      </c>
      <c r="G3" s="963" t="s">
        <v>1604</v>
      </c>
      <c r="H3" s="963" t="s">
        <v>1603</v>
      </c>
      <c r="I3" s="963" t="s">
        <v>1604</v>
      </c>
    </row>
    <row r="4" spans="1:9" ht="15">
      <c r="A4" s="1690" t="str">
        <f>项目基本情况!S2</f>
        <v>房地产</v>
      </c>
      <c r="B4" s="963">
        <f>项目基本情况!C17</f>
        <v>198.07</v>
      </c>
      <c r="C4" s="963">
        <f>项目基本情况!C18</f>
        <v>1442.46</v>
      </c>
      <c r="D4" s="963">
        <f ca="1">结果表!D118</f>
        <v>216</v>
      </c>
      <c r="E4" s="963">
        <f ca="1">结果表!E118</f>
        <v>10915</v>
      </c>
      <c r="F4" s="963">
        <f ca="1">结果表!F118</f>
        <v>116</v>
      </c>
      <c r="G4" s="963">
        <f ca="1">结果表!G118</f>
        <v>5877</v>
      </c>
      <c r="H4" s="963">
        <f ca="1">结果表!H118</f>
        <v>333</v>
      </c>
      <c r="I4" s="963">
        <f ca="1">结果表!I118</f>
        <v>16792</v>
      </c>
    </row>
    <row r="5" spans="1:9" ht="30" customHeight="1">
      <c r="A5" s="3075" t="s">
        <v>1605</v>
      </c>
      <c r="B5" s="3075"/>
      <c r="C5" s="3075"/>
      <c r="D5" s="3076" t="str">
        <f ca="1">结果表!D119</f>
        <v>贰佰壹拾陆万元整</v>
      </c>
      <c r="E5" s="3076"/>
      <c r="F5" s="3076" t="str">
        <f ca="1">结果表!F119</f>
        <v>壹佰壹拾陆万元整</v>
      </c>
      <c r="G5" s="3076"/>
      <c r="H5" s="3076" t="str">
        <f ca="1">结果表!H119</f>
        <v>叁佰叁拾叁万元整</v>
      </c>
      <c r="I5" s="3076"/>
    </row>
    <row r="6" spans="1:9" ht="15.75">
      <c r="A6" s="3074" t="str">
        <f>结果表!A120</f>
        <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
      </c>
      <c r="B8" s="3074"/>
      <c r="C8" s="3074"/>
      <c r="D8" s="3074" t="str">
        <f>结果表!D122</f>
        <v>——</v>
      </c>
      <c r="E8" s="3074"/>
      <c r="F8" s="3074"/>
      <c r="G8" s="3074"/>
      <c r="H8" s="3074"/>
      <c r="I8" s="3074"/>
    </row>
    <row r="9" spans="1:9" ht="15">
      <c r="A9" s="3075" t="s">
        <v>1605</v>
      </c>
      <c r="B9" s="3075"/>
      <c r="C9" s="3075"/>
      <c r="D9" s="3076" t="e">
        <f>结果表!D123</f>
        <v>#VALUE!</v>
      </c>
      <c r="E9" s="3076"/>
      <c r="F9" s="3076"/>
      <c r="G9" s="3076"/>
      <c r="H9" s="3076"/>
      <c r="I9" s="3076"/>
    </row>
    <row r="10" spans="1:9" ht="15.75">
      <c r="A10" s="3074" t="str">
        <f>结果表!A124</f>
        <v/>
      </c>
      <c r="B10" s="3074"/>
      <c r="C10" s="3074"/>
      <c r="D10" s="3074">
        <f ca="1">结果表!D124</f>
        <v>333</v>
      </c>
      <c r="E10" s="3074"/>
      <c r="F10" s="3074"/>
      <c r="G10" s="3074"/>
      <c r="H10" s="3074"/>
      <c r="I10" s="3074"/>
    </row>
    <row r="11" spans="1:9" ht="15">
      <c r="A11" s="3075" t="s">
        <v>1605</v>
      </c>
      <c r="B11" s="3075"/>
      <c r="C11" s="3075"/>
      <c r="D11" s="3076" t="str">
        <f ca="1">结果表!D125</f>
        <v>叁佰叁拾叁万元整</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7"/>
      <c r="C12" s="3087"/>
      <c r="D12" s="3087"/>
    </row>
    <row r="13" spans="1:4" ht="30" customHeight="1">
      <c r="A13" s="3082" t="str">
        <f>IF(项目基本情况!B8="抵押","3.抵押双方在办理抵押登记手续时，应使用本公司出具的正式《房地产评估报告》，特提醒报告使用者注意。","——")</f>
        <v>——</v>
      </c>
      <c r="B13" s="3087"/>
      <c r="C13" s="3087"/>
      <c r="D13" s="3087"/>
    </row>
    <row r="14" spans="1:4" ht="15.75" customHeight="1">
      <c r="A14" s="3082" t="str">
        <f>IF(项目基本情况!B8="抵押","4.本次评估估价师所知悉的法定优先受偿款情况说明如下：","——")</f>
        <v>——</v>
      </c>
      <c r="B14" s="3087"/>
      <c r="C14" s="3087"/>
      <c r="D14" s="3087"/>
    </row>
    <row r="15" spans="1:4" ht="42" customHeight="1">
      <c r="A15" s="3082" t="str">
        <f>IF(项目基本情况!B8="抵押","（1）"&amp;CONCATENATE(项目基本情况!L20,项目基本情况!L21,项目基本情况!L22),"——")</f>
        <v>——</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5"/>
      <c r="C21" s="3085"/>
      <c r="D21" s="3085"/>
    </row>
    <row r="22" spans="1:4" ht="18.75" customHeight="1">
      <c r="A22" s="3086" t="s">
        <v>1623</v>
      </c>
      <c r="B22" s="3086"/>
      <c r="C22" s="3086"/>
      <c r="D22" s="308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6" t="s">
        <v>1634</v>
      </c>
      <c r="B15" s="3091" t="s">
        <v>136</v>
      </c>
      <c r="C15" s="3092"/>
    </row>
    <row r="16" spans="1:7" ht="13.5">
      <c r="A16" s="3097"/>
      <c r="B16" s="3091" t="s">
        <v>69</v>
      </c>
      <c r="C16" s="3092"/>
    </row>
    <row r="17" spans="1:3" ht="13.5">
      <c r="A17" s="3097"/>
      <c r="B17" s="3094" t="s">
        <v>1635</v>
      </c>
      <c r="C17" s="1717" t="s">
        <v>1634</v>
      </c>
    </row>
    <row r="18" spans="1:3" ht="13.5">
      <c r="A18" s="3097"/>
      <c r="B18" s="3094"/>
      <c r="C18" s="1717" t="s">
        <v>1636</v>
      </c>
    </row>
    <row r="19" spans="1:3" ht="13.5">
      <c r="A19" s="3097"/>
      <c r="B19" s="3094"/>
      <c r="C19" s="1717" t="s">
        <v>1637</v>
      </c>
    </row>
    <row r="20" spans="1:3" ht="13.5">
      <c r="A20" s="3098"/>
      <c r="B20" s="3093" t="s">
        <v>1638</v>
      </c>
      <c r="C20" s="3092"/>
    </row>
    <row r="21" spans="1:3" ht="13.5">
      <c r="A21" s="1718" t="s">
        <v>1639</v>
      </c>
      <c r="B21" s="1719"/>
      <c r="C21" s="1720"/>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7" t="s">
        <v>1645</v>
      </c>
    </row>
    <row r="26" spans="1:3" ht="13.5">
      <c r="A26" s="3095"/>
      <c r="B26" s="3094"/>
      <c r="C26" s="1717" t="s">
        <v>1646</v>
      </c>
    </row>
    <row r="27" spans="1:3" ht="13.5">
      <c r="A27" s="3095"/>
      <c r="B27" s="3094"/>
      <c r="C27" s="1717" t="s">
        <v>1647</v>
      </c>
    </row>
    <row r="28" spans="1:3" ht="13.5">
      <c r="A28" s="3095"/>
      <c r="B28" s="3094"/>
      <c r="C28" s="1717" t="s">
        <v>1648</v>
      </c>
    </row>
    <row r="29" spans="1:3" ht="13.5">
      <c r="A29" s="3095"/>
      <c r="B29" s="3094"/>
      <c r="C29" s="1717" t="s">
        <v>1649</v>
      </c>
    </row>
    <row r="30" spans="1:3" ht="13.5">
      <c r="A30" s="3095"/>
      <c r="B30" s="3094"/>
      <c r="C30" s="1717" t="s">
        <v>1650</v>
      </c>
    </row>
    <row r="31" spans="1:3" ht="13.5">
      <c r="A31" s="3095"/>
      <c r="B31" s="3094"/>
      <c r="C31" s="1717" t="s">
        <v>1651</v>
      </c>
    </row>
    <row r="32" spans="1:3" ht="13.5">
      <c r="A32" s="3095"/>
      <c r="B32" s="3094"/>
      <c r="C32" s="1717" t="s">
        <v>1652</v>
      </c>
    </row>
    <row r="33" spans="1:3" ht="13.5">
      <c r="A33" s="3095"/>
      <c r="B33" s="309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44376</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9" t="s">
        <v>2903</v>
      </c>
      <c r="B17" s="3099"/>
      <c r="C17" s="3099"/>
      <c r="D17" s="3099"/>
      <c r="E17" s="3099"/>
      <c r="F17" s="3099"/>
      <c r="G17" s="3099"/>
      <c r="H17" s="3099"/>
    </row>
    <row r="18" spans="1:8" ht="24" customHeight="1">
      <c r="A18" s="3100" t="s">
        <v>2904</v>
      </c>
      <c r="B18" s="3100"/>
      <c r="C18" s="3100"/>
      <c r="D18" s="2566"/>
      <c r="E18" s="3101" t="s">
        <v>2905</v>
      </c>
      <c r="F18" s="3100"/>
      <c r="G18" s="310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2021-06-29T08:01:44Z</dcterms:modified>
</cp:coreProperties>
</file>