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60" windowWidth="11490" windowHeight="11025" tabRatio="875" firstSheet="10"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收益还原法" sheetId="44" state="hidden" r:id="rId19"/>
    <sheet name="剩余法-现房" sheetId="43" r:id="rId20"/>
    <sheet name="不动产收益法" sheetId="15" r:id="rId21"/>
    <sheet name="比较法-住宅、综合" sheetId="39" r:id="rId22"/>
    <sheet name="比较法-工业" sheetId="40" state="hidden" r:id="rId23"/>
    <sheet name="土地案例（延吉）" sheetId="70" r:id="rId24"/>
    <sheet name="土地案例（白山市）" sheetId="68"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1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33" i="70" l="1"/>
  <c r="S32" i="70"/>
  <c r="S31" i="70"/>
  <c r="S30" i="70"/>
  <c r="S29" i="70"/>
  <c r="S28" i="70"/>
  <c r="S27" i="70"/>
  <c r="S26" i="70"/>
  <c r="S25" i="70"/>
  <c r="S24" i="70"/>
  <c r="S23" i="70"/>
  <c r="S22" i="70"/>
  <c r="S21" i="70"/>
  <c r="S20" i="70"/>
  <c r="S19" i="70"/>
  <c r="S18" i="70"/>
  <c r="S17" i="70"/>
  <c r="S16" i="70"/>
  <c r="S15" i="70"/>
  <c r="S14" i="70"/>
  <c r="S13" i="70"/>
  <c r="S12" i="70"/>
  <c r="S11" i="70"/>
  <c r="S10" i="70"/>
  <c r="S9" i="70"/>
  <c r="S8" i="70"/>
  <c r="S7" i="70"/>
  <c r="S6" i="70"/>
  <c r="S5" i="70"/>
  <c r="S4" i="70"/>
  <c r="S3" i="70"/>
  <c r="S2" i="70"/>
  <c r="O10" i="70"/>
  <c r="O9" i="70"/>
  <c r="O8" i="70"/>
  <c r="O7" i="70"/>
  <c r="O6" i="70"/>
  <c r="O5" i="70"/>
  <c r="O4" i="70"/>
  <c r="O3" i="70"/>
  <c r="O2" i="70"/>
  <c r="I48" i="39"/>
  <c r="G48" i="39"/>
  <c r="E48" i="39"/>
  <c r="I40" i="39"/>
  <c r="G40" i="39"/>
  <c r="E40" i="39"/>
  <c r="I7" i="39"/>
  <c r="G7" i="39"/>
  <c r="E7" i="39"/>
  <c r="O34" i="70"/>
  <c r="O31" i="70"/>
  <c r="O26" i="70"/>
  <c r="O18" i="70"/>
  <c r="O11" i="70"/>
  <c r="C40" i="39"/>
  <c r="C13" i="39"/>
  <c r="D77" i="39"/>
  <c r="C77" i="39"/>
  <c r="I9" i="39"/>
  <c r="G9" i="39"/>
  <c r="E9" i="39"/>
  <c r="C7" i="39"/>
  <c r="F19" i="6" l="1"/>
  <c r="D3" i="4"/>
  <c r="V6" i="59" l="1"/>
  <c r="U6" i="59"/>
  <c r="T6" i="59"/>
  <c r="S6" i="59"/>
  <c r="AH5" i="59" l="1"/>
  <c r="AG5" i="59"/>
  <c r="AE5" i="59"/>
  <c r="AF5" i="59" s="1"/>
  <c r="AD5" i="59"/>
  <c r="Q5" i="59"/>
  <c r="P5" i="59"/>
  <c r="O5" i="59"/>
  <c r="N5" i="59"/>
  <c r="AB5" i="59" l="1"/>
  <c r="AH6" i="59"/>
  <c r="AG6" i="59"/>
  <c r="AE6" i="59"/>
  <c r="AF6" i="59" s="1"/>
  <c r="AD6" i="59"/>
  <c r="Q6" i="59"/>
  <c r="P6" i="59"/>
  <c r="AA5" i="59" s="1"/>
  <c r="O6" i="59"/>
  <c r="Y5" i="59" s="1"/>
  <c r="Z5" i="59" s="1"/>
  <c r="N6" i="59"/>
  <c r="X5" i="59" s="1"/>
  <c r="AH7" i="59" l="1"/>
  <c r="AG7" i="59"/>
  <c r="AE7" i="59"/>
  <c r="AF7" i="59" s="1"/>
  <c r="AD7" i="59"/>
  <c r="Q7" i="59"/>
  <c r="AB6" i="59" s="1"/>
  <c r="P7" i="59"/>
  <c r="AA6" i="59" s="1"/>
  <c r="O7" i="59"/>
  <c r="Y6" i="59" s="1"/>
  <c r="Z6" i="59" s="1"/>
  <c r="N7" i="59"/>
  <c r="X6" i="59" s="1"/>
  <c r="AB33" i="59" l="1"/>
  <c r="AA33" i="59"/>
  <c r="Z33" i="59"/>
  <c r="Y33" i="59"/>
  <c r="X33" i="59"/>
  <c r="AB32" i="59"/>
  <c r="AA32" i="59"/>
  <c r="Y32" i="59"/>
  <c r="Z32" i="59" s="1"/>
  <c r="X32" i="59"/>
  <c r="AB31" i="59"/>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F25" i="12" l="1"/>
  <c r="C25" i="12" s="1"/>
  <c r="C16" i="11" l="1"/>
  <c r="C15" i="11"/>
  <c r="C14" i="11"/>
  <c r="C9" i="11"/>
  <c r="C8" i="11"/>
  <c r="K36" i="36" l="1"/>
  <c r="K38" i="35"/>
  <c r="K42" i="37"/>
  <c r="K49" i="34"/>
  <c r="K48" i="33" l="1"/>
  <c r="K48" i="21"/>
  <c r="K44" i="40" l="1"/>
  <c r="K49" i="39"/>
  <c r="E77" i="9"/>
  <c r="F77" i="9"/>
  <c r="AH8" i="59" l="1"/>
  <c r="AG8" i="59"/>
  <c r="AE8" i="59"/>
  <c r="AF8" i="59" s="1"/>
  <c r="AD8" i="59"/>
  <c r="Q8" i="59"/>
  <c r="P8" i="59"/>
  <c r="O8" i="59"/>
  <c r="N8" i="59"/>
  <c r="Y7" i="59" l="1"/>
  <c r="Z7" i="59" s="1"/>
  <c r="Y8" i="59"/>
  <c r="X7" i="59"/>
  <c r="X8" i="59"/>
  <c r="AA7" i="59"/>
  <c r="AA8" i="59"/>
  <c r="AB7" i="59"/>
  <c r="AB8" i="59"/>
  <c r="A21" i="31"/>
  <c r="C109" i="9" l="1"/>
  <c r="V10" i="59" l="1"/>
  <c r="U10" i="59"/>
  <c r="T10" i="59"/>
  <c r="S10" i="59"/>
  <c r="AH9" i="59" l="1"/>
  <c r="AG9" i="59"/>
  <c r="AE9" i="59"/>
  <c r="AF9" i="59" s="1"/>
  <c r="AD9" i="59"/>
  <c r="Q9" i="59"/>
  <c r="P9" i="59"/>
  <c r="O9" i="59"/>
  <c r="Z8" i="59" s="1"/>
  <c r="N9" i="59"/>
  <c r="Q11" i="59" l="1"/>
  <c r="P11" i="59"/>
  <c r="O11" i="59"/>
  <c r="N11" i="59"/>
  <c r="AH10" i="59"/>
  <c r="AG10" i="59"/>
  <c r="AE10" i="59"/>
  <c r="AF10" i="59" s="1"/>
  <c r="AD10" i="59"/>
  <c r="Q10" i="59"/>
  <c r="P10" i="59"/>
  <c r="O10" i="59"/>
  <c r="N10" i="59"/>
  <c r="F11" i="59"/>
  <c r="F10" i="59"/>
  <c r="F9" i="59" s="1"/>
  <c r="F8" i="59" s="1"/>
  <c r="F7" i="59" s="1"/>
  <c r="F6" i="59" s="1"/>
  <c r="F5"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s="1"/>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s="1"/>
  <c r="M48" i="44"/>
  <c r="A16" i="55"/>
  <c r="A15" i="55"/>
  <c r="B66" i="63" s="1"/>
  <c r="A14" i="55"/>
  <c r="A11" i="55"/>
  <c r="A10" i="55"/>
  <c r="B61" i="63" s="1"/>
  <c r="A9" i="55"/>
  <c r="B60" i="63" s="1"/>
  <c r="A8" i="55"/>
  <c r="A6" i="54"/>
  <c r="A8" i="54"/>
  <c r="A7" i="54"/>
  <c r="A28" i="51"/>
  <c r="A27" i="51"/>
  <c r="B20" i="63" s="1"/>
  <c r="Q20" i="59"/>
  <c r="O20" i="59"/>
  <c r="N21" i="59"/>
  <c r="O21" i="59"/>
  <c r="P21" i="59"/>
  <c r="Q21" i="59"/>
  <c r="N20" i="59"/>
  <c r="P20" i="59"/>
  <c r="B22" i="59"/>
  <c r="C22" i="59"/>
  <c r="D22" i="59"/>
  <c r="E22" i="59"/>
  <c r="F22" i="59"/>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AA3" i="59"/>
  <c r="AB3" i="59"/>
  <c r="B25" i="59"/>
  <c r="B26" i="59"/>
  <c r="S26" i="59"/>
  <c r="E24" i="59"/>
  <c r="E25" i="59"/>
  <c r="E26" i="59"/>
  <c r="U26" i="59"/>
  <c r="B45" i="59"/>
  <c r="B46" i="59"/>
  <c r="S46" i="59"/>
  <c r="E45" i="59"/>
  <c r="E46" i="59"/>
  <c r="U46" i="59"/>
  <c r="S62"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L16" i="4" s="1"/>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N16" i="4"/>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S29" i="39"/>
  <c r="AC21"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C4" i="4"/>
  <c r="B20" i="55" s="1"/>
  <c r="B70" i="63" s="1"/>
  <c r="G66" i="36"/>
  <c r="J18" i="36"/>
  <c r="AE8" i="1"/>
  <c r="AE7" i="1"/>
  <c r="W18" i="36"/>
  <c r="AC18" i="36"/>
  <c r="AG6" i="1"/>
  <c r="L20" i="6"/>
  <c r="B21" i="55"/>
  <c r="B72"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7" i="59"/>
  <c r="C16" i="59"/>
  <c r="D16" i="59"/>
  <c r="U14" i="59"/>
  <c r="F17" i="59"/>
  <c r="F16" i="59"/>
  <c r="F15" i="59"/>
  <c r="F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H55" i="46"/>
  <c r="H54" i="46"/>
  <c r="H52" i="46"/>
  <c r="H47" i="46"/>
  <c r="AD12" i="46"/>
  <c r="AH12" i="46"/>
  <c r="C15" i="59"/>
  <c r="C14" i="59"/>
  <c r="T14" i="59"/>
  <c r="B15" i="59"/>
  <c r="B14" i="59"/>
  <c r="S14" i="59"/>
  <c r="D15" i="59"/>
  <c r="V14" i="59"/>
  <c r="D14" i="59"/>
  <c r="K14" i="1"/>
  <c r="M14" i="1" s="1"/>
  <c r="E30" i="6"/>
  <c r="E46" i="36"/>
  <c r="C23" i="46"/>
  <c r="C7" i="46"/>
  <c r="D13" i="59"/>
  <c r="D12" i="59"/>
  <c r="S2" i="46"/>
  <c r="S7" i="46"/>
  <c r="S4" i="46"/>
  <c r="F46" i="36"/>
  <c r="G46" i="36" s="1"/>
  <c r="H46" i="36" s="1"/>
  <c r="F24" i="43"/>
  <c r="F13" i="67"/>
  <c r="E8" i="67"/>
  <c r="E14" i="67"/>
  <c r="F26" i="15"/>
  <c r="N5" i="65"/>
  <c r="B12" i="67"/>
  <c r="F40" i="44"/>
  <c r="M23" i="15"/>
  <c r="M29" i="44"/>
  <c r="L47" i="15"/>
  <c r="F15" i="44"/>
  <c r="N7" i="65"/>
  <c r="M25" i="44"/>
  <c r="E13" i="67"/>
  <c r="E12" i="67"/>
  <c r="M11" i="44"/>
  <c r="F14" i="67"/>
  <c r="F10" i="67"/>
  <c r="L48" i="44"/>
  <c r="I5" i="65"/>
  <c r="F36" i="15"/>
  <c r="E11" i="67"/>
  <c r="M22" i="15"/>
  <c r="F7" i="15"/>
  <c r="B11" i="67"/>
  <c r="F9" i="67"/>
  <c r="J4" i="65"/>
  <c r="F12" i="67"/>
  <c r="M30" i="44"/>
  <c r="J5" i="65"/>
  <c r="F39" i="44"/>
  <c r="J15" i="15"/>
  <c r="B10" i="67"/>
  <c r="F6" i="15"/>
  <c r="J7" i="65"/>
  <c r="F38" i="44"/>
  <c r="L49" i="44"/>
  <c r="F18" i="44"/>
  <c r="F11" i="44"/>
  <c r="F28" i="44"/>
  <c r="F11" i="67"/>
  <c r="M8" i="15"/>
  <c r="I6" i="65"/>
  <c r="M9" i="15"/>
  <c r="F40" i="15"/>
  <c r="N3" i="65"/>
  <c r="F9" i="44"/>
  <c r="I4" i="65"/>
  <c r="M8" i="44"/>
  <c r="B8" i="67"/>
  <c r="J6" i="65"/>
  <c r="B13" i="67"/>
  <c r="F8" i="44"/>
  <c r="L48" i="15"/>
  <c r="M31" i="44"/>
  <c r="M27" i="15"/>
  <c r="M28" i="44"/>
  <c r="J3" i="65"/>
  <c r="B14" i="67"/>
  <c r="F38" i="15"/>
  <c r="I7" i="65"/>
  <c r="F8" i="67"/>
  <c r="F10" i="44"/>
  <c r="M26" i="15"/>
  <c r="M24" i="44"/>
  <c r="F16" i="15"/>
  <c r="M29" i="15"/>
  <c r="N6" i="65"/>
  <c r="J36" i="15"/>
  <c r="E9" i="67"/>
  <c r="M26" i="44"/>
  <c r="F43" i="44"/>
  <c r="I3" i="65"/>
  <c r="F45" i="44"/>
  <c r="E10" i="67"/>
  <c r="F43" i="15"/>
  <c r="N4" i="65"/>
  <c r="F13" i="15"/>
  <c r="F42" i="15"/>
  <c r="F9" i="15"/>
  <c r="B9" i="67"/>
  <c r="J17" i="44"/>
  <c r="M10" i="44"/>
  <c r="F37" i="15"/>
  <c r="M6" i="15"/>
  <c r="M24" i="15"/>
  <c r="F8" i="15"/>
  <c r="M28" i="15"/>
  <c r="D18" i="9" l="1"/>
  <c r="M44" i="9" s="1"/>
  <c r="M43" i="9"/>
  <c r="A30" i="64"/>
  <c r="A30" i="51"/>
  <c r="B22" i="63" s="1"/>
  <c r="E10" i="46"/>
  <c r="E9" i="46"/>
  <c r="E8" i="46"/>
  <c r="E11" i="46"/>
  <c r="F101" i="39"/>
  <c r="G101" i="39" s="1"/>
  <c r="H27" i="39"/>
  <c r="AB27" i="39" s="1"/>
  <c r="F27" i="39"/>
  <c r="J27" i="39"/>
  <c r="AC27" i="39" s="1"/>
  <c r="AC17" i="39"/>
  <c r="AB17" i="39"/>
  <c r="C26" i="43"/>
  <c r="D24" i="43" s="1"/>
  <c r="K17" i="4"/>
  <c r="D70" i="39"/>
  <c r="C72" i="39"/>
  <c r="C67" i="40"/>
  <c r="D65" i="40"/>
  <c r="G17" i="46"/>
  <c r="C16" i="46" s="1"/>
  <c r="D5" i="46" s="1"/>
  <c r="F31" i="6"/>
  <c r="Y11" i="46"/>
  <c r="Y13" i="46" s="1"/>
  <c r="G22" i="46"/>
  <c r="F101" i="46"/>
  <c r="M101" i="46"/>
  <c r="M107" i="46" s="1"/>
  <c r="AC11" i="46"/>
  <c r="AC13" i="46" s="1"/>
  <c r="AJ11" i="46"/>
  <c r="AJ13" i="46" s="1"/>
  <c r="C101" i="46"/>
  <c r="J101" i="46"/>
  <c r="N104" i="45"/>
  <c r="F22" i="46"/>
  <c r="Z7" i="46"/>
  <c r="E22" i="46"/>
  <c r="AA11" i="46"/>
  <c r="AA13" i="46" s="1"/>
  <c r="AF11" i="46"/>
  <c r="AF13" i="46" s="1"/>
  <c r="S5" i="46"/>
  <c r="S3" i="46"/>
  <c r="S6" i="46"/>
  <c r="H22" i="46"/>
  <c r="H101" i="46"/>
  <c r="J22" i="46"/>
  <c r="D101" i="46"/>
  <c r="I101" i="46"/>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C21" i="46" s="1"/>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I102" i="46"/>
  <c r="I109" i="46"/>
  <c r="O8" i="1"/>
  <c r="P8" i="1" s="1"/>
  <c r="O6" i="1"/>
  <c r="BL5" i="3"/>
  <c r="AZ13" i="3"/>
  <c r="AZ5" i="3" s="1"/>
  <c r="E14" i="6"/>
  <c r="E13" i="6"/>
  <c r="E10" i="6"/>
  <c r="M105" i="46"/>
  <c r="M102" i="46"/>
  <c r="M106" i="46"/>
  <c r="I106" i="46"/>
  <c r="M109" i="46"/>
  <c r="M103" i="46"/>
  <c r="C5" i="46"/>
  <c r="AP16" i="1"/>
  <c r="F22" i="11" s="1"/>
  <c r="G16" i="1"/>
  <c r="H12" i="39" s="1"/>
  <c r="C18" i="11"/>
  <c r="K77" i="9"/>
  <c r="K79" i="9" s="1"/>
  <c r="K81" i="9" s="1"/>
  <c r="E12" i="52"/>
  <c r="B15" i="52"/>
  <c r="F31" i="15"/>
  <c r="F33" i="44"/>
  <c r="D9" i="59"/>
  <c r="C8" i="59"/>
  <c r="E10" i="59"/>
  <c r="E9" i="59" s="1"/>
  <c r="E8" i="59" s="1"/>
  <c r="E7" i="59" s="1"/>
  <c r="E6" i="59" s="1"/>
  <c r="E5" i="59" s="1"/>
  <c r="B10" i="59"/>
  <c r="B9" i="59" s="1"/>
  <c r="B8" i="59" s="1"/>
  <c r="B7" i="59" s="1"/>
  <c r="B6" i="59" s="1"/>
  <c r="B5" i="59" s="1"/>
  <c r="B4" i="52"/>
  <c r="B7" i="52"/>
  <c r="E14" i="52"/>
  <c r="E6" i="52"/>
  <c r="E11" i="52"/>
  <c r="E9" i="52"/>
  <c r="E7" i="52"/>
  <c r="B9" i="52"/>
  <c r="E4" i="52"/>
  <c r="E13" i="52"/>
  <c r="B8" i="52"/>
  <c r="E10" i="52"/>
  <c r="B10" i="52"/>
  <c r="B6" i="52"/>
  <c r="B5" i="52"/>
  <c r="B11" i="52"/>
  <c r="B12" i="52"/>
  <c r="E8" i="52"/>
  <c r="B14" i="52"/>
  <c r="E5" i="52"/>
  <c r="Y3" i="59"/>
  <c r="Z3" i="59" s="1"/>
  <c r="D10" i="59"/>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5" i="43"/>
  <c r="C17" i="15"/>
  <c r="C18" i="44"/>
  <c r="E3" i="65"/>
  <c r="C16" i="15"/>
  <c r="C19" i="44"/>
  <c r="E2" i="65"/>
  <c r="U27" i="39" l="1"/>
  <c r="W27" i="39"/>
  <c r="AA27" i="39"/>
  <c r="S27" i="39"/>
  <c r="F7" i="37"/>
  <c r="D67" i="40"/>
  <c r="E65" i="40"/>
  <c r="E70" i="39"/>
  <c r="D72" i="39"/>
  <c r="F58" i="15"/>
  <c r="D8" i="59"/>
  <c r="C7"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J12" i="40"/>
  <c r="AC12" i="40" s="1"/>
  <c r="AB7" i="36"/>
  <c r="T36" i="36" s="1"/>
  <c r="G36" i="36" s="1"/>
  <c r="U7" i="36"/>
  <c r="AA7" i="37"/>
  <c r="R42" i="37" s="1"/>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L16" i="1"/>
  <c r="N16" i="1"/>
  <c r="E61" i="40"/>
  <c r="E66" i="39"/>
  <c r="U12" i="39"/>
  <c r="AB12" i="39"/>
  <c r="M19" i="44"/>
  <c r="C19" i="46"/>
  <c r="B40" i="1"/>
  <c r="F17" i="11"/>
  <c r="C17" i="11" s="1"/>
  <c r="C19" i="11" s="1"/>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C13" i="43"/>
  <c r="C29" i="43"/>
  <c r="AE6" i="1"/>
  <c r="F68" i="15" l="1"/>
  <c r="E72" i="39"/>
  <c r="F70" i="39"/>
  <c r="F65" i="40"/>
  <c r="E67" i="40"/>
  <c r="D7" i="59"/>
  <c r="C6" i="59"/>
  <c r="C5" i="59" s="1"/>
  <c r="D5" i="59" s="1"/>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W12" i="39"/>
  <c r="I19" i="6"/>
  <c r="M27" i="6"/>
  <c r="D16" i="12"/>
  <c r="D44" i="9"/>
  <c r="D46" i="9"/>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T3" i="46"/>
  <c r="V3" i="46" s="1"/>
  <c r="T8" i="46"/>
  <c r="V8" i="46" s="1"/>
  <c r="C39" i="46"/>
  <c r="E39" i="46" s="1"/>
  <c r="T9" i="46"/>
  <c r="V9" i="46" s="1"/>
  <c r="T13" i="46"/>
  <c r="V13" i="46" s="1"/>
  <c r="T11" i="46"/>
  <c r="V11" i="46" s="1"/>
  <c r="T15" i="46"/>
  <c r="V15" i="46" s="1"/>
  <c r="T12" i="46"/>
  <c r="V12"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D16" i="43"/>
  <c r="C14" i="15"/>
  <c r="C16" i="44"/>
  <c r="T6" i="46" l="1"/>
  <c r="V6" i="46" s="1"/>
  <c r="T2" i="46"/>
  <c r="V2" i="46" s="1"/>
  <c r="C37" i="46"/>
  <c r="G37" i="46" s="1"/>
  <c r="I37" i="46" s="1"/>
  <c r="T5" i="46"/>
  <c r="V5" i="46" s="1"/>
  <c r="C35" i="46"/>
  <c r="G35" i="46" s="1"/>
  <c r="I35" i="46" s="1"/>
  <c r="T16" i="46"/>
  <c r="V16" i="46" s="1"/>
  <c r="C36" i="46"/>
  <c r="G36" i="46" s="1"/>
  <c r="I36" i="46" s="1"/>
  <c r="C16" i="43"/>
  <c r="C18" i="43" s="1"/>
  <c r="C19" i="43" s="1"/>
  <c r="C25" i="43" s="1"/>
  <c r="C24" i="43" s="1"/>
  <c r="G70" i="39"/>
  <c r="F72" i="39"/>
  <c r="F67" i="40"/>
  <c r="G65" i="40"/>
  <c r="D6" i="59"/>
  <c r="M20" i="46"/>
  <c r="C20" i="44"/>
  <c r="C17" i="44"/>
  <c r="C15" i="15"/>
  <c r="C18" i="15"/>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6" i="46"/>
  <c r="E37" i="46"/>
  <c r="G39" i="46"/>
  <c r="I39" i="46" s="1"/>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F7" i="67"/>
  <c r="E35" i="46" l="1"/>
  <c r="G33" i="46"/>
  <c r="I33" i="46" s="1"/>
  <c r="H65" i="40"/>
  <c r="G67" i="40"/>
  <c r="F7" i="34"/>
  <c r="H70" i="39"/>
  <c r="G72" i="39"/>
  <c r="C21" i="44"/>
  <c r="C22" i="44" s="1"/>
  <c r="C28" i="44" s="1"/>
  <c r="C19" i="15"/>
  <c r="C20" i="15" s="1"/>
  <c r="E29" i="46"/>
  <c r="C26" i="46" s="1"/>
  <c r="B2" i="46" s="1"/>
  <c r="H7" i="34"/>
  <c r="U7" i="34" s="1"/>
  <c r="C27" i="46"/>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2" i="43"/>
  <c r="C21" i="43" s="1"/>
  <c r="C28" i="43" s="1"/>
  <c r="C30" i="43" s="1"/>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I70" i="39" l="1"/>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C28" i="12"/>
  <c r="C26" i="12" s="1"/>
  <c r="C31" i="12" s="1"/>
  <c r="C30" i="12" s="1"/>
  <c r="C36" i="12" s="1"/>
  <c r="B2" i="12" s="1"/>
  <c r="B3" i="12" s="1"/>
  <c r="E3" i="67"/>
  <c r="B2" i="67"/>
  <c r="D4" i="46"/>
  <c r="B3" i="46"/>
  <c r="B4" i="46"/>
  <c r="F37" i="44"/>
  <c r="M21" i="15"/>
  <c r="M23" i="44"/>
  <c r="F35" i="15"/>
  <c r="C38" i="44" l="1"/>
  <c r="Q51" i="44"/>
  <c r="J65" i="40"/>
  <c r="I67" i="40"/>
  <c r="J70" i="39"/>
  <c r="I72" i="39"/>
  <c r="C43" i="44"/>
  <c r="C39" i="44"/>
  <c r="J16" i="44"/>
  <c r="J24" i="44" s="1"/>
  <c r="C35" i="44"/>
  <c r="J21" i="44"/>
  <c r="C29" i="15"/>
  <c r="Q50" i="15" s="1"/>
  <c r="J22" i="44"/>
  <c r="J20" i="15"/>
  <c r="C36" i="44"/>
  <c r="C34" i="15"/>
  <c r="F62" i="15"/>
  <c r="C61" i="15" s="1"/>
  <c r="R16" i="1"/>
  <c r="B4" i="12"/>
  <c r="C33" i="15"/>
  <c r="C31" i="15" s="1"/>
  <c r="I53" i="34"/>
  <c r="J53" i="34" s="1"/>
  <c r="I54" i="34"/>
  <c r="J54" i="34" s="1"/>
  <c r="E53" i="21"/>
  <c r="F53" i="21" s="1"/>
  <c r="E52" i="21"/>
  <c r="F52" i="21" s="1"/>
  <c r="I53" i="21"/>
  <c r="J53" i="21" s="1"/>
  <c r="C13" i="15"/>
  <c r="C37"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B3" i="67"/>
  <c r="B4" i="67"/>
  <c r="J15" i="44" l="1"/>
  <c r="J25" i="44" s="1"/>
  <c r="K70" i="39"/>
  <c r="J72" i="39"/>
  <c r="K65" i="40"/>
  <c r="J67" i="40"/>
  <c r="J19" i="44"/>
  <c r="J59" i="15"/>
  <c r="J60" i="15" s="1"/>
  <c r="Q49" i="15" s="1"/>
  <c r="C56" i="15"/>
  <c r="J14" i="15"/>
  <c r="J22" i="15" s="1"/>
  <c r="J19" i="15"/>
  <c r="J17" i="15" s="1"/>
  <c r="C36" i="15"/>
  <c r="C30" i="15" s="1"/>
  <c r="C39" i="15" s="1"/>
  <c r="Q70" i="15" s="1"/>
  <c r="C33" i="44"/>
  <c r="C32" i="44" s="1"/>
  <c r="C42" i="44" s="1"/>
  <c r="H43" i="44" s="1"/>
  <c r="Q71" i="15"/>
  <c r="C55" i="15"/>
  <c r="C64" i="15" s="1"/>
  <c r="J35" i="15"/>
  <c r="J18" i="44" l="1"/>
  <c r="J27" i="44" s="1"/>
  <c r="K67" i="40"/>
  <c r="L65" i="40"/>
  <c r="K72" i="39"/>
  <c r="L70" i="39"/>
  <c r="C60" i="15"/>
  <c r="C58" i="15" s="1"/>
  <c r="J13" i="15"/>
  <c r="J23" i="15" s="1"/>
  <c r="J16" i="15" s="1"/>
  <c r="J25" i="15" s="1"/>
  <c r="C63" i="15"/>
  <c r="Q71" i="44"/>
  <c r="Q70" i="44" s="1"/>
  <c r="C44" i="44"/>
  <c r="C45" i="44" s="1"/>
  <c r="L52" i="44" s="1"/>
  <c r="C40" i="15"/>
  <c r="Q69" i="15"/>
  <c r="J39" i="15"/>
  <c r="J40" i="15" s="1"/>
  <c r="L51" i="15"/>
  <c r="Q57" i="15" l="1"/>
  <c r="C10" i="43"/>
  <c r="C6" i="43" s="1"/>
  <c r="M70" i="39"/>
  <c r="L72" i="39"/>
  <c r="L67" i="40"/>
  <c r="M65" i="40"/>
  <c r="C57" i="15"/>
  <c r="C66" i="15" s="1"/>
  <c r="C67" i="15" s="1"/>
  <c r="C70" i="15" s="1"/>
  <c r="B2" i="44"/>
  <c r="B3" i="44" s="1"/>
  <c r="L57" i="15"/>
  <c r="L60" i="15" s="1"/>
  <c r="Q68" i="15"/>
  <c r="J42" i="15"/>
  <c r="J43" i="15" s="1"/>
  <c r="C43" i="15"/>
  <c r="Q66" i="15"/>
  <c r="Q48" i="15"/>
  <c r="Q54" i="15" s="1"/>
  <c r="L58" i="44"/>
  <c r="L61" i="44" s="1"/>
  <c r="L47" i="44" s="1"/>
  <c r="Q69" i="44"/>
  <c r="B4" i="44" l="1"/>
  <c r="C31" i="43"/>
  <c r="C32" i="43" s="1"/>
  <c r="B2" i="43" s="1"/>
  <c r="Q67" i="15"/>
  <c r="L46" i="15"/>
  <c r="B2" i="15" s="1"/>
  <c r="M67" i="40"/>
  <c r="H9" i="40" s="1"/>
  <c r="N65" i="40"/>
  <c r="N67" i="40" s="1"/>
  <c r="M72" i="39"/>
  <c r="N70" i="39"/>
  <c r="N72" i="39" s="1"/>
  <c r="F9" i="39" s="1"/>
  <c r="J9" i="39"/>
  <c r="C46" i="15"/>
  <c r="B5" i="44"/>
  <c r="Q58" i="15"/>
  <c r="Q63" i="15" s="1"/>
  <c r="Q76" i="15"/>
  <c r="Q68" i="44"/>
  <c r="Q77" i="44" s="1"/>
  <c r="Q59" i="44"/>
  <c r="Q64" i="44" s="1"/>
  <c r="D19" i="9"/>
  <c r="B5" i="43"/>
  <c r="B3" i="43"/>
  <c r="D20" i="9" s="1"/>
  <c r="B4" i="43"/>
  <c r="D21" i="9" s="1"/>
  <c r="L44" i="9" l="1"/>
  <c r="B3" i="15"/>
  <c r="W9" i="39"/>
  <c r="AC9" i="39"/>
  <c r="V49" i="39" s="1"/>
  <c r="I49" i="39" s="1"/>
  <c r="AB9" i="40"/>
  <c r="T44" i="40" s="1"/>
  <c r="G44" i="40" s="1"/>
  <c r="G48" i="40" s="1"/>
  <c r="H48" i="40" s="1"/>
  <c r="U9" i="40"/>
  <c r="S9" i="39"/>
  <c r="AA9" i="39"/>
  <c r="R49" i="39" s="1"/>
  <c r="F9" i="40"/>
  <c r="J9" i="40"/>
  <c r="H9" i="39"/>
  <c r="AC9" i="40" l="1"/>
  <c r="V44" i="40" s="1"/>
  <c r="I44" i="40" s="1"/>
  <c r="W9" i="40"/>
  <c r="E49" i="39"/>
  <c r="I54" i="39" s="1"/>
  <c r="J54" i="39" s="1"/>
  <c r="I53" i="39"/>
  <c r="J53" i="39" s="1"/>
  <c r="U9" i="39"/>
  <c r="AB9" i="39"/>
  <c r="T49" i="39" s="1"/>
  <c r="G49" i="39" s="1"/>
  <c r="S9" i="40"/>
  <c r="AA9" i="40"/>
  <c r="R44" i="40" s="1"/>
  <c r="R50" i="39" l="1"/>
  <c r="C50" i="39" s="1"/>
  <c r="G53" i="39"/>
  <c r="H53" i="39" s="1"/>
  <c r="G54" i="39"/>
  <c r="H54" i="39" s="1"/>
  <c r="R45" i="40"/>
  <c r="E44" i="40"/>
  <c r="I49" i="40" s="1"/>
  <c r="J49" i="40" s="1"/>
  <c r="E53" i="39"/>
  <c r="F53" i="39" s="1"/>
  <c r="E54" i="39"/>
  <c r="F54" i="39" s="1"/>
  <c r="G49" i="40"/>
  <c r="H49" i="40" s="1"/>
  <c r="I48" i="40"/>
  <c r="J48" i="40" s="1"/>
  <c r="C49" i="39" l="1"/>
  <c r="E49" i="40"/>
  <c r="F49" i="40" s="1"/>
  <c r="E48" i="40"/>
  <c r="F48" i="40" s="1"/>
  <c r="C45" i="40"/>
  <c r="C44" i="40"/>
  <c r="B59" i="39"/>
  <c r="F59" i="39" s="1"/>
  <c r="B66" i="39"/>
  <c r="F66" i="39" s="1"/>
  <c r="B62" i="39"/>
  <c r="F62" i="39" s="1"/>
  <c r="B64" i="39"/>
  <c r="F64" i="39" s="1"/>
  <c r="B60" i="39"/>
  <c r="F60" i="39" s="1"/>
  <c r="F68" i="39"/>
  <c r="B2" i="39" s="1"/>
  <c r="B63" i="39"/>
  <c r="F63" i="39" s="1"/>
  <c r="B67" i="39"/>
  <c r="F67" i="39" s="1"/>
  <c r="B65" i="39"/>
  <c r="F65" i="39" s="1"/>
  <c r="B61" i="39"/>
  <c r="F61" i="39" s="1"/>
  <c r="B58" i="39"/>
  <c r="F58" i="39" s="1"/>
  <c r="C19" i="9"/>
  <c r="L43" i="9" l="1"/>
  <c r="D22" i="9"/>
  <c r="G19" i="9"/>
  <c r="B4" i="39"/>
  <c r="B3" i="39"/>
  <c r="B5" i="39"/>
  <c r="B56" i="40"/>
  <c r="F56" i="40" s="1"/>
  <c r="B60" i="40"/>
  <c r="F60" i="40" s="1"/>
  <c r="B53" i="40"/>
  <c r="F53" i="40" s="1"/>
  <c r="B62" i="40"/>
  <c r="F62" i="40" s="1"/>
  <c r="B59" i="40"/>
  <c r="F59" i="40" s="1"/>
  <c r="F63" i="40"/>
  <c r="B2" i="40" s="1"/>
  <c r="B61" i="40"/>
  <c r="F61" i="40" s="1"/>
  <c r="B55" i="40"/>
  <c r="F55" i="40" s="1"/>
  <c r="B57" i="40"/>
  <c r="F57" i="40" s="1"/>
  <c r="B54" i="40"/>
  <c r="F54" i="40" s="1"/>
  <c r="B58" i="40"/>
  <c r="F58" i="40" s="1"/>
  <c r="C21" i="9"/>
  <c r="C20" i="9"/>
  <c r="G20" i="9" l="1"/>
  <c r="G21" i="9"/>
  <c r="C32" i="9"/>
  <c r="G22" i="9"/>
  <c r="N43" i="9"/>
  <c r="B3" i="40"/>
  <c r="B5" i="40"/>
  <c r="B4" i="40"/>
  <c r="C42" i="9" l="1"/>
  <c r="C33" i="9"/>
  <c r="C35" i="9"/>
  <c r="F42" i="9" s="1"/>
  <c r="C34" i="9"/>
  <c r="O43" i="9"/>
  <c r="O38" i="9"/>
  <c r="K26" i="9" l="1"/>
  <c r="K25" i="9"/>
  <c r="E42" i="9"/>
  <c r="P5" i="54" s="1"/>
  <c r="B46" i="63" s="1"/>
  <c r="M38" i="9"/>
  <c r="K27" i="9" s="1"/>
  <c r="D42" i="9"/>
  <c r="Q5" i="54" s="1"/>
  <c r="B47" i="63" s="1"/>
  <c r="N38" i="9"/>
  <c r="K28" i="9" s="1"/>
  <c r="D14" i="66"/>
  <c r="R5" i="54"/>
  <c r="B48" i="63" s="1"/>
  <c r="N68" i="9"/>
  <c r="D63" i="9"/>
  <c r="B5" i="66" l="1"/>
  <c r="E14" i="66"/>
  <c r="F14" i="66"/>
  <c r="C82" i="9"/>
  <c r="C81" i="9" s="1"/>
  <c r="C85" i="9" s="1"/>
  <c r="C86" i="9" s="1"/>
  <c r="D72" i="9" s="1"/>
  <c r="D71" i="9"/>
  <c r="D66" i="9" s="1"/>
  <c r="N72" i="9" s="1"/>
  <c r="C96" i="9"/>
  <c r="C91" i="9" s="1"/>
  <c r="C90" i="9"/>
  <c r="C111" i="9"/>
  <c r="C104" i="9" s="1"/>
  <c r="D70" i="9"/>
  <c r="D73" i="9"/>
  <c r="N73" i="9" s="1"/>
  <c r="C103" i="9"/>
  <c r="C113" i="9" l="1"/>
  <c r="C97" i="9"/>
  <c r="C5" i="66"/>
  <c r="D5" i="66"/>
  <c r="C98" i="9" l="1"/>
  <c r="E98" i="9" s="1"/>
  <c r="E99" i="9" s="1"/>
  <c r="C114" i="9"/>
  <c r="E114" i="9" s="1"/>
  <c r="E115" i="9" s="1"/>
  <c r="C115" i="9" l="1"/>
  <c r="D76" i="9" s="1"/>
  <c r="D74" i="9" s="1"/>
  <c r="N74" i="9" s="1"/>
  <c r="O77" i="9" s="1"/>
  <c r="C99" i="9"/>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<sst xmlns="http://schemas.openxmlformats.org/spreadsheetml/2006/main" count="7992" uniqueCount="3362">
  <si>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</si>
  <si>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</si>
  <si>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</si>
  <si>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</si>
  <si>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</si>
  <si>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</si>
  <si>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</si>
  <si>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</si>
  <si>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</si>
  <si>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</si>
  <si>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</si>
  <si>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</si>
  <si>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</si>
  <si>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</si>
  <si>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</si>
  <si>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</si>
  <si>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</si>
  <si>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</si>
  <si>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</si>
  <si>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</si>
  <si>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</si>
  <si>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</si>
  <si>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</si>
  <si>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</si>
  <si>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</si>
  <si>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</si>
  <si>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</si>
  <si>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</si>
  <si>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</si>
  <si>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</si>
  <si>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</si>
  <si>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</si>
  <si>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</si>
  <si>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</si>
  <si>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</si>
  <si>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</si>
  <si>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</si>
  <si>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</si>
  <si>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</si>
  <si>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</si>
  <si>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</si>
  <si>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</si>
  <si>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</si>
  <si>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</si>
  <si>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</si>
  <si>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</si>
  <si>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</si>
  <si>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</si>
  <si>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</si>
  <si>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</si>
  <si>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</si>
  <si>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</si>
  <si>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</si>
  <si>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</si>
  <si>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</si>
  <si>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</si>
  <si>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</si>
  <si>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</si>
  <si>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</si>
  <si>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</si>
  <si>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</si>
  <si>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</si>
  <si>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</si>
  <si>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</si>
  <si>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</si>
  <si>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</si>
  <si>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</si>
  <si>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</si>
  <si>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</si>
  <si>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</si>
  <si>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</si>
  <si>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</si>
  <si>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</si>
  <si>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</si>
  <si>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</si>
  <si>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</si>
  <si>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</si>
  <si>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</si>
  <si>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</si>
  <si>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</si>
  <si>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</si>
  <si>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</si>
  <si>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</si>
  <si>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</si>
  <si>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</si>
  <si>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</si>
  <si>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</si>
  <si>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</si>
  <si>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</si>
  <si>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</si>
  <si>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</si>
  <si>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</si>
  <si>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</si>
  <si>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</si>
  <si>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</si>
  <si>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</si>
  <si>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</si>
  <si>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</si>
  <si>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</si>
  <si>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</si>
  <si>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</si>
  <si>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</si>
  <si>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</si>
  <si>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</si>
  <si>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</si>
  <si>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</si>
  <si>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</si>
  <si>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</si>
  <si>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</si>
  <si>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</si>
  <si>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</si>
  <si>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</si>
  <si>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</si>
  <si>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</si>
  <si>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</si>
  <si>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</si>
  <si>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</si>
  <si>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</si>
  <si>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</si>
  <si>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</si>
  <si>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</si>
  <si>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</si>
  <si>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</si>
  <si>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</si>
  <si>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</si>
  <si>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</si>
  <si>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</si>
  <si>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</si>
  <si>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</si>
  <si>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</si>
  <si>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</si>
  <si>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</si>
  <si>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</si>
  <si>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</si>
  <si>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</si>
  <si>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</si>
  <si>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</si>
  <si>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</si>
  <si>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</si>
  <si>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</si>
  <si>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</si>
  <si>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</si>
  <si>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</si>
  <si>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</si>
  <si>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</si>
  <si>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</si>
  <si>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</si>
  <si>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</si>
  <si>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</si>
  <si>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</si>
  <si>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</si>
  <si>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</si>
  <si>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</si>
  <si>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</si>
  <si>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</si>
  <si>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</si>
  <si>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</si>
  <si>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</si>
  <si>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</si>
  <si>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</si>
  <si>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</si>
  <si>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</si>
  <si>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</si>
  <si>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</si>
  <si>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</si>
  <si>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</si>
  <si>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</si>
  <si>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</si>
  <si>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</si>
  <si>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</si>
  <si>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</si>
  <si>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</si>
  <si>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</si>
  <si>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</si>
  <si>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</si>
  <si>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</si>
  <si>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</si>
  <si>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</si>
  <si>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</si>
  <si>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</si>
  <si>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</si>
  <si>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</si>
  <si>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</si>
  <si>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</si>
  <si>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</si>
  <si>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</si>
  <si>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</si>
  <si>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</si>
  <si>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</si>
  <si>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</si>
  <si>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</si>
  <si>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</si>
  <si>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</si>
  <si>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</si>
  <si>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</si>
  <si>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</si>
  <si>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</si>
  <si>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</si>
  <si>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</si>
  <si>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</si>
  <si>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</si>
  <si>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</si>
  <si>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</si>
  <si>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</si>
  <si>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</si>
  <si>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</si>
  <si>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</si>
  <si>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</si>
  <si>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</si>
  <si>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</si>
  <si>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</si>
  <si>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</si>
  <si>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</si>
  <si>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</si>
  <si>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</si>
  <si>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</si>
  <si>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</si>
  <si>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</si>
  <si>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</si>
  <si>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</si>
  <si>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</si>
  <si>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</si>
  <si>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</si>
  <si>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</si>
  <si>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</si>
  <si>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</si>
  <si>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</si>
  <si>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</si>
  <si>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</si>
  <si>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</si>
  <si>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</si>
  <si>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</si>
  <si>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</si>
  <si>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</si>
  <si>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</si>
  <si>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</si>
  <si>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</si>
  <si>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</si>
  <si>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</si>
  <si>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</si>
  <si>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</si>
  <si>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</si>
  <si>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</si>
  <si>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</si>
  <si>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</si>
  <si>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</si>
  <si>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</si>
  <si>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</si>
  <si>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</si>
  <si>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</si>
  <si>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</si>
  <si>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</si>
  <si>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</si>
  <si>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</si>
  <si>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</si>
  <si>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</si>
  <si>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</si>
  <si>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</si>
  <si>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</si>
  <si>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</si>
  <si>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</si>
  <si>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</si>
  <si>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</si>
  <si>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</si>
  <si>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</si>
  <si>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</si>
  <si>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</si>
  <si>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</si>
  <si>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</si>
  <si>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</si>
  <si>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</si>
  <si>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</si>
  <si>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</si>
  <si>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</si>
  <si>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</si>
  <si>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</si>
  <si>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</si>
  <si>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</si>
  <si>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</si>
  <si>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</si>
  <si>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</si>
  <si>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</si>
  <si>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</si>
  <si>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</si>
  <si>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</si>
  <si>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</si>
  <si>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</si>
  <si>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</si>
  <si>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</si>
  <si>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</si>
  <si>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</si>
  <si>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</si>
  <si>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</si>
  <si>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</si>
  <si>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</si>
  <si>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</si>
  <si>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</si>
  <si>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</si>
  <si>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</si>
  <si>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</si>
  <si>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</si>
  <si>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</si>
  <si>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</si>
  <si>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</si>
  <si>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</si>
  <si>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</si>
  <si>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</si>
  <si>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</si>
  <si>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</si>
  <si>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</si>
  <si>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</si>
  <si>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</si>
  <si>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</si>
  <si>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</si>
  <si>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</si>
  <si>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</si>
  <si>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</si>
  <si>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</si>
  <si>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</si>
  <si>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</si>
  <si>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</si>
  <si>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</si>
  <si>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</si>
  <si>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</si>
  <si>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</si>
  <si>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</si>
  <si>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</si>
  <si>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</si>
  <si>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</si>
  <si>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</si>
  <si>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</si>
  <si>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</si>
  <si>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</si>
  <si>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</si>
  <si>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</si>
  <si>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</si>
  <si>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</si>
  <si>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</si>
  <si>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</si>
  <si>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</si>
  <si>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</si>
  <si>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</si>
  <si>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</si>
  <si>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</si>
  <si>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</si>
  <si>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</si>
  <si>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</si>
  <si>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</si>
  <si>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</si>
  <si>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</si>
  <si>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</si>
  <si>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</si>
  <si>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</si>
  <si>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</si>
  <si>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</si>
  <si>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</si>
  <si>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</si>
  <si>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</si>
  <si>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</si>
  <si>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</si>
  <si>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</si>
  <si>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</si>
  <si>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</si>
  <si>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</si>
  <si>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</si>
  <si>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</si>
  <si>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</si>
  <si>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</si>
  <si>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</si>
  <si>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</si>
  <si>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</si>
  <si>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</si>
  <si>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</si>
  <si>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</si>
  <si>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</si>
  <si>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</si>
  <si>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</si>
  <si>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</si>
  <si>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</si>
  <si>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</si>
  <si>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</si>
  <si>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</si>
  <si>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</si>
  <si>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</si>
  <si>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</si>
  <si>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</si>
  <si>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</si>
  <si>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</si>
  <si>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</si>
  <si>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</si>
  <si>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</si>
  <si>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</si>
  <si>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</si>
  <si>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</si>
  <si>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</si>
  <si>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</si>
  <si>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</si>
  <si>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</si>
  <si>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</si>
  <si>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</si>
  <si>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</si>
  <si>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</si>
  <si>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</si>
  <si>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</si>
  <si>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</si>
  <si>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</si>
  <si>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</si>
  <si>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</si>
  <si>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</si>
  <si>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</si>
  <si>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</si>
  <si>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</si>
  <si>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</si>
  <si>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</si>
  <si>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</si>
  <si>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</si>
  <si>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</si>
  <si>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</si>
  <si>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</si>
  <si>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</si>
  <si>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</si>
  <si>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</si>
  <si>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</si>
  <si>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</si>
  <si>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</si>
  <si>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</si>
  <si>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</si>
  <si>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</si>
  <si>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</si>
  <si>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</si>
  <si>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</si>
  <si>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</si>
  <si>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</si>
  <si>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</si>
  <si>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</si>
  <si>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</si>
  <si>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</si>
  <si>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</si>
  <si>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</si>
  <si>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</si>
  <si>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</si>
  <si>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</si>
  <si>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</si>
  <si>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</si>
  <si>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</si>
  <si>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</si>
  <si>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</si>
  <si>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</si>
  <si>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</si>
  <si>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</si>
  <si>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</si>
  <si>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</si>
  <si>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</si>
  <si>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</si>
  <si>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</si>
  <si>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</si>
  <si>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</si>
  <si>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</si>
  <si>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</si>
  <si>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</si>
  <si>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</si>
  <si>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</si>
  <si>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</si>
  <si>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</si>
  <si>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</si>
  <si>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</si>
  <si>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</si>
  <si>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</si>
  <si>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</si>
  <si>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</si>
  <si>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</si>
  <si>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</si>
  <si>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</si>
  <si>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</si>
  <si>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</si>
  <si>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</si>
  <si>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</si>
  <si>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</si>
  <si>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</si>
  <si>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</si>
  <si>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</si>
  <si>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</si>
  <si>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</si>
  <si>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</si>
  <si>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</si>
  <si>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</si>
  <si>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</si>
  <si>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</si>
  <si>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</si>
  <si>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</si>
  <si>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</si>
  <si>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</si>
  <si>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</si>
  <si>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</si>
  <si>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</si>
  <si>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</si>
  <si>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</si>
  <si>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</si>
  <si>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</si>
  <si>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</si>
  <si>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</si>
  <si>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</si>
  <si>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</si>
  <si>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</si>
  <si>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</si>
  <si>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</si>
  <si>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</si>
  <si>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</si>
  <si>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</si>
  <si>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</si>
  <si>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</si>
  <si>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</si>
  <si>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</si>
  <si>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</si>
  <si>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</si>
  <si>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</si>
  <si>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</si>
  <si>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</si>
  <si>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</si>
  <si>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</si>
  <si>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</si>
  <si>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</si>
  <si>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</si>
  <si>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</si>
  <si>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</si>
  <si>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</si>
  <si>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</si>
  <si>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</si>
  <si>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</si>
  <si>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</si>
  <si>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</si>
  <si>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</si>
  <si>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</si>
  <si>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</si>
  <si>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</si>
  <si>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</si>
  <si>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</si>
  <si>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</si>
  <si>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</si>
  <si>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</si>
  <si>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</si>
  <si>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</si>
  <si>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</si>
  <si>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</si>
  <si>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</si>
  <si>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</si>
  <si>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</si>
  <si>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</si>
  <si>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</si>
  <si>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</si>
  <si>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</si>
  <si>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</si>
  <si>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</si>
  <si>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</si>
  <si>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</si>
  <si>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</si>
  <si>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</si>
  <si>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</si>
  <si>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</si>
  <si>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</si>
  <si>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</si>
  <si>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</si>
  <si>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</si>
  <si>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</si>
  <si>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</si>
  <si>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</si>
  <si>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</si>
  <si>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</si>
  <si>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</si>
  <si>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</si>
  <si>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</si>
  <si>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</si>
  <si>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</si>
  <si>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</si>
  <si>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</si>
  <si>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</si>
  <si>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</si>
  <si>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</si>
  <si>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</si>
  <si>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</si>
  <si>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</si>
  <si>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</si>
  <si>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</si>
  <si>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</si>
  <si>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</si>
  <si>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</si>
  <si>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</si>
  <si>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</si>
  <si>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</si>
  <si>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</si>
  <si>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</si>
  <si>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</si>
  <si>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</si>
  <si>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</si>
  <si>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</si>
  <si>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</si>
  <si>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</si>
  <si>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</si>
  <si>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</si>
  <si>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</si>
  <si>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</si>
  <si>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</si>
  <si>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</si>
  <si>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</si>
  <si>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</si>
  <si>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</si>
  <si>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</si>
  <si>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</si>
  <si>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</si>
  <si>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</si>
  <si>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</si>
  <si>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</si>
  <si>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</si>
  <si>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</si>
  <si>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</si>
  <si>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</si>
  <si>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</si>
  <si>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</si>
  <si>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</si>
  <si>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</si>
  <si>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</si>
  <si>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</si>
  <si>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</si>
  <si>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</si>
  <si>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</si>
  <si>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</si>
  <si>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</si>
  <si>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</si>
  <si>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</si>
  <si>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</si>
  <si>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</si>
  <si>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</si>
  <si>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</si>
  <si>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</si>
  <si>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</si>
  <si>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</si>
  <si>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</si>
  <si>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</si>
  <si>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</si>
  <si>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</si>
  <si>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</si>
  <si>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</si>
  <si>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</si>
  <si>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</si>
  <si>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</si>
  <si>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</si>
  <si>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</si>
  <si>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</si>
  <si>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</si>
  <si>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</si>
  <si>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</si>
  <si>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</si>
  <si>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</si>
  <si>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</si>
  <si>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</si>
  <si>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</si>
  <si>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</si>
  <si>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</si>
  <si>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</si>
  <si>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</si>
  <si>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</si>
  <si>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</si>
  <si>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</si>
  <si>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</si>
  <si>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</si>
  <si>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</si>
  <si>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</si>
  <si>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</si>
  <si>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</si>
  <si>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</si>
  <si>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</si>
  <si>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</si>
  <si>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</si>
  <si>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</si>
  <si>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</si>
  <si>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</si>
  <si>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</si>
  <si>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</si>
  <si>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</si>
  <si>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</si>
  <si>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</si>
  <si>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</si>
  <si>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</si>
  <si>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</si>
  <si>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</si>
  <si>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</si>
  <si>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</si>
  <si>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</si>
  <si>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</si>
  <si>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</si>
  <si>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</si>
  <si>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</si>
  <si>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</si>
  <si>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</si>
  <si>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</si>
  <si>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</si>
  <si>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</si>
  <si>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</si>
  <si>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</si>
  <si>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</si>
  <si>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</si>
  <si>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</si>
  <si>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</si>
  <si>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</si>
  <si>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</si>
  <si>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</si>
  <si>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</si>
  <si>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</si>
  <si>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</si>
  <si>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</si>
  <si>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</si>
  <si>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</si>
  <si>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</si>
  <si>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</si>
  <si>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</si>
  <si>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</si>
  <si>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</si>
  <si>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</si>
  <si>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</si>
  <si>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</si>
  <si>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</si>
  <si>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</si>
  <si>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</si>
  <si>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</si>
  <si>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</si>
  <si>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</si>
  <si>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</si>
  <si>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</si>
  <si>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</si>
  <si>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</si>
  <si>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</si>
  <si>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</si>
  <si>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</si>
  <si>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</si>
  <si>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</si>
  <si>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</si>
  <si>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</si>
  <si>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</si>
  <si>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</si>
  <si>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</si>
  <si>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</si>
  <si>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</si>
  <si>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</si>
  <si>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</si>
  <si>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</si>
  <si>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</si>
  <si>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</si>
  <si>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</si>
  <si>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</si>
  <si>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</si>
  <si>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</si>
  <si>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</si>
  <si>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</si>
  <si>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</si>
  <si>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</si>
  <si>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</si>
  <si>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</si>
  <si>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</si>
  <si>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</si>
  <si>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</si>
  <si>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</si>
  <si>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</si>
  <si>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</si>
  <si>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</si>
  <si>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</si>
  <si>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</si>
  <si>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</si>
  <si>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</si>
  <si>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</si>
  <si>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</si>
  <si>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</si>
  <si>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</si>
  <si>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</si>
  <si>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</si>
  <si>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</si>
  <si>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</si>
  <si>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</si>
  <si>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</si>
  <si>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</si>
  <si>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</si>
  <si>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</si>
  <si>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</si>
  <si>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</si>
  <si>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</si>
  <si>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</si>
  <si>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</si>
  <si>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</si>
  <si>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</si>
  <si>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</si>
  <si>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</si>
  <si>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</si>
  <si>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</si>
  <si>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</si>
  <si>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</si>
  <si>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</si>
  <si>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</si>
  <si>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</si>
  <si>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</si>
  <si>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</si>
  <si>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</si>
  <si>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</si>
  <si>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</si>
  <si>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</si>
  <si>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</si>
  <si>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</si>
  <si>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</si>
  <si>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</si>
  <si>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</si>
  <si>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</si>
  <si>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</si>
  <si>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</si>
  <si>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</si>
  <si>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</si>
  <si>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</si>
  <si>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</si>
  <si>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</si>
  <si>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</si>
  <si>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</si>
  <si>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</si>
  <si>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</si>
  <si>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</si>
  <si>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</si>
  <si>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</si>
  <si>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</si>
  <si>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</si>
  <si>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</si>
  <si>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</si>
  <si>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</si>
  <si>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</si>
  <si>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</si>
  <si>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</si>
  <si>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</si>
  <si>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</si>
  <si>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</si>
  <si>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</si>
  <si>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</si>
  <si>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</si>
  <si>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</si>
  <si>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</si>
  <si>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</si>
  <si>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</si>
  <si>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</si>
  <si>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</si>
  <si>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</si>
  <si>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</si>
  <si>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</si>
  <si>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</si>
  <si>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</si>
  <si>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</si>
  <si>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</si>
  <si>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</si>
  <si>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</si>
  <si>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</si>
  <si>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</si>
  <si>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</si>
  <si>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</si>
  <si>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</si>
  <si>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</si>
  <si>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</si>
  <si>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</si>
  <si>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</si>
  <si>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</si>
  <si>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</si>
  <si>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</si>
  <si>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</si>
  <si>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</si>
  <si>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</si>
  <si>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</si>
  <si>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</si>
  <si>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</si>
  <si>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</si>
  <si>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</si>
  <si>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</si>
  <si>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</si>
  <si>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</si>
  <si>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</si>
  <si>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</si>
  <si>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</si>
  <si>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</si>
  <si>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</si>
  <si>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</si>
  <si>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</si>
  <si>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</si>
  <si>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</si>
  <si>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</si>
  <si>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</si>
  <si>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</si>
  <si>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</si>
  <si>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</si>
  <si>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</si>
  <si>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</si>
  <si>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</si>
  <si>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</si>
  <si>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</si>
  <si>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</si>
  <si>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</si>
  <si>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</si>
  <si>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</si>
  <si>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</si>
  <si>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</si>
  <si>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</si>
  <si>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</si>
  <si>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</si>
  <si>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</si>
  <si>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</si>
  <si>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</si>
  <si>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</si>
  <si>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</si>
  <si>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</si>
  <si>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</si>
  <si>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</si>
  <si>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</si>
  <si>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</si>
  <si>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</si>
  <si>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</si>
  <si>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</si>
  <si>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</si>
  <si>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</si>
  <si>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</si>
  <si>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</si>
  <si>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</si>
  <si>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</si>
  <si>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</si>
  <si>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</si>
  <si>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</si>
  <si>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</si>
  <si>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</si>
  <si>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</si>
  <si>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</si>
  <si>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</si>
  <si>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</si>
  <si>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</si>
  <si>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</si>
  <si>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</si>
  <si>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</si>
  <si>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</si>
  <si>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</si>
  <si>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</si>
  <si>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</si>
  <si>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</si>
  <si>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</si>
  <si>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</si>
  <si>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</si>
  <si>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</si>
  <si>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</si>
  <si>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</si>
  <si>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</si>
  <si>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</si>
  <si>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</si>
  <si>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</si>
  <si>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</si>
  <si>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</si>
  <si>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</si>
  <si>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</si>
  <si>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</si>
  <si>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</si>
  <si>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</si>
  <si>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</si>
  <si>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</si>
  <si>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</si>
  <si>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</si>
  <si>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</si>
  <si>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</si>
  <si>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</si>
  <si>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</si>
  <si>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</si>
  <si>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</si>
  <si>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</si>
  <si>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</si>
  <si>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</si>
  <si>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</si>
  <si>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</si>
  <si>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</si>
  <si>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</si>
  <si>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</si>
  <si>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</si>
  <si>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</si>
  <si>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</si>
  <si>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</si>
  <si>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</si>
  <si>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</si>
  <si>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</si>
  <si>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</si>
  <si>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</si>
  <si>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</si>
  <si>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</si>
  <si>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</si>
  <si>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</si>
  <si>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</si>
  <si>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</si>
  <si>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</si>
  <si>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</si>
  <si>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</si>
  <si>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</si>
  <si>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</si>
  <si>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</si>
  <si>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</si>
  <si>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</si>
  <si>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</si>
  <si>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</si>
  <si>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</si>
  <si>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</si>
  <si>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</si>
  <si>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</si>
  <si>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</si>
  <si>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</si>
  <si>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</si>
  <si>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</si>
  <si>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</si>
  <si>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</si>
  <si>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</si>
  <si>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</si>
  <si>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</si>
  <si>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</si>
  <si>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</si>
  <si>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</si>
  <si>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</si>
  <si>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</si>
  <si>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</si>
  <si>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</si>
  <si>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</si>
  <si>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</si>
  <si>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</si>
  <si>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</si>
  <si>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</si>
  <si>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</si>
  <si>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</si>
  <si>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</si>
  <si>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</si>
  <si>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</si>
  <si>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</si>
  <si>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</si>
  <si>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</si>
  <si>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</si>
  <si>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</si>
  <si>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</si>
  <si>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</si>
  <si>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</si>
  <si>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</si>
  <si>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</si>
  <si>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</si>
  <si>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</si>
  <si>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</si>
  <si>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</si>
  <si>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</si>
  <si>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</si>
  <si>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</si>
  <si>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</si>
  <si>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</si>
  <si>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</si>
  <si>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</si>
  <si>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</si>
  <si>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</si>
  <si>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</si>
  <si>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</si>
  <si>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</si>
  <si>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</si>
  <si>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</si>
  <si>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</si>
  <si>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</si>
  <si>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</si>
  <si>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</si>
  <si>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</si>
  <si>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</si>
  <si>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</si>
  <si>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</si>
  <si>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</si>
  <si>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</si>
  <si>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</si>
  <si>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</si>
  <si>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</si>
  <si>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</si>
  <si>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</si>
  <si>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</si>
  <si>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</si>
  <si>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</si>
  <si>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</si>
  <si>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</si>
  <si>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</si>
  <si>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</si>
  <si>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</si>
  <si>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</si>
  <si>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</si>
  <si>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</si>
  <si>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</si>
  <si>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</si>
  <si>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</si>
  <si>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</si>
  <si>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</si>
  <si>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</si>
  <si>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</si>
  <si>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</si>
  <si>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</si>
  <si>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</si>
  <si>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</si>
  <si>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</si>
  <si>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</si>
  <si>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</si>
  <si>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</si>
  <si>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</si>
  <si>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</si>
  <si>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</si>
  <si>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</si>
  <si>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</si>
  <si>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</si>
  <si>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</si>
  <si>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</si>
  <si>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</si>
  <si>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</si>
  <si>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</si>
  <si>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</si>
  <si>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</si>
  <si>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</si>
  <si>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</si>
  <si>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</si>
  <si>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</si>
  <si>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</si>
  <si>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</si>
  <si>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</si>
  <si>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</si>
  <si>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</si>
  <si>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</si>
  <si>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</si>
  <si>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</si>
  <si>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</si>
  <si>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</si>
  <si>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</si>
  <si>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</si>
  <si>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</si>
  <si>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</si>
  <si>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</si>
  <si>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</si>
  <si>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</si>
  <si>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</si>
  <si>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</si>
  <si>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</si>
  <si>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</si>
  <si>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</si>
  <si>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</si>
  <si>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</si>
  <si>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</si>
  <si>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</si>
  <si>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</si>
  <si>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</si>
  <si>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</si>
  <si>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</si>
  <si>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</si>
  <si>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</si>
  <si>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</si>
  <si>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</si>
  <si>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</si>
  <si>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</si>
  <si>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</si>
  <si>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</si>
  <si>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</si>
  <si>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</si>
  <si>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</si>
  <si>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</si>
  <si>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</si>
  <si>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</si>
  <si>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</si>
  <si>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</si>
  <si>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</si>
  <si>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</si>
  <si>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</si>
  <si>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</si>
  <si>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</si>
  <si>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</si>
  <si>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</si>
  <si>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</si>
  <si>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</si>
  <si>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</si>
  <si>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</si>
  <si>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</si>
  <si>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</si>
  <si>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</si>
  <si>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</si>
  <si>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</si>
  <si>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</si>
  <si>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</si>
  <si>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</si>
  <si>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</si>
  <si>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</si>
  <si>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</si>
  <si>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</si>
  <si>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</si>
  <si>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</si>
  <si>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</si>
  <si>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</si>
  <si>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</si>
  <si>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</si>
  <si>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</si>
  <si>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</si>
  <si>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</si>
  <si>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</si>
  <si>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</si>
  <si>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</si>
  <si>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</si>
  <si>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</si>
  <si>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</si>
  <si>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</si>
  <si>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</si>
  <si>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</si>
  <si>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</si>
  <si>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</si>
  <si>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</si>
  <si>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</si>
  <si>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</si>
  <si>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</si>
  <si>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</si>
  <si>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</si>
  <si>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</si>
  <si>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</si>
  <si>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</si>
  <si>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</si>
  <si>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</si>
  <si>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</si>
  <si>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</si>
  <si>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</si>
  <si>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</si>
  <si>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</si>
  <si>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</si>
  <si>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</si>
  <si>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</si>
  <si>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</si>
  <si>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</si>
  <si>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</si>
  <si>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</si>
  <si>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</si>
  <si>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</si>
  <si>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</si>
  <si>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</si>
  <si>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</si>
  <si>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</si>
  <si>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</si>
  <si>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</si>
  <si>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</si>
  <si>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</si>
  <si>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</si>
  <si>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</si>
  <si>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</si>
  <si>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</si>
  <si>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</si>
  <si>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</si>
  <si>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</si>
  <si>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</si>
  <si>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</si>
  <si>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</si>
  <si>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</si>
  <si>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</si>
  <si>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</si>
  <si>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</si>
  <si>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</si>
  <si>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</si>
  <si>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</si>
  <si>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</si>
  <si>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</si>
  <si>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</si>
  <si>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</si>
  <si>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</si>
  <si>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</si>
  <si>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</si>
  <si>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</si>
  <si>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</si>
  <si>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</si>
  <si>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</si>
  <si>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</si>
  <si>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</si>
  <si>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</si>
  <si>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</si>
  <si>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</si>
  <si>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</si>
  <si>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</si>
  <si>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</si>
  <si>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</si>
  <si>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</si>
  <si>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</si>
  <si>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</si>
  <si>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</si>
  <si>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</si>
  <si>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</si>
  <si>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</si>
  <si>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</si>
  <si>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</si>
  <si>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</si>
  <si>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</si>
  <si>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</si>
  <si>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</si>
  <si>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</si>
  <si>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</si>
  <si>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</si>
  <si>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</si>
  <si>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</si>
  <si>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</si>
  <si>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</si>
  <si>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</si>
  <si>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</si>
  <si>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</si>
  <si>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</si>
  <si>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</si>
  <si>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</si>
  <si>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</si>
  <si>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</si>
  <si>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</si>
  <si>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</si>
  <si>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</si>
  <si>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</si>
  <si>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</si>
  <si>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</si>
  <si>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</si>
  <si>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</si>
  <si>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</si>
  <si>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</si>
  <si>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</si>
  <si>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</si>
  <si>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</si>
  <si>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</si>
  <si>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</si>
  <si>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</si>
  <si>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</si>
  <si>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</si>
  <si>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</si>
  <si>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</si>
  <si>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</si>
  <si>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</si>
  <si>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</si>
  <si>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</si>
  <si>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</si>
  <si>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</si>
  <si>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</si>
  <si>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</si>
  <si>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</si>
  <si>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</si>
  <si>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</si>
  <si>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</si>
  <si>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</si>
  <si>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</si>
  <si>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</si>
  <si>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</si>
  <si>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</si>
  <si>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</si>
  <si>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</si>
  <si>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</si>
  <si>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</si>
  <si>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</si>
  <si>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</si>
  <si>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</si>
  <si>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</si>
  <si>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</si>
  <si>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</si>
  <si>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</si>
  <si>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</si>
  <si>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</si>
  <si>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</si>
  <si>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</si>
  <si>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</si>
  <si>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</si>
  <si>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</si>
  <si>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</si>
  <si>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</si>
  <si>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</si>
  <si>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</si>
  <si>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</si>
  <si>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</si>
  <si>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</si>
  <si>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</si>
  <si>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</si>
  <si>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</si>
  <si>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</si>
  <si>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</si>
  <si>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</si>
  <si>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</si>
  <si>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</si>
  <si>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</si>
  <si>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</si>
  <si>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</si>
  <si>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</si>
  <si>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</si>
  <si>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</si>
  <si>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</si>
  <si>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</si>
  <si>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</si>
  <si>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</si>
  <si>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</si>
  <si>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</si>
  <si>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</si>
  <si>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</si>
  <si>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</si>
  <si>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</si>
  <si>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</si>
  <si>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</si>
  <si>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</si>
  <si>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</si>
  <si>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</si>
  <si>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</si>
  <si>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</si>
  <si>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</si>
  <si>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</si>
  <si>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</si>
  <si>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</si>
  <si>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</si>
  <si>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</si>
  <si>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</si>
  <si>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</si>
  <si>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</si>
  <si>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</si>
  <si>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</si>
  <si>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</si>
  <si>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</si>
  <si>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</si>
  <si>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</si>
  <si>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</si>
  <si>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</si>
  <si>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</si>
  <si>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</si>
  <si>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</si>
  <si>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</si>
  <si>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</si>
  <si>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</si>
  <si>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</si>
  <si>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</si>
  <si>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</si>
  <si>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</si>
  <si>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</si>
  <si>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</si>
  <si>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</si>
  <si>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</si>
  <si>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</si>
  <si>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</si>
  <si>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</si>
  <si>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</si>
  <si>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</si>
  <si>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</si>
  <si>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</si>
  <si>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</si>
  <si>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</si>
  <si>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</si>
  <si>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</si>
  <si>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</si>
  <si>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</si>
  <si>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</si>
  <si>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</si>
  <si>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</si>
  <si>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</si>
  <si>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</si>
  <si>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</si>
  <si>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</si>
  <si>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</si>
  <si>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</si>
  <si>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</si>
  <si>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</si>
  <si>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</si>
  <si>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</si>
  <si>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</si>
  <si>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</si>
  <si>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</si>
  <si>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</si>
  <si>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</si>
  <si>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</si>
  <si>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</si>
  <si>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</si>
  <si>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</si>
  <si>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</si>
  <si>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</si>
  <si>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</si>
  <si>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</si>
  <si>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</si>
  <si>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</si>
  <si>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</si>
  <si>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</si>
  <si>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</si>
  <si>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</si>
  <si>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</si>
  <si>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</si>
  <si>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</si>
  <si>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</si>
  <si>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</si>
  <si>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</si>
  <si>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</si>
  <si>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</si>
  <si>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</si>
  <si>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</si>
  <si>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</si>
  <si>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</si>
  <si>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</si>
  <si>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</si>
  <si>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</si>
  <si>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</si>
  <si>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</si>
  <si>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</si>
  <si>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</si>
  <si>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</si>
  <si>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</si>
  <si>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</si>
  <si>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</si>
  <si>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</si>
  <si>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</si>
  <si>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</si>
  <si>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</si>
  <si>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</si>
  <si>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</si>
  <si>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</si>
  <si>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</si>
  <si>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</si>
  <si>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</si>
  <si>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</si>
  <si>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</si>
  <si>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</si>
  <si>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</si>
  <si>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</si>
  <si>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</si>
  <si>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</si>
  <si>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</si>
  <si>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</si>
  <si>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</si>
  <si>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</si>
  <si>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</si>
  <si>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</si>
  <si>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</si>
  <si>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</si>
  <si>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</si>
  <si>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</si>
  <si>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</si>
  <si>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</si>
  <si>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</si>
  <si>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</si>
  <si>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</si>
  <si>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</si>
  <si>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</si>
  <si>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</si>
  <si>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</si>
  <si>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</si>
  <si>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</si>
  <si>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</si>
  <si>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</si>
  <si>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</si>
  <si>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</si>
  <si>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</si>
  <si>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</si>
  <si>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</si>
  <si>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</si>
  <si>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</si>
  <si>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</si>
  <si>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</si>
  <si>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</si>
  <si>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</si>
  <si>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</si>
  <si>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</si>
  <si>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</si>
  <si>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</si>
  <si>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</si>
  <si>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</si>
  <si>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</si>
  <si>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</si>
  <si>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</si>
  <si>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</si>
  <si>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</si>
  <si>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</si>
  <si>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</si>
  <si>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</si>
  <si>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</si>
  <si>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</si>
  <si>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</si>
  <si>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</si>
  <si>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</si>
  <si>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</si>
  <si>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</si>
  <si>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</si>
  <si>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</si>
  <si>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</si>
  <si>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</si>
  <si>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</si>
  <si>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</si>
  <si>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</si>
  <si>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</si>
  <si>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</si>
  <si>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</si>
  <si>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</si>
  <si>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</si>
  <si>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</si>
  <si>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</si>
  <si>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</si>
  <si>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</si>
  <si>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</si>
  <si>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</si>
  <si>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</si>
  <si>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</si>
  <si>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</si>
  <si>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</si>
  <si>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</si>
  <si>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</si>
  <si>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</si>
  <si>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</si>
  <si>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</si>
  <si>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</si>
  <si>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</si>
  <si>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</si>
  <si>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</si>
  <si>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</si>
  <si>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</si>
  <si>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</si>
  <si>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</si>
  <si>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</si>
  <si>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</si>
  <si>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</si>
  <si>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</si>
  <si>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</si>
  <si>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</si>
  <si>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</si>
  <si>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</si>
  <si>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</si>
  <si>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</si>
  <si>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</si>
  <si>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</si>
  <si>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</si>
  <si>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</si>
  <si>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</si>
  <si>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</si>
  <si>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</si>
  <si>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</si>
  <si>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</si>
  <si>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</si>
  <si>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</si>
  <si>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</si>
  <si>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</si>
  <si>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</si>
  <si>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</si>
  <si>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</si>
  <si>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</si>
  <si>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</si>
  <si>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</si>
  <si>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</si>
  <si>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</si>
  <si>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</si>
  <si>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</si>
  <si>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</si>
  <si>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</si>
  <si>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</si>
  <si>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</si>
  <si>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</si>
  <si>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</si>
  <si>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</si>
  <si>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</si>
  <si>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</si>
  <si>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</si>
  <si>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</si>
  <si>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</si>
  <si>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</si>
  <si>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</si>
  <si>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</si>
  <si>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</si>
  <si>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</si>
  <si>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</si>
  <si>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</si>
  <si>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</si>
  <si>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</si>
  <si>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</si>
  <si>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</si>
  <si>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</si>
  <si>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</si>
  <si>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</si>
  <si>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</si>
  <si>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</si>
  <si>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</si>
  <si>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</si>
  <si>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</si>
  <si>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</si>
  <si>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</si>
  <si>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</si>
  <si>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</si>
  <si>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</si>
  <si>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</si>
  <si>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</si>
  <si>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</si>
  <si>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</si>
  <si>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</si>
  <si>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</si>
  <si>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</si>
  <si>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</si>
  <si>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</si>
  <si>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</si>
  <si>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</si>
  <si>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</si>
  <si>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</si>
  <si>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</si>
  <si>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</si>
  <si>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</si>
  <si>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</si>
  <si>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</si>
  <si>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</si>
  <si>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</si>
  <si>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</si>
  <si>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</si>
  <si>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</si>
  <si>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</si>
  <si>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</si>
  <si>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</si>
  <si>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</si>
  <si>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</si>
  <si>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</si>
  <si>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</si>
  <si>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</si>
  <si>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</si>
  <si>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</si>
  <si>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</si>
  <si>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</si>
  <si>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</si>
  <si>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</si>
  <si>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</si>
  <si>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</si>
  <si>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</si>
  <si>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</si>
  <si>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</si>
  <si>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</si>
  <si>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</si>
  <si>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</si>
  <si>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</si>
  <si>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</si>
  <si>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</si>
  <si>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</si>
  <si>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</si>
  <si>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</si>
  <si>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</si>
  <si>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</si>
  <si>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</si>
  <si>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</si>
  <si>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</si>
  <si>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</si>
  <si>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</si>
  <si>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</si>
  <si>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</si>
  <si>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</si>
  <si>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</si>
  <si>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</si>
  <si>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</si>
  <si>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</si>
  <si>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</si>
  <si>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</si>
  <si>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</si>
  <si>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</si>
  <si>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</si>
  <si>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</si>
  <si>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</si>
  <si>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</si>
  <si>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</si>
  <si>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</si>
  <si>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</si>
  <si>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</si>
  <si>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</si>
  <si>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</si>
  <si>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</si>
  <si>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</si>
  <si>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</si>
  <si>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</si>
  <si>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</si>
  <si>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</si>
  <si>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</si>
  <si>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</si>
  <si>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</si>
  <si>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</si>
  <si>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</si>
  <si>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</si>
  <si>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</si>
  <si>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</si>
  <si>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</si>
  <si>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</si>
  <si>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</si>
  <si>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</si>
  <si>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</si>
  <si>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</si>
  <si>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</si>
  <si>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</si>
  <si>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</si>
  <si>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</si>
  <si>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</si>
  <si>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</si>
  <si>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</si>
  <si>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</si>
  <si>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</si>
  <si>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</si>
  <si>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</si>
  <si>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</si>
  <si>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</si>
  <si>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</si>
  <si>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</si>
  <si>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</si>
  <si>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</si>
  <si>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</si>
  <si>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</si>
  <si>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</si>
  <si>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</si>
  <si>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</si>
  <si>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</si>
  <si>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</si>
  <si>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</si>
  <si>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</si>
  <si>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</si>
  <si>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</si>
  <si>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</si>
  <si>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</si>
  <si>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</si>
  <si>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</si>
  <si>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</si>
  <si>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</si>
  <si>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</si>
  <si>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</si>
  <si>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</si>
  <si>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</si>
  <si>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</si>
  <si>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</si>
  <si>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</si>
  <si>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</si>
  <si>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</si>
  <si>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</si>
  <si>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</si>
  <si>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</si>
  <si>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</si>
  <si>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</si>
  <si>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</si>
  <si>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</si>
  <si>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</si>
  <si>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</si>
  <si>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</si>
  <si>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</si>
  <si>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</si>
  <si>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</si>
  <si>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</si>
  <si>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</si>
  <si>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</si>
  <si>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</si>
  <si>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</si>
  <si>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</si>
  <si>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</si>
  <si>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</si>
  <si>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</si>
  <si>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</si>
  <si>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</si>
  <si>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</si>
  <si>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</si>
  <si>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</si>
  <si>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</si>
  <si>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</si>
  <si>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</si>
  <si>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</si>
  <si>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</si>
  <si>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</si>
  <si>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</si>
  <si>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</si>
  <si>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</si>
  <si>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</si>
  <si>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</si>
  <si>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</si>
  <si>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</si>
  <si>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</si>
  <si>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</si>
  <si>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</si>
  <si>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</si>
  <si>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</si>
  <si>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</si>
  <si>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</si>
  <si>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</si>
  <si>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</si>
  <si>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</si>
  <si>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</si>
  <si>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</si>
  <si>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</si>
  <si>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</si>
  <si>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</si>
  <si>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</si>
  <si>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</si>
  <si>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</si>
  <si>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</si>
  <si>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</si>
  <si>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</si>
  <si>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</si>
  <si>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</si>
  <si>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</si>
  <si>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</si>
  <si>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</si>
  <si>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</si>
  <si>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</si>
  <si>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</si>
  <si>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</si>
  <si>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</si>
  <si>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</si>
  <si>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</si>
  <si>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</si>
  <si>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</si>
  <si>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</si>
  <si>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</si>
  <si>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</si>
  <si>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</si>
  <si>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</si>
  <si>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</si>
  <si>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</si>
  <si>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</si>
  <si>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</si>
  <si>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</si>
  <si>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</si>
  <si>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</si>
  <si>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</si>
  <si>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</si>
  <si>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</si>
  <si>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</si>
  <si>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</si>
  <si>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</si>
  <si>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</si>
  <si>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</si>
  <si>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</si>
  <si>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</si>
  <si>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</si>
  <si>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</si>
  <si>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</si>
  <si>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</si>
  <si>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</si>
  <si>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</si>
  <si>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</si>
  <si>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</si>
  <si>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</si>
  <si>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</si>
  <si>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</si>
  <si>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</si>
  <si>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</si>
  <si>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</si>
  <si>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</si>
  <si>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</si>
  <si>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</si>
  <si>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</si>
  <si>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</si>
  <si>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</si>
  <si>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</si>
  <si>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</si>
  <si>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</si>
  <si>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</si>
  <si>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</si>
  <si>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</si>
  <si>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</si>
  <si>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</si>
  <si>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</si>
  <si>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</si>
  <si>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</si>
  <si>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</si>
  <si>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</si>
  <si>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</si>
  <si>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</si>
  <si>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</si>
  <si>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</si>
  <si>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</si>
  <si>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</si>
  <si>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</si>
  <si>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</si>
  <si>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</si>
  <si>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</si>
  <si>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</si>
  <si>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</si>
  <si>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</si>
  <si>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</si>
  <si>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</si>
  <si>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</si>
  <si>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</si>
  <si>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</si>
  <si>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</si>
  <si>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</si>
  <si>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</si>
  <si>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</si>
  <si>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</si>
  <si>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</si>
  <si>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</si>
  <si>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</si>
  <si>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</si>
  <si>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</si>
  <si>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</si>
  <si>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</si>
  <si>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</si>
  <si>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</si>
  <si>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</si>
  <si>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</si>
  <si>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</si>
  <si>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</si>
  <si>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</si>
  <si>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</si>
  <si>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</si>
  <si>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</si>
  <si>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</si>
  <si>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</si>
  <si>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</si>
  <si>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</si>
  <si>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</si>
  <si>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</si>
  <si>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</si>
  <si>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</si>
  <si>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</si>
  <si>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</si>
  <si>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</si>
  <si>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</si>
  <si>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</si>
  <si>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</si>
  <si>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</si>
  <si>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</si>
  <si>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</si>
  <si>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</si>
  <si>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</si>
  <si>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</si>
  <si>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</si>
  <si>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</si>
  <si>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</si>
  <si>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</si>
  <si>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</si>
  <si>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</si>
  <si>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</si>
  <si>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</si>
  <si>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</si>
  <si>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</si>
  <si>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</si>
  <si>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</si>
  <si>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</si>
  <si>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</si>
  <si>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</si>
  <si>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</si>
  <si>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</si>
  <si>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</si>
  <si>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</si>
  <si>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</si>
  <si>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</si>
  <si>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</si>
  <si>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</si>
  <si>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</si>
  <si>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</si>
  <si>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</si>
  <si>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</si>
  <si>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</si>
  <si>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</si>
  <si>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</si>
  <si>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</si>
  <si>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</si>
  <si>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</si>
  <si>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</si>
  <si>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</si>
  <si>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</si>
  <si>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</si>
  <si>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</si>
  <si>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</si>
  <si>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</si>
  <si>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</si>
  <si>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</si>
  <si>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</si>
  <si>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</si>
  <si>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</si>
  <si>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</si>
  <si>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</si>
  <si>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</si>
  <si>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</si>
  <si>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</si>
  <si>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</si>
  <si>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</si>
  <si>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</si>
  <si>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</si>
  <si>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</si>
  <si>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</si>
  <si>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</si>
  <si>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</si>
  <si>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</si>
  <si>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</si>
  <si>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</si>
  <si>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</si>
  <si>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</si>
  <si>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</si>
  <si>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</si>
  <si>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</si>
  <si>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</si>
  <si>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</si>
  <si>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</si>
  <si>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</si>
  <si>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</si>
  <si>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</si>
  <si>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</si>
  <si>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</si>
  <si>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</si>
  <si>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</si>
  <si>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</si>
  <si>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</si>
  <si>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</si>
  <si>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</si>
  <si>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</si>
  <si>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</si>
  <si>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</si>
  <si>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</si>
  <si>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</si>
  <si>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</si>
  <si>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</si>
  <si>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</si>
  <si>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</si>
  <si>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</si>
  <si>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</si>
  <si>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</si>
  <si>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</si>
  <si>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</si>
  <si>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</si>
  <si>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</si>
  <si>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</si>
  <si>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</si>
  <si>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</si>
  <si>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</si>
  <si>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</si>
  <si>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</si>
  <si>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</si>
  <si>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</si>
  <si>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</si>
  <si>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</si>
  <si>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</si>
  <si>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</si>
  <si>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</si>
  <si>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</si>
  <si>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</si>
  <si>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</si>
  <si>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</si>
  <si>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</si>
  <si>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</si>
  <si>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</si>
  <si>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</si>
  <si>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</si>
  <si>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</si>
  <si>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</si>
  <si>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</si>
  <si>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</si>
  <si>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</si>
  <si>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</si>
  <si>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</si>
  <si>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</si>
  <si>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</si>
  <si>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</si>
  <si>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</si>
  <si>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</si>
  <si>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</si>
  <si>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</si>
  <si>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</si>
  <si>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</si>
  <si>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</si>
  <si>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</si>
  <si>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</si>
  <si>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</si>
  <si>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</si>
  <si>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</si>
  <si>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</si>
  <si>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</si>
  <si>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</si>
  <si>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</si>
  <si>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</si>
  <si>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</si>
  <si>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</si>
  <si>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</si>
  <si>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</si>
  <si>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</si>
  <si>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</si>
  <si>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</si>
  <si>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</si>
  <si>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</si>
  <si>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</si>
  <si>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</si>
  <si>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</si>
  <si>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</si>
  <si>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</si>
  <si>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</si>
  <si>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</si>
  <si>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</si>
  <si>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</si>
  <si>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</si>
  <si>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</si>
  <si>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</si>
  <si>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</si>
  <si>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</si>
  <si>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</si>
  <si>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</si>
  <si>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</si>
  <si>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</si>
  <si>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</si>
  <si>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</si>
  <si>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</si>
  <si>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</si>
  <si>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</si>
  <si>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</si>
  <si>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</si>
  <si>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</si>
  <si>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</si>
  <si>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</si>
  <si>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</si>
  <si>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</si>
  <si>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</si>
  <si>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</si>
  <si>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</si>
  <si>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</si>
  <si>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</si>
  <si>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</si>
  <si>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</si>
  <si>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</si>
  <si>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</si>
  <si>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</si>
  <si>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</si>
  <si>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</si>
  <si>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</si>
  <si>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</si>
  <si>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</si>
  <si>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</si>
  <si>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</si>
  <si>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</si>
  <si>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</si>
  <si>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</si>
  <si>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</si>
  <si>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</si>
  <si>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</si>
  <si>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</si>
  <si>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</si>
  <si>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</si>
  <si>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</si>
  <si>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</si>
  <si>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</si>
  <si>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</si>
  <si>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</si>
  <si>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</si>
  <si>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</si>
  <si>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</si>
  <si>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</si>
  <si>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</si>
  <si>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</si>
  <si>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</si>
  <si>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</si>
  <si>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</si>
  <si>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</si>
  <si>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</si>
  <si>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</si>
  <si>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</si>
  <si>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</si>
  <si>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</si>
  <si>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</si>
  <si>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</si>
  <si>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</si>
  <si>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</si>
  <si>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</si>
  <si>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</si>
  <si>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</si>
  <si>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</si>
  <si>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</si>
  <si>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</si>
  <si>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</si>
  <si>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</si>
  <si>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</si>
  <si>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</si>
  <si>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</si>
  <si>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</si>
  <si>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</si>
  <si>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</si>
  <si>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</si>
  <si>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</si>
  <si>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</si>
  <si>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</si>
  <si>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</si>
  <si>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</si>
  <si>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</si>
  <si>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</si>
  <si>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</si>
  <si>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</si>
  <si>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</si>
  <si>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</si>
  <si>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</si>
  <si>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</si>
  <si>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</si>
  <si>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</si>
  <si>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</si>
  <si>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</si>
  <si>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</si>
  <si>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</si>
  <si>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</si>
  <si>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</si>
  <si>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</si>
  <si>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</si>
  <si>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</si>
  <si>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</si>
  <si>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</si>
  <si>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</si>
  <si>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</si>
  <si>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</si>
  <si>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</si>
  <si>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</si>
  <si>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</si>
  <si>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</si>
  <si>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</si>
  <si>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</si>
  <si>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</si>
  <si>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</si>
  <si>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</si>
  <si>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</si>
  <si>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</si>
  <si>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</si>
  <si>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</si>
  <si>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</si>
  <si>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</si>
  <si>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</si>
  <si>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</si>
  <si>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</si>
  <si>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</si>
  <si>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</si>
  <si>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</si>
  <si>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</si>
  <si>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</si>
  <si>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</si>
  <si>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</si>
  <si>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</si>
  <si>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</si>
  <si>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</si>
  <si>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</si>
  <si>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</si>
  <si>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</si>
  <si>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</si>
  <si>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</si>
  <si>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</si>
  <si>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</si>
  <si>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</si>
  <si>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</si>
  <si>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</si>
  <si>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</si>
  <si>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</si>
  <si>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</si>
  <si>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</si>
  <si>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</si>
  <si>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</si>
  <si>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</si>
  <si>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</si>
  <si>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</si>
  <si>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</si>
  <si>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</si>
  <si>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</si>
  <si>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</si>
  <si>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</si>
  <si>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</si>
  <si>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</si>
  <si>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</si>
  <si>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</si>
  <si>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</si>
  <si>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</si>
  <si>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</si>
  <si>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</si>
  <si>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</si>
  <si>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</si>
  <si>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</si>
  <si>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</si>
  <si>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</si>
  <si>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</si>
  <si>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</si>
  <si>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</si>
  <si>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</si>
  <si>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</si>
  <si>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</si>
  <si>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</si>
  <si>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</si>
  <si>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</si>
  <si>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</si>
  <si>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</si>
  <si>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</si>
  <si>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</si>
  <si>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</si>
  <si>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</si>
  <si>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</si>
  <si>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</si>
  <si>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</si>
  <si>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</si>
  <si>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</si>
  <si>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</si>
  <si>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</si>
  <si>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</si>
  <si>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</si>
  <si>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</si>
  <si>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</si>
  <si>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</si>
  <si>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</si>
  <si>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</si>
  <si>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</si>
  <si>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</si>
  <si>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</si>
  <si>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</si>
  <si>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</si>
  <si>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</si>
  <si>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</si>
  <si>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</si>
  <si>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</si>
  <si>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</si>
  <si>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</si>
  <si>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</si>
  <si>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</si>
  <si>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</si>
  <si>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</si>
  <si>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</si>
  <si>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</si>
  <si>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</si>
  <si>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</si>
  <si>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</si>
  <si>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</si>
  <si>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</si>
  <si>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</si>
  <si>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</si>
  <si>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</si>
  <si>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</si>
  <si>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</si>
  <si>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</si>
  <si>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</si>
  <si>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</si>
  <si>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</si>
  <si>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</si>
  <si>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</si>
  <si>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</si>
  <si>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</si>
  <si>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</si>
  <si>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</si>
  <si>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</si>
  <si>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</si>
  <si>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</si>
  <si>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</si>
  <si>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</si>
  <si>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</si>
  <si>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</si>
  <si>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</si>
  <si>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</si>
  <si>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</si>
  <si>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</si>
  <si>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</si>
  <si>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</si>
  <si>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</si>
  <si>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</si>
  <si>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</si>
  <si>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</si>
  <si>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</si>
  <si>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</si>
  <si>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</si>
  <si>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</si>
  <si>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</si>
  <si>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</si>
  <si>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</si>
  <si>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</si>
  <si>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</si>
  <si>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</si>
  <si>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</si>
  <si>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</si>
  <si>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</si>
  <si>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</si>
  <si>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</si>
  <si>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</si>
  <si>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</si>
  <si>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</si>
  <si>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</si>
  <si>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</si>
  <si>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</si>
  <si>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</si>
  <si>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</si>
  <si>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</si>
  <si>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</si>
  <si>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</si>
  <si>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</si>
  <si>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</si>
  <si>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</si>
  <si>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</si>
  <si>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</si>
  <si>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</si>
  <si>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</si>
  <si>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</si>
  <si>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</si>
  <si>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</si>
  <si>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</si>
  <si>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</si>
  <si>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</si>
  <si>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</si>
  <si>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</si>
  <si>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</si>
  <si>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</si>
  <si>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</si>
  <si>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</si>
  <si>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</si>
  <si>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</si>
  <si>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</si>
  <si>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</si>
  <si>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</si>
  <si>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</si>
  <si>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</si>
  <si>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</si>
  <si>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</si>
  <si>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</si>
  <si>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</si>
  <si>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</si>
  <si>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</si>
  <si>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</si>
  <si>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</si>
  <si>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</si>
  <si>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</si>
  <si>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</si>
  <si>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</si>
  <si>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</si>
  <si>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</si>
  <si>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</si>
  <si>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</si>
  <si>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</si>
  <si>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</si>
  <si>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</si>
  <si>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</si>
  <si>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</si>
  <si>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</si>
  <si>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</si>
  <si>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</si>
  <si>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</si>
  <si>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</si>
  <si>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</si>
  <si>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</si>
  <si>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</si>
  <si>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</si>
  <si>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</si>
  <si>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</si>
  <si>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</si>
  <si>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</si>
  <si>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</si>
  <si>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</si>
  <si>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</si>
  <si>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</si>
  <si>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</si>
  <si>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</si>
  <si>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</si>
  <si>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</si>
  <si>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</si>
  <si>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</si>
  <si>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</si>
  <si>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</si>
  <si>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</si>
  <si>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</si>
  <si>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</si>
  <si>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</si>
  <si>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</si>
  <si>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</si>
  <si>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</si>
  <si>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</si>
  <si>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</si>
  <si>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</si>
  <si>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</si>
  <si>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</si>
  <si>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</si>
  <si>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</si>
  <si>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</si>
  <si>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</si>
  <si>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</si>
  <si>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</si>
  <si>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</si>
  <si>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</si>
  <si>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</si>
  <si>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</si>
  <si>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</si>
  <si>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</si>
  <si>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</si>
  <si>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</si>
  <si>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</si>
  <si>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</si>
  <si>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</si>
  <si>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</si>
  <si>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</si>
  <si>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</si>
  <si>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</si>
  <si>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</si>
  <si>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</si>
  <si>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</si>
  <si>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</si>
  <si>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</si>
  <si>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</si>
  <si>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</si>
  <si>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</si>
  <si>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</si>
  <si>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</si>
  <si>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</si>
  <si>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</si>
  <si>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</si>
  <si>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</si>
  <si>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</si>
  <si>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</si>
  <si>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</si>
  <si>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</si>
  <si>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</si>
  <si>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</si>
  <si>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</si>
  <si>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</si>
  <si>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</si>
  <si>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</si>
  <si>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</si>
  <si>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</si>
  <si>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</si>
  <si>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</si>
  <si>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</si>
  <si>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</si>
  <si>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</si>
  <si>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</si>
  <si>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</si>
  <si>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</si>
  <si>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</si>
  <si>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</si>
  <si>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</si>
  <si>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</si>
  <si>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</si>
  <si>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</si>
  <si>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</si>
  <si>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</si>
  <si>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</si>
  <si>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</si>
  <si>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</si>
  <si>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</si>
  <si>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</si>
  <si>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</si>
  <si>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</si>
  <si>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</si>
  <si>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</si>
  <si>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</si>
  <si>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</si>
  <si>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</si>
  <si>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</si>
  <si>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</si>
  <si>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</si>
  <si>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</si>
  <si>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</si>
  <si>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</si>
  <si>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</si>
  <si>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</si>
  <si>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</si>
  <si>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</si>
  <si>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</si>
  <si>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</si>
  <si>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</si>
  <si>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</si>
  <si>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</si>
  <si>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</si>
  <si>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</si>
  <si>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</si>
  <si>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</si>
  <si>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</si>
  <si>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</si>
  <si>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</si>
  <si>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</si>
  <si>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</si>
  <si>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</si>
  <si>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</si>
  <si>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</si>
  <si>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</si>
  <si>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</si>
  <si>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</si>
  <si>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</si>
  <si>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</si>
  <si>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</si>
  <si>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</si>
  <si>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</si>
  <si>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</si>
  <si>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</si>
  <si>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</si>
  <si>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</si>
  <si>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</si>
  <si>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</si>
  <si>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</si>
  <si>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</si>
  <si>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</si>
  <si>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</si>
  <si>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</si>
  <si>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</si>
  <si>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</si>
  <si>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</si>
  <si>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</si>
  <si>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</si>
  <si>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</si>
  <si>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</si>
  <si>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</si>
  <si>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</si>
  <si>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</si>
  <si>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</si>
  <si>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</si>
  <si>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</si>
  <si>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</si>
  <si>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</si>
  <si>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</si>
  <si>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</si>
  <si>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</si>
  <si>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</si>
  <si>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</si>
  <si>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</si>
  <si>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</si>
  <si>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</si>
  <si>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</si>
  <si>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</si>
  <si>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</si>
  <si>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</si>
  <si>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</si>
  <si>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</si>
  <si>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</si>
  <si>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</si>
  <si>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</si>
  <si>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</si>
  <si>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</si>
  <si>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</si>
  <si>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</si>
  <si>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</si>
  <si>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</si>
  <si>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</si>
  <si>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</si>
  <si>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</si>
  <si>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</si>
  <si>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</si>
  <si>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</si>
  <si>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</si>
  <si>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</si>
  <si>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</si>
  <si>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</si>
  <si>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</si>
  <si>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</si>
  <si>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</si>
  <si>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</si>
  <si>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</si>
  <si>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</si>
  <si>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</si>
  <si>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</si>
  <si>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</si>
  <si>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</si>
  <si>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</si>
  <si>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</si>
  <si>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</si>
  <si>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</si>
  <si>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</si>
  <si>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</si>
  <si>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</si>
  <si>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</si>
  <si>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</si>
  <si>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</si>
  <si>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</si>
  <si>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</si>
  <si>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</si>
  <si>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</si>
  <si>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</si>
  <si>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</si>
  <si>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</si>
  <si>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</si>
  <si>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</si>
  <si>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</si>
  <si>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</si>
  <si>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</si>
  <si>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</si>
  <si>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</si>
  <si>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</si>
  <si>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</si>
  <si>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</si>
  <si>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</si>
  <si>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</si>
  <si>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</si>
  <si>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</si>
  <si>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</si>
  <si>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</si>
  <si>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</si>
  <si>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</si>
  <si>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</si>
  <si>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</si>
  <si>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</si>
  <si>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</si>
  <si>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</si>
  <si>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</si>
  <si>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</si>
  <si>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</si>
  <si>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</si>
  <si>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</si>
  <si>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</si>
  <si>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</si>
  <si>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</si>
  <si>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</si>
  <si>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</si>
  <si>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</si>
  <si>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</si>
  <si>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</si>
  <si>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</si>
  <si>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</si>
  <si>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</si>
  <si>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</si>
  <si>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</si>
  <si>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</si>
  <si>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</si>
  <si>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</si>
  <si>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</si>
  <si>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</si>
  <si>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</si>
  <si>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</si>
  <si>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</si>
  <si>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</si>
  <si>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</si>
  <si>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</si>
  <si>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</si>
  <si>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</si>
  <si>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</si>
  <si>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</si>
  <si>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</si>
  <si>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</si>
  <si>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</si>
  <si>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</si>
  <si>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</si>
  <si>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</si>
  <si>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</si>
  <si>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</si>
  <si>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</si>
  <si>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</si>
  <si>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</si>
  <si>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</si>
  <si>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</si>
  <si>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</si>
  <si>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</si>
  <si>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</si>
  <si>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</si>
  <si>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</si>
  <si>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</si>
  <si>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</si>
  <si>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</si>
  <si>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</si>
  <si>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</si>
  <si>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</si>
  <si>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</si>
  <si>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</si>
  <si>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</si>
  <si>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</si>
  <si>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</si>
  <si>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</si>
  <si>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</si>
  <si>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</si>
  <si>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</si>
  <si>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</si>
  <si>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</si>
  <si>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</si>
  <si>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</si>
  <si>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</si>
  <si>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</si>
  <si>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</si>
  <si>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</si>
  <si>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</si>
  <si>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</si>
  <si>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</si>
  <si>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</si>
  <si>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</si>
  <si>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</si>
  <si>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</si>
  <si>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</si>
  <si>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</si>
  <si>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</si>
  <si>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</si>
  <si>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</si>
  <si>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</si>
  <si>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</si>
  <si>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</si>
  <si>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</si>
  <si>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</si>
  <si>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</si>
  <si>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</si>
  <si>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</si>
  <si>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</si>
  <si>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</si>
  <si>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</si>
  <si>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</si>
  <si>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</si>
  <si>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</si>
  <si>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</si>
  <si>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</si>
  <si>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</si>
  <si>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</si>
  <si>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</si>
  <si>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</si>
  <si>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</si>
  <si>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</si>
  <si>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</si>
  <si>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</si>
  <si>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</si>
  <si>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</si>
  <si>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</si>
  <si>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</si>
  <si>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</si>
  <si>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</si>
  <si>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</si>
  <si>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</si>
  <si>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</si>
  <si>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</si>
  <si>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</si>
  <si>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</si>
  <si>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</si>
  <si>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</si>
  <si>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</si>
  <si>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</si>
  <si>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</si>
  <si>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</si>
  <si>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</si>
  <si>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</si>
  <si>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</si>
  <si>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</si>
  <si>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</si>
  <si>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</si>
  <si>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</si>
  <si>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</si>
  <si>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</si>
  <si>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</si>
  <si>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</si>
  <si>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</si>
  <si>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</si>
  <si>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</si>
  <si>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</si>
  <si>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</si>
  <si>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</si>
  <si>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</si>
  <si>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</si>
  <si>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</si>
  <si>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</si>
  <si>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</si>
  <si>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</si>
  <si>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</si>
  <si>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</si>
  <si>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</si>
  <si>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</si>
  <si>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</si>
  <si>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</si>
  <si>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</si>
  <si>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</si>
  <si>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</si>
  <si>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</si>
  <si>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</si>
  <si>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</si>
  <si>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</si>
  <si>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</si>
  <si>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</si>
  <si>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</si>
  <si>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</si>
  <si>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</si>
  <si>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</si>
  <si>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</si>
  <si>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</si>
  <si>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</si>
  <si>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</si>
  <si>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</si>
  <si>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</si>
  <si>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</si>
  <si>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</si>
  <si>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</si>
  <si>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</si>
  <si>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</si>
  <si>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</si>
  <si>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</si>
  <si>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</si>
  <si>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</si>
  <si>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</si>
  <si>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</si>
  <si>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</si>
  <si>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</si>
  <si>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</si>
  <si>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</si>
  <si>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</si>
  <si>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</si>
  <si>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</si>
  <si>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</si>
  <si>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</si>
  <si>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</si>
  <si>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</si>
  <si>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</si>
  <si>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</si>
  <si>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</si>
  <si>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</si>
  <si>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</si>
  <si>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</si>
  <si>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</si>
  <si>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</si>
  <si>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</si>
  <si>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</si>
  <si>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</si>
  <si>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</si>
  <si>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</si>
  <si>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</si>
  <si>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</si>
  <si>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</si>
  <si>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</si>
  <si>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</si>
  <si>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</si>
  <si>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</si>
  <si>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</si>
  <si>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</si>
  <si>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</si>
  <si>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</si>
  <si>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</si>
  <si>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</si>
  <si>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</si>
  <si>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</si>
  <si>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</si>
  <si>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</si>
  <si>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</si>
  <si>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</si>
  <si>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</si>
  <si>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</si>
  <si>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</si>
  <si>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</si>
  <si>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</si>
  <si>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</si>
  <si>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</si>
  <si>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</si>
  <si>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</si>
  <si>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</si>
  <si>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</si>
  <si>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</si>
  <si>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</si>
  <si>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出让</t>
  </si>
  <si>
    <t>核定资产</t>
  </si>
  <si>
    <t>市场价格</t>
  </si>
  <si>
    <t>其他：</t>
  </si>
  <si>
    <t>企业</t>
  </si>
  <si>
    <t>吉林省延吉市</t>
    <phoneticPr fontId="6" type="noConversion"/>
  </si>
  <si>
    <t>爱丹路1709号101</t>
    <phoneticPr fontId="6" type="noConversion"/>
  </si>
  <si>
    <t>商业</t>
  </si>
  <si>
    <t>不一致</t>
  </si>
  <si>
    <t>地上</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</si>
  <si>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</si>
  <si>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</si>
  <si>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</si>
  <si>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</si>
  <si>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</si>
  <si>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</si>
  <si>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</si>
  <si>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</si>
  <si>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</si>
  <si>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</si>
  <si>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</si>
  <si>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</si>
  <si>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</si>
  <si>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</si>
  <si>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</si>
  <si>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</si>
  <si>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池南区东至漫江,西至1号地块,南至红柳大街,北至漫江</t>
  </si>
  <si>
    <t>白山市</t>
  </si>
  <si>
    <t>商业/办公用地</t>
  </si>
  <si>
    <t>小于或等于0.12</t>
  </si>
  <si>
    <t>挂牌</t>
  </si>
  <si>
    <t>其他商服用地</t>
  </si>
  <si>
    <t>2021-07-16</t>
  </si>
  <si>
    <t>0星</t>
  </si>
  <si>
    <t>东起现状河沟,西至河口街道朝阳村;南起北安大街,北至光明街</t>
  </si>
  <si>
    <t>小于或等于3.71</t>
  </si>
  <si>
    <t>2021-07-12</t>
  </si>
  <si>
    <t>白山市浑江区江北街道</t>
  </si>
  <si>
    <t>小于或等于3.55</t>
  </si>
  <si>
    <t>靖宇县汉中街以西与靖白路以北交汇区域A-1地块。</t>
  </si>
  <si>
    <t>小于或等于1</t>
  </si>
  <si>
    <t>2021-07-09</t>
  </si>
  <si>
    <t>东起A-2地块,西至A-2地块;南起地块内规划镇级支路,北至A-2地块</t>
  </si>
  <si>
    <t>大于或等于1并且小于或等于1.5</t>
  </si>
  <si>
    <t>零售商业用地</t>
  </si>
  <si>
    <t>2021-06-28</t>
  </si>
  <si>
    <t>东起A-8地块,西至A-6地块;南起A-10地块,北至地块内规划镇级支路</t>
  </si>
  <si>
    <t>东起地块内规划道路,西至A-3地块;南起地块内规划道路,北至地块内规划镇级支路</t>
  </si>
  <si>
    <t>池西区东至温泉东街,西至民房,南至苔原路,北至空地</t>
  </si>
  <si>
    <t>大于1并且小于或等于1.07</t>
  </si>
  <si>
    <t>2021-06-21</t>
  </si>
  <si>
    <t>抚松县城源房地产开发有限公司</t>
  </si>
  <si>
    <t>池西区东至白溪街,西至民房,南至民房,北至林海路</t>
  </si>
  <si>
    <t>大于1并且小于或等于1.39</t>
  </si>
  <si>
    <t>吉林省大颜房地产开发有限责任公司</t>
  </si>
  <si>
    <t>池西区东至温泉东街,西至空地,南至空地,北至峡谷大路</t>
  </si>
  <si>
    <t>小于或等于0.5</t>
  </si>
  <si>
    <t>长白山保护开发区池西农贸市场有限公司</t>
  </si>
  <si>
    <t>池南区东至空地,西至长白山近代史博物馆,南至老黑河遗址陈列馆,北至302省道</t>
  </si>
  <si>
    <t>小于或等于0.6</t>
  </si>
  <si>
    <t>2021-05-24</t>
  </si>
  <si>
    <r>
      <rPr>
        <sz val="10"/>
        <rFont val="宋体"/>
        <family val="3"/>
        <charset val="134"/>
      </rPr>
      <t>国道</t>
    </r>
    <r>
      <rPr>
        <sz val="11"/>
        <color theme="1"/>
        <rFont val="宋体"/>
        <charset val="134"/>
        <scheme val="minor"/>
      </rPr>
      <t>G504</t>
    </r>
    <r>
      <rPr>
        <sz val="10"/>
        <rFont val="宋体"/>
        <family val="3"/>
        <charset val="134"/>
      </rPr>
      <t>南侧地块</t>
    </r>
    <r>
      <rPr>
        <sz val="11"/>
        <color theme="1"/>
        <rFont val="宋体"/>
        <charset val="134"/>
        <scheme val="minor"/>
      </rPr>
      <t>,</t>
    </r>
    <r>
      <rPr>
        <sz val="10"/>
        <rFont val="宋体"/>
        <family val="3"/>
        <charset val="134"/>
      </rPr>
      <t>地处白山经济开发区。</t>
    </r>
    <phoneticPr fontId="3" type="noConversion"/>
  </si>
  <si>
    <t>小于或等于0.8</t>
  </si>
  <si>
    <t>2021-05-16</t>
  </si>
  <si>
    <t>靖宇县合盛石油天然气有限公司</t>
  </si>
  <si>
    <r>
      <rPr>
        <sz val="10"/>
        <rFont val="宋体"/>
        <family val="3"/>
        <charset val="134"/>
      </rPr>
      <t>靖宇大街西段北侧</t>
    </r>
    <r>
      <rPr>
        <sz val="11"/>
        <color theme="1"/>
        <rFont val="宋体"/>
        <charset val="134"/>
        <scheme val="minor"/>
      </rPr>
      <t>,</t>
    </r>
    <r>
      <rPr>
        <sz val="10"/>
        <rFont val="宋体"/>
        <family val="3"/>
        <charset val="134"/>
      </rPr>
      <t>地处白山经济开发区。</t>
    </r>
    <phoneticPr fontId="3" type="noConversion"/>
  </si>
  <si>
    <t>中国石油天然气股份有限公司、吉林白山销售分公司</t>
  </si>
  <si>
    <t>江源区正岔街道</t>
  </si>
  <si>
    <t>大于或等于1并且小于或等于1.6</t>
  </si>
  <si>
    <t>2021-04-26</t>
  </si>
  <si>
    <t>靖宇县濛江乡前双山子村珠子河西侧</t>
  </si>
  <si>
    <t>大于或等于1并且小于或等于2</t>
  </si>
  <si>
    <t>娱乐用地</t>
  </si>
  <si>
    <t>2021-04-16</t>
  </si>
  <si>
    <t>吉林三叠源影视管理集团有限公司</t>
  </si>
  <si>
    <t>长白县净水厂东南侧</t>
  </si>
  <si>
    <t>小于或等于1.2</t>
  </si>
  <si>
    <t>2021-02-21</t>
  </si>
  <si>
    <t>白山市中佰文化旅游有限公司</t>
  </si>
  <si>
    <t>小于或等于2</t>
  </si>
  <si>
    <t>2021-02-14</t>
  </si>
  <si>
    <t>2021-02-18</t>
  </si>
  <si>
    <t>长白县汇通基础设施建设有限责任公司</t>
  </si>
  <si>
    <t>靖宇县矿泉北路东侧、六道街、七道街、天文路围合地块</t>
  </si>
  <si>
    <t>2021-02-10</t>
  </si>
  <si>
    <t>靖宇县泉安城市建设投资有限公司</t>
  </si>
  <si>
    <t>江源区孙家堡子街道</t>
  </si>
  <si>
    <t>小于或等于0.25</t>
  </si>
  <si>
    <t>2021-02-04</t>
  </si>
  <si>
    <t>白山市康盛仓储物流有限公司</t>
  </si>
  <si>
    <t>江源区砟子镇</t>
  </si>
  <si>
    <t>小于或等于0.3</t>
  </si>
  <si>
    <t>2020-12-25</t>
  </si>
  <si>
    <t>池西区东至民房,西至温泉东街,南至苔原路,北至民房</t>
  </si>
  <si>
    <t>大于1并且小于或等于1.05</t>
  </si>
  <si>
    <t>长白县金华乡十七道沟村至三浦村段</t>
  </si>
  <si>
    <t>2020-12-07</t>
  </si>
  <si>
    <t>长白朝鲜族自治县四海为家露营地管理有限公司</t>
  </si>
  <si>
    <t>池西区东至松桦街,西至民房,南至杜鹃路,北至峡谷大路</t>
  </si>
  <si>
    <t>大于1并且小于或等于1.46</t>
  </si>
  <si>
    <t>2020-10-30</t>
  </si>
  <si>
    <t>池西区东至空地,西至空地,南至松桦路,北至空地</t>
  </si>
  <si>
    <t>小于或等于1.51</t>
  </si>
  <si>
    <t>大于1并且小于或等于1.4</t>
  </si>
  <si>
    <t>2020-09-15</t>
  </si>
  <si>
    <t>2星</t>
  </si>
  <si>
    <t>江源区城墙街道</t>
    <phoneticPr fontId="3" type="noConversion"/>
  </si>
  <si>
    <t>大于或等于0.2</t>
  </si>
  <si>
    <t>2020-08-06</t>
  </si>
  <si>
    <t>长春伊通河石油经销有限公司</t>
  </si>
  <si>
    <t>3星</t>
  </si>
  <si>
    <t>吉林抚松经济开发区日吉纳湖周边区域A单元A-1-1地块(地下空间)</t>
  </si>
  <si>
    <t>等于0</t>
  </si>
  <si>
    <t>2020-08-03</t>
  </si>
  <si>
    <t>抚松弘成博远置业有限公司</t>
  </si>
  <si>
    <t>吉林抚松经济开发区日吉纳湖周边区域A单元A-1-1地块</t>
  </si>
  <si>
    <t>大于或等于1.1并且小于或等于1.5</t>
  </si>
  <si>
    <t>长白县经济开发区</t>
  </si>
  <si>
    <t>小于或等于1.4</t>
  </si>
  <si>
    <t>2020-07-28</t>
  </si>
  <si>
    <t>抚松新城松泉路以南、鸢尾路以北</t>
  </si>
  <si>
    <t>2020-07-27</t>
  </si>
  <si>
    <t>吉林省中熙石油有限公司</t>
  </si>
  <si>
    <t>1星</t>
  </si>
  <si>
    <t>抚松新城松江河组团长白大街以东、松江河大街以西、三江路以南、松江路以北区域A-1-9地块</t>
  </si>
  <si>
    <t>其它用地</t>
  </si>
  <si>
    <t>大于1并且小于或等于1.5</t>
  </si>
  <si>
    <t>社会福利用地</t>
  </si>
  <si>
    <t>抚松县松江河镇岐黄养老中心</t>
  </si>
  <si>
    <t>池西区东至高山街,西至空地,南至边防大队,北至圣山路</t>
  </si>
  <si>
    <t>小于或等于1.7</t>
  </si>
  <si>
    <t>2020-07-13</t>
  </si>
  <si>
    <t>商务金融用地</t>
  </si>
  <si>
    <t>2020-07-08</t>
  </si>
  <si>
    <t>吉林长白边境经济合作区管理委员会(长白经济开发区管理委员会)</t>
  </si>
  <si>
    <t>江源区大石人镇</t>
  </si>
  <si>
    <t>等于0.25</t>
  </si>
  <si>
    <t>殡葬用地</t>
  </si>
  <si>
    <t>2020-05-31</t>
  </si>
  <si>
    <t>白山市公墓管理处</t>
  </si>
  <si>
    <t>2020-05-07</t>
  </si>
  <si>
    <t>江源区江源街道</t>
  </si>
  <si>
    <t>等于1.52</t>
  </si>
  <si>
    <t>2020-03-27</t>
  </si>
  <si>
    <t>白山市江源区保障性住房管理中心</t>
  </si>
  <si>
    <t>靖宇县营抚公路与化工路交汇处北侧</t>
  </si>
  <si>
    <t>大于或等于0.4并且小于或等于1</t>
  </si>
  <si>
    <t>公用设施用地</t>
  </si>
  <si>
    <t>2020-03-19</t>
  </si>
  <si>
    <t>靖宇县宏业供热有限公司</t>
  </si>
  <si>
    <t>临江市新市街道站前村</t>
  </si>
  <si>
    <t>2020-03-02</t>
  </si>
  <si>
    <t>临江市林区燃气有限责任公司</t>
  </si>
  <si>
    <t>临江市建国街道台兴村</t>
  </si>
  <si>
    <t>大于或等于0.15并且小于或等于0.3</t>
  </si>
  <si>
    <t>池西区东至林地,西至高山街,南至林地,北至赤峰路</t>
  </si>
  <si>
    <t>2020-02-06</t>
  </si>
  <si>
    <t>池南区东至G331,西至石头房,南至石头房,北至G331</t>
  </si>
  <si>
    <t>文化设施用地</t>
  </si>
  <si>
    <t>临江市六道沟镇</t>
    <phoneticPr fontId="3" type="noConversion"/>
  </si>
  <si>
    <t>2020-01-26</t>
  </si>
  <si>
    <t>中国石油天然气股份有限公司吉林白山销售分公司</t>
  </si>
  <si>
    <t>抚松新城松江河组团松江河大街以东、道路四以南、森工路以西、三江路以北A-08地块(地下空间)</t>
  </si>
  <si>
    <t>小于1</t>
  </si>
  <si>
    <t>2020-01-13</t>
  </si>
  <si>
    <t>抚松县天池圣景房地产开发有限公司</t>
  </si>
  <si>
    <t>抚松新城松江河组团松江河大街以东、道路四以南、森工路以西、三江路以北A-08地块</t>
  </si>
  <si>
    <t>江源区石人镇</t>
  </si>
  <si>
    <t>等于1</t>
  </si>
  <si>
    <t>2020-01-04</t>
  </si>
  <si>
    <t>白山市江源区八里坡文化有限公司</t>
  </si>
  <si>
    <t>池南区东至云中路,西至红柳大街规划绿带,南至云中路,北至石头房</t>
  </si>
  <si>
    <t>2019-12-31</t>
  </si>
  <si>
    <t>长白山保护开发区天池南城市经营投资有限公司</t>
  </si>
  <si>
    <t>池南区东至规划绿带,西至云中路,南至红柳大街规划绿带,北至云中路</t>
  </si>
  <si>
    <t>小于或等于0.4</t>
  </si>
  <si>
    <t>抚松县万良镇南部片区A-04-03地块</t>
  </si>
  <si>
    <t>批发市场用地</t>
  </si>
  <si>
    <t>2019-12-18</t>
  </si>
  <si>
    <t>抚松人参小镇开发建设有限公司</t>
  </si>
  <si>
    <t>收益还原法</t>
  </si>
  <si>
    <t>押一</t>
  </si>
  <si>
    <t>商业</t>
    <phoneticPr fontId="7" type="noConversion"/>
  </si>
  <si>
    <t>正常</t>
  </si>
  <si>
    <t>一般</t>
  </si>
  <si>
    <t>批发零售用地</t>
  </si>
  <si>
    <t>不临58条商业街</t>
  </si>
  <si>
    <t>容积率修正</t>
  </si>
  <si>
    <t>砖混</t>
  </si>
  <si>
    <r>
      <rPr>
        <sz val="10"/>
        <rFont val="宋体"/>
        <family val="3"/>
        <charset val="134"/>
      </rPr>
      <t>成交楼面价</t>
    </r>
    <r>
      <rPr>
        <sz val="11"/>
        <color theme="1"/>
        <rFont val="宋体"/>
        <charset val="134"/>
        <scheme val="minor"/>
      </rPr>
      <t>(</t>
    </r>
    <r>
      <rPr>
        <sz val="10"/>
        <rFont val="宋体"/>
        <family val="3"/>
        <charset val="134"/>
      </rPr>
      <t>元</t>
    </r>
    <r>
      <rPr>
        <sz val="11"/>
        <color theme="1"/>
        <rFont val="宋体"/>
        <charset val="134"/>
        <scheme val="minor"/>
      </rPr>
      <t>/</t>
    </r>
    <r>
      <rPr>
        <sz val="10"/>
        <rFont val="宋体"/>
        <family val="3"/>
        <charset val="134"/>
      </rPr>
      <t>㎡</t>
    </r>
    <r>
      <rPr>
        <sz val="11"/>
        <color theme="1"/>
        <rFont val="宋体"/>
        <charset val="134"/>
        <scheme val="minor"/>
      </rPr>
      <t>)</t>
    </r>
    <phoneticPr fontId="3" type="noConversion"/>
  </si>
  <si>
    <t>成交地面价(元/㎡)</t>
    <phoneticPr fontId="3" type="noConversion"/>
  </si>
  <si>
    <t>朝阳川镇八道村</t>
  </si>
  <si>
    <t>延边朝鲜族自治州</t>
  </si>
  <si>
    <t>小于0.3</t>
  </si>
  <si>
    <t>2020-10-18</t>
  </si>
  <si>
    <t>延吉市晴翠养殖冷水鱼有限公司</t>
  </si>
  <si>
    <t>延西街,梨花路北侧</t>
  </si>
  <si>
    <t>小于0.72</t>
  </si>
  <si>
    <t>2020-06-06</t>
  </si>
  <si>
    <t>国网吉林省电力有限公司延边供电公司</t>
  </si>
  <si>
    <t>北山街,延北路南侧、朝阳街西侧</t>
  </si>
  <si>
    <t>小于0.18</t>
  </si>
  <si>
    <t>2020-04-11</t>
  </si>
  <si>
    <t>吉林省北嘉燃气有限公司</t>
  </si>
  <si>
    <t>小营镇理化村</t>
  </si>
  <si>
    <t>小于0.5</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</si>
  <si>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</si>
  <si>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</si>
  <si>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</si>
  <si>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</si>
  <si>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</si>
  <si>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</si>
  <si>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</si>
  <si>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</si>
  <si>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</si>
  <si>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</si>
  <si>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</si>
  <si>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</si>
  <si>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</si>
  <si>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</si>
  <si>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</si>
  <si>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</si>
  <si>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</si>
  <si>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</si>
  <si>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</si>
  <si>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</si>
  <si>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</si>
  <si>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</si>
  <si>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</si>
  <si>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延吉市依兰镇兴安村、局子街东侧</t>
  </si>
  <si>
    <t>大于或等于1并且小于2.19</t>
  </si>
  <si>
    <t>2019-05-21</t>
  </si>
  <si>
    <t>延吉市小营镇,南山路南侧</t>
  </si>
  <si>
    <t>2019-05-19</t>
  </si>
  <si>
    <t>2019-05-15</t>
  </si>
  <si>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</si>
  <si>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</si>
  <si>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</si>
  <si>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</si>
  <si>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</si>
  <si>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</si>
  <si>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</si>
  <si>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</si>
  <si>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</si>
  <si>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</si>
  <si>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</si>
  <si>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</si>
  <si>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</si>
  <si>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</si>
  <si>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</si>
  <si>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</si>
  <si>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</si>
  <si>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</si>
  <si>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</si>
  <si>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</si>
  <si>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</si>
  <si>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</si>
  <si>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</si>
  <si>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</si>
  <si>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</si>
  <si>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延吉市延西街,梨花路北侧、文化西街西侧</t>
  </si>
  <si>
    <t>2018-09-06</t>
  </si>
  <si>
    <t>吉林省鑫泉房地产开发有限公司</t>
  </si>
  <si>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</si>
  <si>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</si>
  <si>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</si>
  <si>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</si>
  <si>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</si>
  <si>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</si>
  <si>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</si>
  <si>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</si>
  <si>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</si>
  <si>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</si>
  <si>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</si>
  <si>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</si>
  <si>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</si>
  <si>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</si>
  <si>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</si>
  <si>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</si>
  <si>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</si>
  <si>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</si>
  <si>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</si>
  <si>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</si>
  <si>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</si>
  <si>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</si>
  <si>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</si>
  <si>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</si>
  <si>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</si>
  <si>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</si>
  <si>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</si>
  <si>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</si>
  <si>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</si>
  <si>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</si>
  <si>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</si>
  <si>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</si>
  <si>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</si>
  <si>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</si>
  <si>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</si>
  <si>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</si>
  <si>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</si>
  <si>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</si>
  <si>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</si>
  <si>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</si>
  <si>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</si>
  <si>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</si>
  <si>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</si>
  <si>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</si>
  <si>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</si>
  <si>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</si>
  <si>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</si>
  <si>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</si>
  <si>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</si>
  <si>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</si>
  <si>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</si>
  <si>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</si>
  <si>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</si>
  <si>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</si>
  <si>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</si>
  <si>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</si>
  <si>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</si>
  <si>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</si>
  <si>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</si>
  <si>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</si>
  <si>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</si>
  <si>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</si>
  <si>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</si>
  <si>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</si>
  <si>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</si>
  <si>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</si>
  <si>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</si>
  <si>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</si>
  <si>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</si>
  <si>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</si>
  <si>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</si>
  <si>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</si>
  <si>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</si>
  <si>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</si>
  <si>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</si>
  <si>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</si>
  <si>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</si>
  <si>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</si>
  <si>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</si>
  <si>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</si>
  <si>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</si>
  <si>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</si>
  <si>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</si>
  <si>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</si>
  <si>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</si>
  <si>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</si>
  <si>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</si>
  <si>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</si>
  <si>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</si>
  <si>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</si>
  <si>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</si>
  <si>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t>单位面积地价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</si>
  <si>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</si>
  <si>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</si>
  <si>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按租金收入计税</t>
  </si>
  <si>
    <t>剩余法-现房</t>
  </si>
  <si>
    <r>
      <rPr>
        <sz val="10"/>
        <rFont val="宋体"/>
        <family val="3"/>
        <charset val="134"/>
      </rPr>
      <t>延吉市北山街</t>
    </r>
    <r>
      <rPr>
        <sz val="10"/>
        <rFont val="Arial"/>
        <family val="2"/>
      </rPr>
      <t>,</t>
    </r>
    <r>
      <rPr>
        <sz val="10"/>
        <rFont val="宋体"/>
        <family val="3"/>
        <charset val="134"/>
      </rPr>
      <t>延北路南侧、朝阳街西侧</t>
    </r>
    <phoneticPr fontId="228" type="noConversion"/>
  </si>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</sst>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6"/>
    <xf numFmtId="0" fontId="86" fillId="0" borderId="0" xfId="16" applyAlignment="1">
      <alignment horizontal="left"/>
    </xf>
    <xf numFmtId="0" fontId="86" fillId="6" borderId="0" xfId="16" applyFill="1"/>
    <xf numFmtId="0" fontId="86" fillId="6" borderId="0" xfId="16" applyFill="1" applyAlignment="1">
      <alignment horizontal="left"/>
    </xf>
    <xf numFmtId="0" fontId="127" fillId="6" borderId="0" xfId="16" applyFont="1" applyFill="1"/>
    <xf numFmtId="49" fontId="262" fillId="0" borderId="11" xfId="0" applyNumberFormat="1" applyFont="1" applyFill="1" applyBorder="1" applyAlignment="1" applyProtection="1">
      <alignment horizontal="center" vertical="center" wrapText="1"/>
      <protection locked="0"/>
    </xf>
    <xf numFmtId="0" fontId="86" fillId="0" borderId="0" xfId="16" applyFont="1"/>
    <xf numFmtId="0" fontId="127" fillId="0" borderId="0" xfId="16" applyFont="1"/>
    <xf numFmtId="180" fontId="85" fillId="17" borderId="46" xfId="0" applyNumberFormat="1" applyFont="1" applyFill="1" applyBorder="1" applyAlignment="1" applyProtection="1">
      <alignment horizontal="center" vertical="center"/>
      <protection locked="0"/>
    </xf>
    <xf numFmtId="180" fontId="85" fillId="17" borderId="12" xfId="0" applyNumberFormat="1" applyFont="1" applyFill="1" applyBorder="1" applyAlignment="1" applyProtection="1">
      <alignment horizontal="center" vertical="center"/>
      <protection locked="0"/>
    </xf>
    <xf numFmtId="178" fontId="86" fillId="0" borderId="0" xfId="16" applyNumberFormat="1"/>
    <xf numFmtId="178" fontId="86" fillId="6" borderId="0" xfId="16" applyNumberForma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9</xdr:col>
      <xdr:colOff>313293</xdr:colOff>
      <xdr:row>82</xdr:row>
      <xdr:rowOff>56536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58200"/>
          <a:ext cx="8257143"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495800"/>
          <a:ext cx="9495239" cy="1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吉林省延吉市爱丹路1709号101出让国有建设用地使用权市场价格预评估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受贵公司委托，我公司对吉林省延吉市爱丹路1709号101出让国有建设用地使用权市场价格进行了预评估。</v>
      </c>
      <c r="AM6" s="2619"/>
    </row>
    <row r="7" spans="1:55" s="2593" customFormat="1">
      <c r="A7" s="2594" t="s">
        <v>2637</v>
      </c>
      <c r="B7" s="2595" t="str">
        <f>'预评函-1'!A6</f>
        <v>估价对象为使用的、位于吉林省延吉市爱丹路1709号101出让国有建设用地使用权。根据《国有土地使用证》[]，估价对象（分摊）出让国有建设用地使用权面积为1442.46平方米。根据《建设工程规划许可证》[]、《出让合同》[]，估价对象规划建筑面积为198.07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本次评估为委托估价方了解标的物之市场价格提供参考依据而评估出让国有建设用地使用权市场价格。</v>
      </c>
    </row>
    <row r="10" spans="1:55" s="2593" customFormat="1">
      <c r="A10" s="2594" t="s">
        <v>2639</v>
      </c>
      <c r="B10" s="2595" t="str">
        <f>'预评函-1'!A11</f>
        <v>2021年6月10日（评估专业人员勘察现场之日）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根据《国有土地使用证》[]，估价对象（分摊）出让国有建设用地使用权面积为1442.46平方米。根据《建设工程规划许可证》[]、《出让合同》[]，估价对象规划建筑面积为198.07平方米。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6月9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6月10日，在规划利用条件下、设定土地开发程度为红线外“七通”、宗地内场地，设定用途为，剩余土地使用年限为的出让国有建设用地使用权价格。</v>
      </c>
    </row>
    <row r="19" spans="1:48" s="2593" customFormat="1">
      <c r="A19" s="2594" t="s">
        <v>2652</v>
      </c>
      <c r="B19" s="2595" t="str">
        <f>'预评函-1'!A26</f>
        <v>——</v>
      </c>
    </row>
    <row r="20" spans="1:48" s="2593" customFormat="1">
      <c r="A20" s="2594" t="s">
        <v>2653</v>
      </c>
      <c r="B20" s="2595" t="str">
        <f>'预评函-1'!A27</f>
        <v>——</v>
      </c>
    </row>
    <row r="21" spans="1:48" s="2609" customFormat="1" ht="15" thickBot="1">
      <c r="A21" s="2616" t="s">
        <v>2654</v>
      </c>
      <c r="B21" s="2617" t="str">
        <f>'预评函-1'!A28</f>
        <v>——</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估价期日：2021年6月10日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1442.46</v>
      </c>
    </row>
    <row r="44" spans="1:2">
      <c r="A44" s="2594" t="s">
        <v>2720</v>
      </c>
      <c r="B44" s="2595" t="str">
        <f>'预评函-2'!O3</f>
        <v>规划建筑面积/㎡</v>
      </c>
    </row>
    <row r="45" spans="1:2">
      <c r="A45" s="2594" t="s">
        <v>2702</v>
      </c>
      <c r="B45" s="2595">
        <f>'预评函-2'!O5</f>
        <v>198.07</v>
      </c>
    </row>
    <row r="46" spans="1:2">
      <c r="A46" s="2594" t="s">
        <v>2703</v>
      </c>
      <c r="B46" s="2595">
        <f ca="1">'预评函-2'!P5</f>
        <v>1449</v>
      </c>
    </row>
    <row r="47" spans="1:2">
      <c r="A47" s="2594" t="s">
        <v>2704</v>
      </c>
      <c r="B47" s="2595">
        <f ca="1">'预评函-2'!Q5</f>
        <v>10552</v>
      </c>
    </row>
    <row r="48" spans="1:2">
      <c r="A48" s="2594" t="s">
        <v>2705</v>
      </c>
      <c r="B48" s="2595">
        <f ca="1">'预评函-2'!R5</f>
        <v>209</v>
      </c>
    </row>
    <row r="49" spans="1:2">
      <c r="A49" s="2594" t="s">
        <v>2721</v>
      </c>
      <c r="B49" s="2595" t="str">
        <f>'预评函-2'!A6</f>
        <v>——</v>
      </c>
    </row>
    <row r="50" spans="1:2">
      <c r="A50" s="2594" t="s">
        <v>2706</v>
      </c>
      <c r="B50" s="2595" t="str">
        <f>'预评函-2'!R6</f>
        <v>——</v>
      </c>
    </row>
    <row r="51" spans="1:2">
      <c r="A51" s="2594" t="s">
        <v>2722</v>
      </c>
      <c r="B51" s="2595" t="str">
        <f>'预评函-2'!A7</f>
        <v>——</v>
      </c>
    </row>
    <row r="52" spans="1:2">
      <c r="A52" s="2594" t="s">
        <v>2707</v>
      </c>
      <c r="B52" s="2595" t="str">
        <f>'预评函-2'!R7</f>
        <v>——</v>
      </c>
    </row>
    <row r="53" spans="1:2">
      <c r="A53" s="2594" t="s">
        <v>2723</v>
      </c>
      <c r="B53" s="2595" t="str">
        <f>'预评函-2'!A8</f>
        <v>——</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2.本次评估设定估价对象宗地权属无争议，未被查封或者以其他形式限制其房地产权利，未设定抵押权等他项权利，不涉及第三方权利义务。</v>
      </c>
    </row>
    <row r="60" spans="1:2">
      <c r="A60" s="2594" t="s">
        <v>2662</v>
      </c>
      <c r="B60" s="2595" t="str">
        <f>'预评函-3'!A9</f>
        <v>——</v>
      </c>
    </row>
    <row r="61" spans="1:2">
      <c r="A61" s="2594" t="s">
        <v>2664</v>
      </c>
      <c r="B61" s="2595" t="str">
        <f>'预评函-3'!A10</f>
        <v>——</v>
      </c>
    </row>
    <row r="62" spans="1:2">
      <c r="A62" s="2594" t="s">
        <v>2663</v>
      </c>
      <c r="B62" s="2595" t="str">
        <f>'预评函-3'!A11</f>
        <v>——</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v>
      </c>
    </row>
    <row r="66" spans="1:2">
      <c r="A66" s="2594" t="s">
        <v>2668</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4" sqref="E1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1925</v>
      </c>
      <c r="B1" s="3326" t="str">
        <f>IF(B10="北京市","北京市",C10)&amp;F10&amp;B16&amp;"国有建设用地使用权"&amp;B9&amp;"预评估"</f>
        <v>吉林省延吉市爱丹路1709号101出让国有建设用地使用权市场价格预评估</v>
      </c>
      <c r="C1" s="3327"/>
      <c r="D1" s="3327"/>
      <c r="E1" s="3327"/>
      <c r="F1" s="3327"/>
      <c r="G1" s="3327"/>
      <c r="H1" s="3327"/>
      <c r="I1" s="3328"/>
      <c r="J1" s="3073"/>
      <c r="K1" s="2309" t="str">
        <f>IF(B10="北京市","北京市",C10)&amp;F10&amp;B16&amp;"国有建设用地使用权"&amp;B9</f>
        <v>吉林省延吉市爱丹路1709号101出让国有建设用地使用权市场价格</v>
      </c>
      <c r="L1" s="3052"/>
      <c r="M1" s="3052"/>
      <c r="N1" s="3053"/>
      <c r="O1" s="3054"/>
      <c r="P1" s="3053"/>
      <c r="Q1" s="3053"/>
      <c r="R1" s="3053"/>
      <c r="S1" s="3053"/>
      <c r="T1" s="3053"/>
      <c r="U1" s="3053"/>
    </row>
    <row r="2" spans="1:21">
      <c r="A2" s="1587" t="s">
        <v>1926</v>
      </c>
      <c r="B2" s="1754"/>
      <c r="D2" s="3073"/>
      <c r="E2" s="3073"/>
      <c r="F2" s="3073"/>
      <c r="G2" s="3073"/>
      <c r="H2" s="3074"/>
      <c r="I2" s="3075"/>
      <c r="J2" s="3073"/>
      <c r="K2" s="2309" t="str">
        <f>IF(B10="北京市","北京市",C10)&amp;F10&amp;B16&amp;"国有建设用地使用权"</f>
        <v>吉林省延吉市爱丹路1709号101出让国有建设用地使用权</v>
      </c>
      <c r="L2" s="3052"/>
      <c r="M2" s="3052"/>
      <c r="N2" s="3053"/>
      <c r="O2" s="3054"/>
      <c r="P2" s="3053"/>
      <c r="Q2" s="3053"/>
      <c r="R2" s="3053"/>
      <c r="S2" s="3053"/>
      <c r="T2" s="3053"/>
      <c r="U2" s="3053"/>
    </row>
    <row r="3" spans="1:21">
      <c r="A3" s="1588" t="s">
        <v>1927</v>
      </c>
      <c r="B3" s="1589">
        <v>44357</v>
      </c>
      <c r="C3" s="2996" t="s">
        <v>1983</v>
      </c>
      <c r="D3" s="1589">
        <f>B3</f>
        <v>44357</v>
      </c>
      <c r="E3" s="3073"/>
      <c r="F3" s="3073"/>
      <c r="G3" s="3073"/>
      <c r="H3" s="3074"/>
      <c r="I3" s="3075"/>
      <c r="J3" s="3073"/>
      <c r="K3" s="3056"/>
      <c r="L3" s="3052"/>
      <c r="M3" s="3052"/>
      <c r="N3" s="3053"/>
      <c r="O3" s="3054"/>
      <c r="P3" s="3053"/>
      <c r="Q3" s="3053"/>
      <c r="R3" s="3053"/>
      <c r="S3" s="3053"/>
      <c r="T3" s="3053"/>
      <c r="U3" s="3053"/>
    </row>
    <row r="4" spans="1:21" ht="15" thickBot="1">
      <c r="A4" s="1591" t="s">
        <v>1928</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1929</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1930</v>
      </c>
      <c r="B8" s="1597" t="s">
        <v>3002</v>
      </c>
      <c r="C8" s="1598"/>
      <c r="D8" s="3332" t="s">
        <v>1932</v>
      </c>
      <c r="E8" s="1756"/>
      <c r="F8" s="1599"/>
      <c r="G8" s="3074"/>
      <c r="H8" s="3074"/>
      <c r="I8" s="3077"/>
      <c r="J8" s="3073"/>
      <c r="K8" s="3056"/>
      <c r="L8" s="3052"/>
      <c r="M8" s="3052"/>
      <c r="N8" s="3053"/>
      <c r="O8" s="3054"/>
      <c r="P8" s="3053"/>
      <c r="Q8" s="3053"/>
      <c r="R8" s="3053"/>
      <c r="S8" s="3053"/>
      <c r="T8" s="3053"/>
      <c r="U8" s="3053"/>
    </row>
    <row r="9" spans="1:21" ht="15" thickBot="1">
      <c r="A9" s="2998" t="s">
        <v>1931</v>
      </c>
      <c r="B9" s="1600" t="s">
        <v>3003</v>
      </c>
      <c r="C9" s="1601"/>
      <c r="D9" s="3333"/>
      <c r="E9" s="1600"/>
      <c r="F9" s="1663"/>
      <c r="G9" s="3078"/>
      <c r="H9" s="3078"/>
      <c r="I9" s="3079"/>
      <c r="J9" s="3073"/>
      <c r="K9" s="3056"/>
      <c r="L9" s="3052"/>
      <c r="M9" s="3052"/>
      <c r="N9" s="3053"/>
      <c r="O9" s="3054"/>
      <c r="P9" s="3053"/>
      <c r="Q9" s="3053"/>
      <c r="R9" s="3053"/>
      <c r="S9" s="3053"/>
      <c r="T9" s="3053"/>
      <c r="U9" s="3053"/>
    </row>
    <row r="10" spans="1:21" ht="15" thickTop="1">
      <c r="A10" s="2999" t="s">
        <v>1987</v>
      </c>
      <c r="B10" s="1639" t="s">
        <v>3004</v>
      </c>
      <c r="C10" s="1602" t="s">
        <v>3006</v>
      </c>
      <c r="D10" s="1594"/>
      <c r="E10" s="1603" t="s">
        <v>1934</v>
      </c>
      <c r="F10" s="1604" t="s">
        <v>3007</v>
      </c>
      <c r="G10" s="1661"/>
      <c r="H10" s="1662"/>
      <c r="I10" s="1594"/>
      <c r="J10" s="3073"/>
      <c r="K10" s="3056"/>
      <c r="L10" s="3052"/>
      <c r="M10" s="3052"/>
      <c r="N10" s="3053"/>
      <c r="O10" s="3054"/>
      <c r="P10" s="3053"/>
      <c r="Q10" s="3053"/>
      <c r="R10" s="3053"/>
      <c r="S10" s="3053"/>
      <c r="T10" s="3053"/>
      <c r="U10" s="3053"/>
    </row>
    <row r="11" spans="1:21">
      <c r="A11" s="3000" t="s">
        <v>1988</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29"/>
      <c r="C12" s="3330"/>
      <c r="D12" s="3331"/>
      <c r="E12" s="1620" t="s">
        <v>2049</v>
      </c>
      <c r="F12" s="3347" t="s">
        <v>2868</v>
      </c>
      <c r="G12" s="3348"/>
      <c r="H12" s="3348"/>
      <c r="I12" s="3349"/>
      <c r="J12" s="3073"/>
      <c r="K12" s="3056"/>
      <c r="L12" s="3052"/>
      <c r="M12" s="3052"/>
      <c r="N12" s="3053"/>
      <c r="O12" s="3054"/>
      <c r="P12" s="3053"/>
      <c r="Q12" s="3053"/>
      <c r="R12" s="3053"/>
      <c r="S12" s="3053"/>
      <c r="T12" s="3053"/>
      <c r="U12" s="3053"/>
    </row>
    <row r="13" spans="1:21">
      <c r="A13" s="1611" t="s">
        <v>2047</v>
      </c>
      <c r="B13" s="3329"/>
      <c r="C13" s="3330"/>
      <c r="D13" s="3331"/>
      <c r="E13" s="1620" t="s">
        <v>2049</v>
      </c>
      <c r="F13" s="3347" t="s">
        <v>2869</v>
      </c>
      <c r="G13" s="3348"/>
      <c r="H13" s="3348"/>
      <c r="I13" s="3349"/>
      <c r="J13" s="3073"/>
      <c r="K13" s="3056"/>
      <c r="L13" s="3052"/>
      <c r="M13" s="3052"/>
      <c r="N13" s="3053"/>
      <c r="O13" s="3054"/>
      <c r="P13" s="3053"/>
      <c r="Q13" s="3053"/>
      <c r="R13" s="3053"/>
      <c r="S13" s="3053"/>
      <c r="T13" s="3053"/>
      <c r="U13" s="3053"/>
    </row>
    <row r="14" spans="1:21">
      <c r="A14" s="1588" t="s">
        <v>2050</v>
      </c>
      <c r="B14" s="1620"/>
      <c r="C14" s="1757" t="s">
        <v>3009</v>
      </c>
      <c r="D14" s="1653" t="str">
        <f>IF(C14="不一致","是否符合证载地类范围","")</f>
        <v>是否符合证载地类范围</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1937</v>
      </c>
      <c r="E15" s="1682" t="s">
        <v>1938</v>
      </c>
      <c r="F15" s="1682" t="s">
        <v>1939</v>
      </c>
      <c r="G15" s="1610" t="s">
        <v>1940</v>
      </c>
      <c r="H15" s="1610" t="s">
        <v>1941</v>
      </c>
      <c r="I15" s="1610" t="s">
        <v>1942</v>
      </c>
      <c r="J15" s="3073"/>
      <c r="K15" s="3056"/>
      <c r="L15" s="3052"/>
      <c r="M15" s="3052"/>
      <c r="N15" s="3053"/>
      <c r="O15" s="3054"/>
      <c r="P15" s="3053"/>
      <c r="Q15" s="3053"/>
      <c r="R15" s="3053"/>
      <c r="S15" s="3053"/>
      <c r="T15" s="3053"/>
      <c r="U15" s="3053"/>
    </row>
    <row r="16" spans="1:21" ht="28.5">
      <c r="A16" s="3001" t="s">
        <v>1935</v>
      </c>
      <c r="B16" s="1606" t="s">
        <v>3001</v>
      </c>
      <c r="C16" s="1620" t="s">
        <v>1936</v>
      </c>
      <c r="D16" s="2487" t="s">
        <v>1937</v>
      </c>
      <c r="E16" s="1642" t="s">
        <v>3008</v>
      </c>
      <c r="F16" s="1642"/>
      <c r="G16" s="1642"/>
      <c r="H16" s="1642"/>
      <c r="I16" s="1610" t="s">
        <v>1942</v>
      </c>
      <c r="J16" s="3073"/>
      <c r="K16" s="2310" t="str">
        <f>IF(D17="","",D16&amp;TEXT(D17,"yyyy年m月d日;;"))</f>
        <v/>
      </c>
      <c r="L16" s="1620" t="str">
        <f>IF(OR(K16="",M16=""),"","、")</f>
        <v/>
      </c>
      <c r="M16" s="2310" t="str">
        <f>IF(E17="","",E16&amp;TEXT(E17,"yyyy年m月d日;;"))</f>
        <v>商业2061年6月9日</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1943</v>
      </c>
      <c r="D17" s="3277"/>
      <c r="E17" s="3277">
        <v>58966</v>
      </c>
      <c r="F17" s="3277"/>
      <c r="G17" s="3277"/>
      <c r="H17" s="3277"/>
      <c r="I17" s="3277"/>
      <c r="J17" s="3073"/>
      <c r="K17" s="3051" t="str">
        <f>CONCATENATE(K16,L16,M16,N16,O16,P16,Q16,R16,S16,T16,,U16)</f>
        <v>商业2061年6月9日</v>
      </c>
      <c r="L17" s="3052"/>
      <c r="M17" s="3052"/>
      <c r="N17" s="3053"/>
      <c r="O17" s="3054"/>
      <c r="P17" s="3053"/>
      <c r="Q17" s="3053"/>
      <c r="R17" s="3053"/>
      <c r="S17" s="3053"/>
      <c r="T17" s="3053"/>
      <c r="U17" s="3053"/>
    </row>
    <row r="18" spans="1:21">
      <c r="A18" s="1679"/>
      <c r="B18" s="1607"/>
      <c r="C18" s="3002" t="s">
        <v>1944</v>
      </c>
      <c r="D18" s="1608"/>
      <c r="E18" s="1608">
        <v>40</v>
      </c>
      <c r="F18" s="1608"/>
      <c r="G18" s="1608"/>
      <c r="H18" s="1608"/>
      <c r="I18" s="1608"/>
      <c r="J18" s="3073"/>
      <c r="K18" s="3056"/>
      <c r="L18" s="3052"/>
      <c r="M18" s="3052"/>
      <c r="N18" s="3053"/>
      <c r="O18" s="3054"/>
      <c r="P18" s="3053"/>
      <c r="Q18" s="3053"/>
      <c r="R18" s="3053"/>
      <c r="S18" s="3053"/>
      <c r="T18" s="3053"/>
      <c r="U18" s="3053"/>
    </row>
    <row r="19" spans="1:21">
      <c r="A19" s="1679"/>
      <c r="B19" s="1607"/>
      <c r="C19" s="1587" t="s">
        <v>1945</v>
      </c>
      <c r="D19" s="1674" t="str">
        <f>IF(B16="出让",IF(D17="","",ROUNDDOWN(MIN((D17-$D$3)/365,D18),2)),D18)</f>
        <v/>
      </c>
      <c r="E19" s="1609">
        <f>IF(B16="出让",IF(E17="","",ROUNDDOWN(MIN((E17-$D$3)/365,E18),2)),E18)</f>
        <v>40</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44"/>
      <c r="E20" s="3345"/>
      <c r="F20" s="3345"/>
      <c r="G20" s="3345"/>
      <c r="H20" s="3345"/>
      <c r="I20" s="3346"/>
      <c r="J20" s="3073"/>
      <c r="K20" s="3056"/>
      <c r="L20" s="3052"/>
      <c r="M20" s="3052"/>
      <c r="N20" s="3053"/>
      <c r="O20" s="3054"/>
      <c r="P20" s="3053"/>
      <c r="Q20" s="3053"/>
      <c r="R20" s="3053"/>
      <c r="S20" s="3053"/>
      <c r="T20" s="3053"/>
      <c r="U20" s="3053"/>
    </row>
    <row r="21" spans="1:21">
      <c r="A21" s="1679" t="s">
        <v>1946</v>
      </c>
      <c r="B21" s="1680" t="s">
        <v>1947</v>
      </c>
      <c r="C21" s="1675">
        <f>'数据-汇总表'!E3</f>
        <v>198.07</v>
      </c>
      <c r="D21" s="1676" t="s">
        <v>1948</v>
      </c>
      <c r="E21" s="3334" t="s">
        <v>1986</v>
      </c>
      <c r="F21" s="3335"/>
      <c r="G21" s="3335"/>
      <c r="H21" s="3335"/>
      <c r="I21" s="3336"/>
      <c r="J21" s="3073"/>
      <c r="K21" s="3056"/>
      <c r="L21" s="3052"/>
      <c r="M21" s="3052"/>
      <c r="N21" s="3053"/>
      <c r="O21" s="3054"/>
      <c r="P21" s="3053"/>
      <c r="Q21" s="3053"/>
      <c r="R21" s="3053"/>
      <c r="S21" s="3053"/>
      <c r="T21" s="3053"/>
      <c r="U21" s="3053"/>
    </row>
    <row r="22" spans="1:21">
      <c r="A22" s="2801" t="s">
        <v>943</v>
      </c>
      <c r="B22" s="1588" t="s">
        <v>1949</v>
      </c>
      <c r="C22" s="1610">
        <f>'数据-汇总表'!D3</f>
        <v>1442.46</v>
      </c>
      <c r="D22" s="1611" t="s">
        <v>1948</v>
      </c>
      <c r="E22" s="3334" t="s">
        <v>2870</v>
      </c>
      <c r="F22" s="3335"/>
      <c r="G22" s="3335"/>
      <c r="H22" s="3335"/>
      <c r="I22" s="3336"/>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37" t="s">
        <v>1954</v>
      </c>
      <c r="C24" s="3338"/>
      <c r="D24" s="3339" t="s">
        <v>1955</v>
      </c>
      <c r="E24" s="3340"/>
      <c r="F24" s="1628" t="s">
        <v>1956</v>
      </c>
      <c r="G24" s="3073"/>
      <c r="H24" s="3073"/>
      <c r="I24" s="3077"/>
      <c r="J24" s="3073"/>
      <c r="K24" s="3325"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943</v>
      </c>
      <c r="F25" s="1632"/>
      <c r="G25" s="3073"/>
      <c r="H25" s="3073"/>
      <c r="I25" s="3077"/>
      <c r="J25" s="3073"/>
      <c r="K25" s="332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2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11" t="s">
        <v>1989</v>
      </c>
      <c r="B31" s="1680" t="s">
        <v>1990</v>
      </c>
      <c r="C31" s="3350"/>
      <c r="D31" s="3351"/>
      <c r="E31" s="3073"/>
      <c r="F31" s="3073"/>
      <c r="G31" s="3073"/>
      <c r="H31" s="3073"/>
      <c r="I31" s="3077"/>
      <c r="J31" s="3073"/>
      <c r="K31" s="3059"/>
      <c r="L31" s="3053"/>
      <c r="M31" s="3053"/>
      <c r="N31" s="3053"/>
      <c r="O31" s="3053"/>
      <c r="P31" s="3053"/>
      <c r="Q31" s="3053"/>
      <c r="R31" s="3053"/>
      <c r="S31" s="3053"/>
      <c r="T31" s="3053"/>
      <c r="U31" s="3053"/>
    </row>
    <row r="32" spans="1:21">
      <c r="A32" s="3311"/>
      <c r="B32" s="1588"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1"/>
      <c r="B33" s="1588"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2"/>
      <c r="B34" s="1588" t="s">
        <v>1993</v>
      </c>
      <c r="C34" s="3313"/>
      <c r="D34" s="3314"/>
      <c r="E34" s="3073"/>
      <c r="F34" s="3073"/>
      <c r="G34" s="3073"/>
      <c r="H34" s="3073"/>
      <c r="I34" s="3077"/>
      <c r="J34" s="3073"/>
      <c r="K34" s="3059"/>
      <c r="L34" s="3053"/>
      <c r="M34" s="3053"/>
      <c r="N34" s="3053"/>
      <c r="O34" s="3053"/>
      <c r="P34" s="3053"/>
      <c r="Q34" s="3053"/>
      <c r="R34" s="3053"/>
      <c r="S34" s="3053"/>
      <c r="T34" s="3053"/>
      <c r="U34" s="3053"/>
    </row>
    <row r="35" spans="1:28">
      <c r="A35" s="3315" t="s">
        <v>839</v>
      </c>
      <c r="B35" s="1642"/>
      <c r="C35" s="1689" t="str">
        <f>IF(B35="场地平整","——","具体情况：")</f>
        <v>具体情况：</v>
      </c>
      <c r="D35" s="3317"/>
      <c r="E35" s="3318"/>
      <c r="F35" s="3318"/>
      <c r="G35" s="3318"/>
      <c r="H35" s="3318"/>
      <c r="I35" s="3319"/>
      <c r="J35" s="3073"/>
      <c r="K35" s="3060"/>
      <c r="L35" s="3052"/>
      <c r="M35" s="3052"/>
      <c r="N35" s="3053"/>
      <c r="O35" s="3054"/>
      <c r="P35" s="3053"/>
      <c r="Q35" s="3053"/>
      <c r="R35" s="3053"/>
      <c r="S35" s="3053"/>
      <c r="T35" s="3053"/>
      <c r="U35" s="3053"/>
    </row>
    <row r="36" spans="1:28">
      <c r="A36" s="3311"/>
      <c r="B36" s="3320" t="s">
        <v>2042</v>
      </c>
      <c r="C36" s="3321"/>
      <c r="D36" s="1705"/>
      <c r="E36" s="3322"/>
      <c r="F36" s="3322"/>
      <c r="G36" s="1611" t="str">
        <f>IF(B35="场地未平整","估价结果处理","")</f>
        <v/>
      </c>
      <c r="H36" s="3323"/>
      <c r="I36" s="3323"/>
      <c r="J36" s="3073"/>
      <c r="K36" s="3060"/>
      <c r="L36" s="3052"/>
      <c r="M36" s="3052"/>
      <c r="N36" s="3053"/>
      <c r="O36" s="3054"/>
      <c r="P36" s="3053"/>
      <c r="Q36" s="3053"/>
      <c r="R36" s="3053"/>
      <c r="S36" s="3053"/>
      <c r="T36" s="3053"/>
      <c r="U36" s="3053"/>
    </row>
    <row r="37" spans="1:28" ht="28.5">
      <c r="A37" s="3311"/>
      <c r="B37" s="334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1"/>
      <c r="B38" s="3342"/>
      <c r="C38" s="1596" t="s">
        <v>842</v>
      </c>
      <c r="D38" s="1704">
        <f>ROUNDDOWN(MIN(('数据-取费表'!$B$2-D37)/365,D34),1)</f>
        <v>121.5</v>
      </c>
      <c r="E38" s="1647" t="s">
        <v>843</v>
      </c>
      <c r="F38" s="3073"/>
      <c r="G38" s="3073"/>
      <c r="H38" s="3073"/>
      <c r="I38" s="3077"/>
      <c r="J38" s="3073"/>
      <c r="K38" s="3060"/>
      <c r="L38" s="3053"/>
      <c r="M38" s="3053"/>
      <c r="N38" s="3053"/>
      <c r="O38" s="3053"/>
      <c r="P38" s="3053"/>
      <c r="Q38" s="3053"/>
      <c r="R38" s="3053"/>
      <c r="S38" s="3053"/>
      <c r="T38" s="3053"/>
      <c r="U38" s="3053"/>
    </row>
    <row r="39" spans="1:28">
      <c r="A39" s="3312"/>
      <c r="B39" s="334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1965</v>
      </c>
      <c r="B40" s="1612"/>
      <c r="C40" s="1612"/>
      <c r="D40" s="1612"/>
      <c r="E40" s="1612"/>
      <c r="F40" s="1612"/>
      <c r="G40" s="1612"/>
      <c r="H40" s="1612"/>
      <c r="I40" s="3077"/>
      <c r="J40" s="3073"/>
      <c r="K40" s="3021">
        <f>COUNTIF(B40:H40,"——")</f>
        <v>0</v>
      </c>
      <c r="L40" s="1620" t="s">
        <v>1966</v>
      </c>
      <c r="M40" s="1617" t="s">
        <v>1967</v>
      </c>
      <c r="N40" s="1617" t="s">
        <v>1968</v>
      </c>
      <c r="O40" s="1617" t="s">
        <v>1969</v>
      </c>
      <c r="P40" s="1617" t="s">
        <v>1970</v>
      </c>
      <c r="Q40" s="1617" t="s">
        <v>1971</v>
      </c>
      <c r="R40" s="1617" t="s">
        <v>1972</v>
      </c>
      <c r="S40" s="3324" t="s">
        <v>1973</v>
      </c>
      <c r="T40" s="1651" t="str">
        <f>NUMBERSTRING(7-K40,1)&amp;"通"</f>
        <v>七通</v>
      </c>
      <c r="U40" s="3053"/>
    </row>
    <row r="41" spans="1:28" ht="28.5">
      <c r="A41" s="1590"/>
      <c r="B41" s="3316" t="s">
        <v>1711</v>
      </c>
      <c r="C41" s="3316"/>
      <c r="D41" s="3316"/>
      <c r="E41" s="3316"/>
      <c r="F41" s="1652" t="str">
        <f>C10</f>
        <v>吉林省延吉市</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4"/>
      <c r="T41" s="1653" t="str">
        <f>IF(T40="一通",L41,IF(T40="二通",M41,IF(T40="三通",N41,IF(T40="四通",O41,IF(T40="五通",P41,IF(T40="六通",Q41,R41))))))</f>
        <v>、、、、、、</v>
      </c>
      <c r="U41" s="3053"/>
    </row>
    <row r="42" spans="1:28">
      <c r="A42" s="1655"/>
      <c r="B42" s="1682" t="s">
        <v>1887</v>
      </c>
      <c r="C42" s="1682" t="s">
        <v>1888</v>
      </c>
      <c r="D42" s="1682" t="s">
        <v>1889</v>
      </c>
      <c r="E42" s="1620"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1994</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1995</v>
      </c>
      <c r="B48" s="1610" t="s">
        <v>1996</v>
      </c>
      <c r="C48" s="1610" t="s">
        <v>1997</v>
      </c>
      <c r="D48" s="1610" t="s">
        <v>1998</v>
      </c>
      <c r="E48" s="1610" t="s">
        <v>1999</v>
      </c>
      <c r="F48" s="1610" t="s">
        <v>2000</v>
      </c>
      <c r="G48" s="1610" t="s">
        <v>2001</v>
      </c>
      <c r="H48" s="1610" t="s">
        <v>2002</v>
      </c>
      <c r="I48" s="1610"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1442.46</v>
      </c>
      <c r="B3" s="22">
        <f>IF(C3="否",G5-AT5,G5)</f>
        <v>198.07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198.07</v>
      </c>
      <c r="H5" s="27">
        <f t="shared" ref="H5:AT5" si="0">SUM(H13:H641)</f>
        <v>198.07</v>
      </c>
      <c r="I5" s="27">
        <f t="shared" si="0"/>
        <v>198.07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198.07</v>
      </c>
      <c r="BA5" s="29">
        <f t="shared" si="1"/>
        <v>198.07</v>
      </c>
      <c r="BB5" s="29">
        <f t="shared" si="1"/>
        <v>198.07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1442.46</v>
      </c>
      <c r="F6" s="27" t="s">
        <v>1</v>
      </c>
      <c r="G6" s="27" t="s">
        <v>2</v>
      </c>
      <c r="H6" s="33">
        <f>SUMIF(I$12:AB$12,"总值",I6:AB6)</f>
        <v>1442.46</v>
      </c>
      <c r="I6" s="27">
        <f t="shared" ref="I6:AB6" si="2">ROUND($A$3*I5/$B$3,2)</f>
        <v>1442.46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1442.46</v>
      </c>
      <c r="AZ6" s="27" t="s">
        <v>3</v>
      </c>
      <c r="BA6" s="27">
        <f>ROUND($AY$6*BA5/$AZ$5,2)</f>
        <v>1442.46</v>
      </c>
      <c r="BB6" s="27">
        <f>ROUND($AY$6*BB5/$AZ$5,2)</f>
        <v>1442.46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1442.46</v>
      </c>
      <c r="F13" s="81"/>
      <c r="G13" s="82">
        <f t="shared" ref="G13:G20" si="7">H13+AC13+AT13</f>
        <v>198.07</v>
      </c>
      <c r="H13" s="33">
        <f t="shared" ref="H13:H20" si="8">SUMIF(I$12:AB$12,"总值",I13:AB13)</f>
        <v>198.07</v>
      </c>
      <c r="I13" s="2730">
        <v>198.07</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1442.46</v>
      </c>
      <c r="AZ13" s="27">
        <f t="shared" ref="AZ13:AZ20" si="12">BA13+BL13</f>
        <v>198.07</v>
      </c>
      <c r="BA13" s="27">
        <f t="shared" ref="BA13:BA20" si="13">SUM(BB13:BK13)</f>
        <v>198.07</v>
      </c>
      <c r="BB13" s="27">
        <f t="shared" ref="BB13:BB20" si="14">IF($D13="是",I13-J13,0)</f>
        <v>198.07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3" t="s">
        <v>203</v>
      </c>
      <c r="B2" s="3363"/>
      <c r="C2" s="3363"/>
      <c r="D2" s="1888" t="s">
        <v>204</v>
      </c>
      <c r="E2" s="106" t="s">
        <v>205</v>
      </c>
      <c r="F2" s="3082"/>
      <c r="G2" s="1181"/>
      <c r="H2" s="1182"/>
      <c r="I2" s="1183" t="s">
        <v>849</v>
      </c>
      <c r="J2" s="3082"/>
      <c r="K2" s="3082"/>
      <c r="L2" s="3082"/>
      <c r="M2" s="3082"/>
      <c r="N2" s="3082"/>
      <c r="O2" s="3082"/>
      <c r="P2" s="3082"/>
    </row>
    <row r="3" spans="1:16" ht="15.75" thickBot="1">
      <c r="A3" s="3364" t="s">
        <v>206</v>
      </c>
      <c r="B3" s="3364"/>
      <c r="C3" s="3364"/>
      <c r="D3" s="107">
        <f>'数据-基础表'!AY6</f>
        <v>1442.46</v>
      </c>
      <c r="E3" s="107">
        <f>'数据-基础表'!AZ5</f>
        <v>198.07</v>
      </c>
      <c r="F3" s="3082"/>
      <c r="G3" s="278" t="s">
        <v>850</v>
      </c>
      <c r="H3" s="273" t="s">
        <v>851</v>
      </c>
      <c r="I3" s="1889">
        <f>ROUND('数据-基础表'!B3/'数据-基础表'!A3,2)</f>
        <v>0.14000000000000001</v>
      </c>
      <c r="J3" s="3082"/>
      <c r="K3" s="3082"/>
      <c r="L3" s="3082"/>
      <c r="M3" s="3082"/>
      <c r="N3" s="3082"/>
      <c r="O3" s="3082"/>
      <c r="P3" s="3082"/>
    </row>
    <row r="4" spans="1:16" ht="15">
      <c r="A4" s="3365"/>
      <c r="B4" s="3366"/>
      <c r="C4" s="3367"/>
      <c r="D4" s="108" t="s">
        <v>204</v>
      </c>
      <c r="E4" s="109" t="s">
        <v>205</v>
      </c>
      <c r="F4" s="3082"/>
      <c r="G4" s="1184"/>
      <c r="H4" s="273" t="s">
        <v>852</v>
      </c>
      <c r="I4" s="1889">
        <f>ROUND(SUMIF('数据-基础表'!I9:AS9,"地上",'数据-基础表'!I5:AS5)/'数据-基础表'!A3,2)</f>
        <v>0.14000000000000001</v>
      </c>
      <c r="J4" s="3082"/>
      <c r="K4" s="3082"/>
      <c r="L4" s="3082"/>
      <c r="M4" s="3082"/>
      <c r="N4" s="3082"/>
      <c r="O4" s="3082"/>
      <c r="P4" s="3082"/>
    </row>
    <row r="5" spans="1:16">
      <c r="A5" s="110" t="s">
        <v>207</v>
      </c>
      <c r="B5" s="3368" t="s">
        <v>230</v>
      </c>
      <c r="C5" s="3368"/>
      <c r="D5" s="111">
        <f>ROUND($D$3*E5/$E$3,2)</f>
        <v>0</v>
      </c>
      <c r="E5" s="112">
        <f>SUMIF('数据-基础表'!$11:$11,"住宅",'数据-基础表'!$5:$5)</f>
        <v>0</v>
      </c>
      <c r="F5" s="3082"/>
      <c r="G5" s="278" t="s">
        <v>853</v>
      </c>
      <c r="H5" s="273" t="s">
        <v>851</v>
      </c>
      <c r="I5" s="1889">
        <f>ROUND(E31/D31,2)</f>
        <v>0.14000000000000001</v>
      </c>
      <c r="J5" s="3082"/>
      <c r="K5" s="3082"/>
      <c r="L5" s="3082"/>
      <c r="M5" s="3082"/>
      <c r="N5" s="3082"/>
      <c r="O5" s="3082"/>
      <c r="P5" s="3082"/>
    </row>
    <row r="6" spans="1:16" ht="15" thickBot="1">
      <c r="A6" s="113"/>
      <c r="B6" s="3368" t="s">
        <v>208</v>
      </c>
      <c r="C6" s="3368"/>
      <c r="D6" s="111">
        <f>ROUND($D$3*E6/$E$3,2)</f>
        <v>1442.46</v>
      </c>
      <c r="E6" s="112">
        <f>E3-E5</f>
        <v>198.07</v>
      </c>
      <c r="F6" s="3082"/>
      <c r="G6" s="1184"/>
      <c r="H6" s="273" t="s">
        <v>852</v>
      </c>
      <c r="I6" s="1889">
        <f>ROUND(F31/D31,2)</f>
        <v>0.14000000000000001</v>
      </c>
      <c r="J6" s="3082"/>
      <c r="K6" s="3082"/>
      <c r="L6" s="3082"/>
      <c r="M6" s="3082"/>
      <c r="N6" s="3082"/>
      <c r="O6" s="3082"/>
      <c r="P6" s="3082"/>
    </row>
    <row r="7" spans="1:16" ht="15">
      <c r="A7" s="3360"/>
      <c r="B7" s="3361"/>
      <c r="C7" s="3362"/>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1442.46</v>
      </c>
      <c r="E8" s="116">
        <f>SUMIF('数据-基础表'!BB10:BK10,"地上",'数据-基础表'!BB5:BK5)</f>
        <v>198.07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1442.46</v>
      </c>
      <c r="E16" s="120">
        <f>SUM(E8:E15)</f>
        <v>198.07</v>
      </c>
      <c r="F16" s="3082"/>
      <c r="G16" s="3083"/>
      <c r="H16" s="956" t="s">
        <v>219</v>
      </c>
      <c r="I16" s="957"/>
      <c r="J16" s="1897"/>
      <c r="K16" s="3354" t="s">
        <v>2547</v>
      </c>
      <c r="L16" s="3355"/>
      <c r="M16" s="3355"/>
      <c r="N16" s="3355"/>
      <c r="O16" s="3355"/>
      <c r="P16" s="3356"/>
    </row>
    <row r="17" spans="1:19" ht="15">
      <c r="A17" s="121" t="s">
        <v>216</v>
      </c>
      <c r="B17" s="122" t="s">
        <v>217</v>
      </c>
      <c r="C17" s="2177" t="s">
        <v>2300</v>
      </c>
      <c r="D17" s="108" t="s">
        <v>204</v>
      </c>
      <c r="E17" s="124" t="s">
        <v>205</v>
      </c>
      <c r="F17" s="125"/>
      <c r="G17" s="1319"/>
      <c r="H17" s="958" t="s">
        <v>218</v>
      </c>
      <c r="I17" s="959" t="s">
        <v>2299</v>
      </c>
      <c r="J17" s="1897"/>
      <c r="K17" s="3357" t="s">
        <v>2548</v>
      </c>
      <c r="L17" s="3358"/>
      <c r="M17" s="3359"/>
      <c r="N17" s="3357" t="s">
        <v>2549</v>
      </c>
      <c r="O17" s="3358"/>
      <c r="P17" s="3359"/>
      <c r="R17" s="2178" t="s">
        <v>2298</v>
      </c>
      <c r="S17" s="142"/>
    </row>
    <row r="18" spans="1:19" ht="15">
      <c r="A18" s="117"/>
      <c r="B18" s="128"/>
      <c r="C18" s="129"/>
      <c r="D18" s="2483"/>
      <c r="E18" s="130" t="s">
        <v>220</v>
      </c>
      <c r="F18" s="131" t="s">
        <v>221</v>
      </c>
      <c r="G18" s="1320" t="s">
        <v>222</v>
      </c>
      <c r="H18" s="960" t="s">
        <v>223</v>
      </c>
      <c r="I18" s="961"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3183</v>
      </c>
      <c r="D19" s="111">
        <f t="shared" ref="D19:D26" si="1">ROUND($D$3*E19/$E$3,2)</f>
        <v>1442.46</v>
      </c>
      <c r="E19" s="134">
        <f t="shared" ref="E19:E26" si="2">SUM(F19:G19)</f>
        <v>198.07</v>
      </c>
      <c r="F19" s="3084">
        <f>'数据-基础表'!I13</f>
        <v>198.07</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1442.46</v>
      </c>
      <c r="S19" s="2180">
        <f t="shared" si="5"/>
        <v>198.07</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1442.46</v>
      </c>
      <c r="E27" s="141">
        <f>IF(SUM(E19:E26)='数据-基础表'!BA5,SUM(E19:E26),IF(F27="地上面积有误","面积有误","地下面积有误"))</f>
        <v>198.07</v>
      </c>
      <c r="F27" s="134">
        <f>IF(SUM(F19:F26)=E8,SUM(F19:F26),"地上面积有误")</f>
        <v>198.07</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1442.46</v>
      </c>
      <c r="S27" s="273">
        <f>IF(SUM(S19:S26)=$E$3,SUM(S19:S26),SUM(S19:S26)&amp;"误差"&amp;ROUND(SUM(S19:S26)-E3,2))</f>
        <v>198.07</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2309</v>
      </c>
      <c r="D31" s="1323">
        <f>D27+D30</f>
        <v>1442.46</v>
      </c>
      <c r="E31" s="1323">
        <f>E27+E30</f>
        <v>198.07</v>
      </c>
      <c r="F31" s="1324">
        <f>F27+F30</f>
        <v>198.07</v>
      </c>
      <c r="G31" s="1325">
        <f>G27+G30</f>
        <v>0</v>
      </c>
      <c r="H31" s="3082"/>
      <c r="I31" s="3082"/>
      <c r="J31" s="3082"/>
      <c r="K31" s="3082"/>
      <c r="L31" s="3082"/>
      <c r="M31" s="3082"/>
      <c r="N31" s="3082"/>
      <c r="O31" s="3082"/>
      <c r="P31" s="3082"/>
    </row>
    <row r="32" spans="1:19">
      <c r="A32" s="1897"/>
      <c r="B32" s="2221" t="s">
        <v>2308</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7" sqref="I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44357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2310</v>
      </c>
      <c r="AI5" s="169" t="s">
        <v>2279</v>
      </c>
      <c r="AJ5" s="169" t="s">
        <v>258</v>
      </c>
      <c r="AK5" s="157" t="s">
        <v>259</v>
      </c>
      <c r="AL5" s="157" t="s">
        <v>260</v>
      </c>
      <c r="AM5" s="170" t="s">
        <v>261</v>
      </c>
      <c r="AN5" s="2245" t="s">
        <v>2357</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3008</v>
      </c>
      <c r="D6" s="2187">
        <f>SUMIF(项目基本情况!D$15:I$15,C6,项目基本情况!D$18:I$18)</f>
        <v>40</v>
      </c>
      <c r="E6" s="2188">
        <f>IF(B6="","",SUMIF(项目基本情况!D$15:I$15,C6,项目基本情况!D$17:I$17))</f>
        <v>58966</v>
      </c>
      <c r="F6" s="172">
        <f>SUMIF(项目基本情况!D$15:I$15,C6,项目基本情况!D$19:I$19)</f>
        <v>40</v>
      </c>
      <c r="G6" s="173">
        <f>IF(ISERROR(ROUND(POWER(1+H6,D6-F6)*(POWER(1+H6,F6)-1)/(POWER(1+H6,D6)-1),3)),0,ROUND(POWER(1+H6,D6-F6)*(POWER(1+H6,F6)-1)/(POWER(1+H6,D6)-1),3))</f>
        <v>1</v>
      </c>
      <c r="H6" s="2738">
        <v>6.5000000000000002E-2</v>
      </c>
      <c r="I6" s="2738">
        <v>7.0000000000000007E-2</v>
      </c>
      <c r="J6" s="174">
        <v>0.08</v>
      </c>
      <c r="K6" s="177">
        <f>SUMIF('数据-汇总表'!C$19:C$33,'数据-取费表'!A6,'数据-汇总表'!E$19:E$33)</f>
        <v>198.07</v>
      </c>
      <c r="L6" s="2739">
        <v>2000</v>
      </c>
      <c r="M6" s="175">
        <f t="shared" ref="M6:M14" si="0">ROUND(K6*L6/10000,0)</f>
        <v>40</v>
      </c>
      <c r="N6" s="2740">
        <v>1</v>
      </c>
      <c r="O6" s="175">
        <f>IF($N$5="成新度","——",ROUND(M6*N6,0))</f>
        <v>40</v>
      </c>
      <c r="P6" s="176">
        <f>IF($N$5="成新度","——",M6-O6)</f>
        <v>0</v>
      </c>
      <c r="Q6" s="2741">
        <v>0.05</v>
      </c>
      <c r="R6" s="177">
        <f>SUMIF('数据-汇总表'!C$19:C$33,A6,'数据-汇总表'!R$19:R$33)</f>
        <v>1442.46</v>
      </c>
      <c r="S6" s="132">
        <f>IF('数据-汇总表'!$I$17="按面积比例",SUMIF('数据-汇总表'!C$19:C$33,A6,'数据-汇总表'!K$19:K$33),SUMIF('数据-汇总表'!C$19:C$33,A6,'数据-汇总表'!N$19:N$33))</f>
        <v>0</v>
      </c>
      <c r="T6" s="2113" t="str">
        <f>IF($T$4="按面积比例",IF(ISERROR(ROUND($M$14*S6/S$16,0)),"0",ROUND($M$14*S6/S$16,0)),"需自行计算录入")</f>
        <v>0</v>
      </c>
      <c r="U6" s="178">
        <v>519000</v>
      </c>
      <c r="V6" s="179">
        <v>0</v>
      </c>
      <c r="W6" s="179">
        <v>0.1</v>
      </c>
      <c r="X6" s="2200"/>
      <c r="Y6" s="180">
        <v>0.9</v>
      </c>
      <c r="Z6" s="181"/>
      <c r="AA6" s="174"/>
      <c r="AB6" s="174"/>
      <c r="AC6" s="2203"/>
      <c r="AD6" s="182"/>
      <c r="AE6" s="960">
        <f ca="1">IF(AN6="",0,SUMIF(INDIRECT("'"&amp;AN6&amp;"'"&amp;"!E:E"),$AE$5,INDIRECT("'"&amp;AN6&amp;"'"&amp;"!F:F")))</f>
        <v>39.5</v>
      </c>
      <c r="AF6" s="139"/>
      <c r="AG6" s="1196">
        <f>IF(AF6="",0,AE6-AF6)</f>
        <v>0</v>
      </c>
      <c r="AH6" s="139">
        <v>1</v>
      </c>
      <c r="AI6" s="185">
        <v>1</v>
      </c>
      <c r="AJ6" s="186"/>
      <c r="AK6" s="187">
        <v>1.4999999999999999E-2</v>
      </c>
      <c r="AL6" s="188">
        <v>1.5E-3</v>
      </c>
      <c r="AM6" s="2752">
        <v>0.03</v>
      </c>
      <c r="AN6" s="2246" t="s">
        <v>3181</v>
      </c>
      <c r="AO6" s="3092"/>
      <c r="AP6" s="1187">
        <f>ROUND(1-1/(1+H6)^F6,3)</f>
        <v>0.91900000000000004</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1670</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1670</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6.5000000000000002E-2</v>
      </c>
      <c r="I16" s="202"/>
      <c r="J16" s="202"/>
      <c r="K16" s="203">
        <f>SUM(K6:K15)</f>
        <v>198.07</v>
      </c>
      <c r="L16" s="204">
        <f>ROUND(M16*10000/SUM(K6:K14),0)</f>
        <v>2019</v>
      </c>
      <c r="M16" s="204">
        <f>SUM(M6:M14)</f>
        <v>40</v>
      </c>
      <c r="N16" s="205">
        <f>ROUND(SUMPRODUCT(M6:M14,N6:N14)/M16,3)</f>
        <v>1</v>
      </c>
      <c r="O16" s="204">
        <f>SUM(O6:O14)</f>
        <v>40</v>
      </c>
      <c r="P16" s="204">
        <f>SUM(P6:P14)</f>
        <v>0</v>
      </c>
      <c r="Q16" s="206">
        <f>ROUND(SUMPRODUCT(Q6:Q13,K6:K13)/SUMPRODUCT((Q6:Q13&gt;0)*(K6:K13)),2)</f>
        <v>0.05</v>
      </c>
      <c r="R16" s="2190">
        <f>SUM(R6:R13)</f>
        <v>1442.46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0.91900000000000004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0.05</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140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0.03</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2438</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9</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1317</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9</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69" t="s">
        <v>1654</v>
      </c>
      <c r="B1" s="3370"/>
      <c r="C1" s="3370"/>
      <c r="D1" s="3370"/>
      <c r="E1" s="3370"/>
      <c r="F1" s="3370"/>
      <c r="G1" s="3370"/>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198.07</v>
      </c>
      <c r="C1" s="3194"/>
      <c r="D1" s="3194"/>
      <c r="E1" s="3194"/>
      <c r="F1" s="3194"/>
      <c r="G1" s="3195"/>
      <c r="H1" s="3195"/>
      <c r="I1" s="3195"/>
      <c r="J1" s="3195"/>
    </row>
    <row r="2" spans="1:10" ht="16.5">
      <c r="A2" s="3185" t="s">
        <v>2824</v>
      </c>
      <c r="B2" s="3185">
        <f>SUM(C14:C23)</f>
        <v>1442.46</v>
      </c>
      <c r="C2" s="3194"/>
      <c r="D2" s="3194"/>
      <c r="E2" s="3194"/>
      <c r="F2" s="3194"/>
      <c r="G2" s="3195"/>
      <c r="H2" s="3195"/>
      <c r="I2" s="3195"/>
      <c r="J2" s="3195"/>
    </row>
    <row r="3" spans="1:10" ht="16.5">
      <c r="A3" s="3185" t="s">
        <v>2825</v>
      </c>
      <c r="B3" s="3187">
        <f>项目基本情况!D3</f>
        <v>44357</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209</v>
      </c>
      <c r="C5" s="3185">
        <f ca="1">ROUND(B5*10000/$B$1,0)</f>
        <v>10552</v>
      </c>
      <c r="D5" s="3185">
        <f ca="1">ROUND(B5*10000/$B$2,0)</f>
        <v>1449</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198.07</v>
      </c>
      <c r="C14" s="3191">
        <f>结果表!K38</f>
        <v>1442.46</v>
      </c>
      <c r="D14" s="3191">
        <f ca="1">结果表!C42</f>
        <v>209</v>
      </c>
      <c r="E14" s="3191">
        <f ca="1">ROUND(D14*10000/B14,0)</f>
        <v>10552</v>
      </c>
      <c r="F14" s="3191">
        <f ca="1">ROUND(D14*10000/C14,0)</f>
        <v>1449</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90" zoomScaleNormal="100" zoomScaleSheetLayoutView="90" zoomScalePageLayoutView="80" workbookViewId="0">
      <selection activeCell="F28" sqref="F2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15" t="str">
        <f>项目基本情况!K2</f>
        <v>吉林省延吉市爱丹路1709号101出让国有建设用地使用权</v>
      </c>
      <c r="B2" s="3416"/>
      <c r="C2" s="3417"/>
      <c r="D2" s="3417"/>
      <c r="E2" s="3417"/>
      <c r="F2" s="3417"/>
      <c r="G2" s="3416"/>
      <c r="H2" s="3416"/>
      <c r="I2" s="3418"/>
      <c r="J2" s="1912"/>
      <c r="K2" s="1911"/>
      <c r="L2" s="1911"/>
      <c r="M2" s="1911"/>
      <c r="N2" s="1911"/>
      <c r="O2" s="1911"/>
      <c r="P2" s="1911"/>
      <c r="Q2" s="1911"/>
      <c r="R2" s="1911"/>
      <c r="S2" s="1911"/>
      <c r="T2" s="1911"/>
      <c r="U2" s="1911"/>
      <c r="V2" s="1911"/>
    </row>
    <row r="3" spans="1:22" ht="14.25">
      <c r="A3" s="3408" t="s">
        <v>298</v>
      </c>
      <c r="B3" s="3409"/>
      <c r="C3" s="3409"/>
      <c r="D3" s="3409"/>
      <c r="E3" s="3409"/>
      <c r="F3" s="3409"/>
      <c r="G3" s="3409"/>
      <c r="H3" s="3409"/>
      <c r="I3" s="3409"/>
      <c r="J3" s="1912"/>
      <c r="K3" s="1911"/>
      <c r="L3" s="1911"/>
      <c r="M3" s="1911"/>
      <c r="N3" s="1911"/>
      <c r="O3" s="1911"/>
      <c r="P3" s="1911"/>
      <c r="Q3" s="1911"/>
      <c r="R3" s="1911"/>
      <c r="S3" s="1911"/>
      <c r="T3" s="1911"/>
      <c r="U3" s="1911"/>
      <c r="V3" s="1911"/>
    </row>
    <row r="4" spans="1:22" ht="14.25">
      <c r="A4" s="256" t="s">
        <v>299</v>
      </c>
      <c r="B4" s="257" t="s">
        <v>300</v>
      </c>
      <c r="C4" s="258" t="s">
        <v>3357</v>
      </c>
      <c r="D4" s="258" t="s">
        <v>3359</v>
      </c>
      <c r="E4" s="3374" t="s">
        <v>301</v>
      </c>
      <c r="F4" s="3375"/>
      <c r="G4" s="3375"/>
      <c r="H4" s="3375"/>
      <c r="I4" s="3410"/>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373" t="s">
        <v>302</v>
      </c>
      <c r="B5" s="3402">
        <v>25</v>
      </c>
      <c r="C5" s="3400">
        <v>8</v>
      </c>
      <c r="D5" s="3404">
        <v>2</v>
      </c>
      <c r="E5" s="259" t="s">
        <v>303</v>
      </c>
      <c r="F5" s="260"/>
      <c r="G5" s="260"/>
      <c r="H5" s="260"/>
      <c r="I5" s="261"/>
      <c r="J5" s="1912"/>
      <c r="K5" s="1911"/>
      <c r="L5" s="1911"/>
      <c r="M5" s="1911"/>
      <c r="N5" s="1911"/>
      <c r="O5" s="1911"/>
      <c r="P5" s="1911"/>
      <c r="Q5" s="1911"/>
      <c r="R5" s="1911"/>
      <c r="S5" s="1911"/>
      <c r="T5" s="1911"/>
      <c r="U5" s="1911"/>
      <c r="V5" s="1911"/>
    </row>
    <row r="6" spans="1:22" ht="14.25">
      <c r="A6" s="3373"/>
      <c r="B6" s="3402"/>
      <c r="C6" s="3403"/>
      <c r="D6" s="3404"/>
      <c r="E6" s="259" t="s">
        <v>304</v>
      </c>
      <c r="F6" s="260"/>
      <c r="G6" s="260"/>
      <c r="H6" s="260"/>
      <c r="I6" s="261"/>
      <c r="J6" s="1912"/>
      <c r="K6" s="1911"/>
      <c r="L6" s="1911"/>
      <c r="M6" s="1911"/>
      <c r="N6" s="1911"/>
      <c r="O6" s="1911"/>
      <c r="P6" s="1911"/>
      <c r="Q6" s="1911"/>
      <c r="R6" s="1911"/>
      <c r="S6" s="1911"/>
      <c r="T6" s="1911"/>
      <c r="U6" s="1911"/>
      <c r="V6" s="1911"/>
    </row>
    <row r="7" spans="1:22" ht="14.25">
      <c r="A7" s="3373"/>
      <c r="B7" s="3402"/>
      <c r="C7" s="3401"/>
      <c r="D7" s="3404"/>
      <c r="E7" s="259" t="s">
        <v>305</v>
      </c>
      <c r="F7" s="260"/>
      <c r="G7" s="260"/>
      <c r="H7" s="260"/>
      <c r="I7" s="261"/>
      <c r="J7" s="1912"/>
      <c r="K7" s="1911"/>
      <c r="L7" s="1911"/>
      <c r="M7" s="1911"/>
      <c r="N7" s="1911"/>
      <c r="O7" s="1911"/>
      <c r="P7" s="1911"/>
      <c r="Q7" s="1911"/>
      <c r="R7" s="1911"/>
      <c r="S7" s="1911"/>
      <c r="T7" s="1911"/>
      <c r="U7" s="1911"/>
      <c r="V7" s="1911"/>
    </row>
    <row r="8" spans="1:22" ht="14.25">
      <c r="A8" s="3373" t="s">
        <v>306</v>
      </c>
      <c r="B8" s="3402">
        <v>15</v>
      </c>
      <c r="C8" s="3400"/>
      <c r="D8" s="3404"/>
      <c r="E8" s="259" t="s">
        <v>307</v>
      </c>
      <c r="F8" s="260"/>
      <c r="G8" s="260"/>
      <c r="H8" s="260"/>
      <c r="I8" s="261"/>
      <c r="J8" s="1912"/>
      <c r="K8" s="1911"/>
      <c r="L8" s="1911"/>
      <c r="M8" s="1911"/>
      <c r="N8" s="1911"/>
      <c r="O8" s="1911"/>
      <c r="P8" s="1911"/>
      <c r="Q8" s="1911"/>
      <c r="R8" s="1911"/>
      <c r="S8" s="1911"/>
      <c r="T8" s="1911"/>
      <c r="U8" s="1911"/>
      <c r="V8" s="1911"/>
    </row>
    <row r="9" spans="1:22" ht="14.25">
      <c r="A9" s="3373"/>
      <c r="B9" s="3402"/>
      <c r="C9" s="3401"/>
      <c r="D9" s="3404"/>
      <c r="E9" s="259" t="s">
        <v>308</v>
      </c>
      <c r="F9" s="260"/>
      <c r="G9" s="260"/>
      <c r="H9" s="260"/>
      <c r="I9" s="261"/>
      <c r="J9" s="1912"/>
      <c r="K9" s="1911"/>
      <c r="L9" s="1911"/>
      <c r="M9" s="1911"/>
      <c r="N9" s="1911"/>
      <c r="O9" s="1911"/>
      <c r="P9" s="1911"/>
      <c r="Q9" s="1911"/>
      <c r="R9" s="1911"/>
      <c r="S9" s="1911"/>
      <c r="T9" s="1911"/>
      <c r="U9" s="1911"/>
      <c r="V9" s="1911"/>
    </row>
    <row r="10" spans="1:22" ht="14.25">
      <c r="A10" s="3373" t="s">
        <v>309</v>
      </c>
      <c r="B10" s="3402">
        <v>15</v>
      </c>
      <c r="C10" s="3400"/>
      <c r="D10" s="3404"/>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3"/>
      <c r="B11" s="3402"/>
      <c r="C11" s="3401"/>
      <c r="D11" s="3404"/>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3" t="s">
        <v>312</v>
      </c>
      <c r="B12" s="3402">
        <v>15</v>
      </c>
      <c r="C12" s="3400"/>
      <c r="D12" s="3404"/>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3"/>
      <c r="B13" s="3402"/>
      <c r="C13" s="3401"/>
      <c r="D13" s="3404"/>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3" t="s">
        <v>315</v>
      </c>
      <c r="B14" s="3402">
        <v>30</v>
      </c>
      <c r="C14" s="3400"/>
      <c r="D14" s="3404"/>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3"/>
      <c r="B15" s="3402"/>
      <c r="C15" s="3403"/>
      <c r="D15" s="3404"/>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3"/>
      <c r="B16" s="3402"/>
      <c r="C16" s="3401"/>
      <c r="D16" s="340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8</v>
      </c>
      <c r="D17" s="263">
        <f>SUM(D5:D16)</f>
        <v>2</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0.8</v>
      </c>
      <c r="D18" s="265">
        <f>1-C18</f>
        <v>0.19999999999999996</v>
      </c>
      <c r="E18" s="3405" t="s">
        <v>2961</v>
      </c>
      <c r="F18" s="3406"/>
      <c r="G18" s="3406"/>
      <c r="H18" s="3406"/>
      <c r="I18" s="340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171</v>
      </c>
      <c r="D19" s="269">
        <f ca="1">SUMIF(INDIRECT("'"&amp;D4&amp;"'"&amp;"!A:A"),结果表!B19,INDIRECT("'"&amp;D4&amp;"'"&amp;"!B:B"))</f>
        <v>362.17502855240792</v>
      </c>
      <c r="E19" s="266" t="s">
        <v>323</v>
      </c>
      <c r="F19" s="267" t="s">
        <v>322</v>
      </c>
      <c r="G19" s="270">
        <f ca="1">ROUND(C19*$C$18+D19*$D$18,0)</f>
        <v>209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8633</v>
      </c>
      <c r="D20" s="275">
        <f ca="1">SUMIF(INDIRECT("'"&amp;D4&amp;"'"&amp;"!A:A"),结果表!B20,INDIRECT("'"&amp;D4&amp;"'"&amp;"!B:B"))</f>
        <v>18285</v>
      </c>
      <c r="E20" s="272"/>
      <c r="F20" s="273" t="s">
        <v>325</v>
      </c>
      <c r="G20" s="276">
        <f ca="1">ROUND(C20*$C$18+D20*$D$18,0)</f>
        <v>10563</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1187</v>
      </c>
      <c r="D21" s="149">
        <f ca="1">SUMIF(INDIRECT("'"&amp;D4&amp;"'"&amp;"!A:A"),结果表!B21,INDIRECT("'"&amp;D4&amp;"'"&amp;"!B:B"))</f>
        <v>2511</v>
      </c>
      <c r="E21" s="272"/>
      <c r="F21" s="278" t="s">
        <v>327</v>
      </c>
      <c r="G21" s="280">
        <f ca="1">ROUND(C21*$C$18+D21*$D$18,0)</f>
        <v>1452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1.1179826231134968</v>
      </c>
      <c r="E22" s="282"/>
      <c r="F22" s="283"/>
      <c r="G22" s="284">
        <f ca="1">ROUND(G19/('数据-汇总表'!D3/666.67),0)</f>
        <v>97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79"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0"/>
      <c r="B25" s="1275" t="s">
        <v>331</v>
      </c>
      <c r="C25" s="288">
        <f>IF(B30=0,0,C30)</f>
        <v>0</v>
      </c>
      <c r="D25" s="289"/>
      <c r="E25" s="309"/>
      <c r="F25" s="309"/>
      <c r="G25" s="309"/>
      <c r="H25" s="309"/>
      <c r="I25" s="309"/>
      <c r="J25" s="1911"/>
      <c r="K25" s="1209" t="str">
        <f ca="1">项目基本情况!B16&amp;"国有建设用地使用权价格："&amp;O38&amp;"万元"</f>
        <v>出让国有建设用地使用权价格：209万元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大写金额：人民币贰佰零玖万元整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单位面积地价：1449元/平方米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楼面地价：10552元/平方米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07" t="s">
        <v>2963</v>
      </c>
      <c r="B31" s="3407"/>
      <c r="C31" s="3407"/>
      <c r="D31" s="3407"/>
      <c r="E31" s="3407"/>
      <c r="F31" s="3407"/>
      <c r="G31" s="3407"/>
      <c r="H31" s="3407"/>
      <c r="I31" s="3407"/>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1678</v>
      </c>
      <c r="C32" s="264">
        <f ca="1">G19-C24</f>
        <v>209</v>
      </c>
      <c r="D32" s="3005" t="s">
        <v>1679</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1680</v>
      </c>
      <c r="C33" s="262">
        <f ca="1">ROUND(C32*10000/'数据-汇总表'!E3,0)</f>
        <v>10552</v>
      </c>
      <c r="D33" s="1334" t="s">
        <v>1681</v>
      </c>
      <c r="E33" s="3379"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1682</v>
      </c>
      <c r="C34" s="262">
        <f ca="1">ROUND(C32*10000/'数据-汇总表'!D3,0)</f>
        <v>1449</v>
      </c>
      <c r="D34" s="1336" t="s">
        <v>1681</v>
      </c>
      <c r="E34" s="3423"/>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97</v>
      </c>
      <c r="D35" s="1339" t="s">
        <v>1683</v>
      </c>
      <c r="E35" s="3424"/>
      <c r="F35" s="299" t="s">
        <v>342</v>
      </c>
      <c r="G35" s="970"/>
      <c r="H35" s="969" t="s">
        <v>343</v>
      </c>
      <c r="I35" s="309"/>
      <c r="J35" s="1911"/>
      <c r="K35" s="3397" t="s">
        <v>350</v>
      </c>
      <c r="L35" s="3397" t="s">
        <v>351</v>
      </c>
      <c r="M35" s="1218" t="s">
        <v>352</v>
      </c>
      <c r="N35" s="3397" t="s">
        <v>353</v>
      </c>
      <c r="O35" s="3397" t="s">
        <v>354</v>
      </c>
      <c r="P35" s="1911"/>
      <c r="V35" s="1911"/>
    </row>
    <row r="36" spans="1:26" ht="16.5" customHeight="1">
      <c r="A36" s="301" t="s">
        <v>344</v>
      </c>
      <c r="B36" s="302" t="s">
        <v>333</v>
      </c>
      <c r="C36" s="303" t="s">
        <v>345</v>
      </c>
      <c r="D36" s="303" t="s">
        <v>346</v>
      </c>
      <c r="E36" s="304" t="s">
        <v>347</v>
      </c>
      <c r="F36" s="309"/>
      <c r="G36" s="309"/>
      <c r="H36" s="309"/>
      <c r="I36" s="309"/>
      <c r="J36" s="1913"/>
      <c r="K36" s="3398"/>
      <c r="L36" s="3398"/>
      <c r="M36" s="1220" t="s">
        <v>355</v>
      </c>
      <c r="N36" s="3398"/>
      <c r="O36" s="3398"/>
      <c r="P36" s="1911"/>
      <c r="V36" s="1911"/>
    </row>
    <row r="37" spans="1:26" ht="16.5" customHeight="1" thickBot="1">
      <c r="A37" s="1214" t="s">
        <v>348</v>
      </c>
      <c r="B37" s="305"/>
      <c r="C37" s="292"/>
      <c r="D37" s="292"/>
      <c r="E37" s="293"/>
      <c r="F37" s="309"/>
      <c r="G37" s="309"/>
      <c r="H37" s="309"/>
      <c r="I37" s="309"/>
      <c r="J37" s="1913"/>
      <c r="K37" s="3399"/>
      <c r="L37" s="3399"/>
      <c r="M37" s="1221"/>
      <c r="N37" s="3399"/>
      <c r="O37" s="3399"/>
      <c r="P37" s="1911"/>
      <c r="V37" s="1911"/>
    </row>
    <row r="38" spans="1:26" ht="16.5" customHeight="1" thickBot="1">
      <c r="A38" s="1214" t="s">
        <v>349</v>
      </c>
      <c r="B38" s="305"/>
      <c r="C38" s="292"/>
      <c r="D38" s="292"/>
      <c r="E38" s="293"/>
      <c r="F38" s="309"/>
      <c r="G38" s="309"/>
      <c r="H38" s="309"/>
      <c r="I38" s="309"/>
      <c r="J38" s="1913"/>
      <c r="K38" s="1222">
        <f>'数据-汇总表'!D3</f>
        <v>1442.46</v>
      </c>
      <c r="L38" s="1223">
        <f>'数据-汇总表'!E3</f>
        <v>198.07</v>
      </c>
      <c r="M38" s="1223">
        <f ca="1">C34</f>
        <v>1449</v>
      </c>
      <c r="N38" s="1223">
        <f ca="1">C33</f>
        <v>10552</v>
      </c>
      <c r="O38" s="1224">
        <f ca="1">C32</f>
        <v>209</v>
      </c>
      <c r="P38" s="1911"/>
      <c r="V38" s="1911"/>
    </row>
    <row r="39" spans="1:26" ht="16.5" customHeight="1" thickBot="1">
      <c r="A39" s="1219"/>
      <c r="B39" s="306"/>
      <c r="C39" s="307"/>
      <c r="D39" s="307"/>
      <c r="E39" s="308"/>
      <c r="F39" s="309"/>
      <c r="G39" s="309"/>
      <c r="H39" s="309"/>
      <c r="I39" s="309"/>
      <c r="J39" s="1913"/>
      <c r="K39" s="3437" t="str">
        <f>MID(A44,3,LEN(A44)-2)</f>
        <v/>
      </c>
      <c r="L39" s="3438"/>
      <c r="M39" s="3438"/>
      <c r="N39" s="3439"/>
      <c r="O39" s="1341" t="str">
        <f>C44</f>
        <v>——</v>
      </c>
      <c r="P39" s="1911"/>
      <c r="V39" s="1911"/>
    </row>
    <row r="40" spans="1:26" ht="19.5" thickBot="1">
      <c r="A40" s="104" t="s">
        <v>864</v>
      </c>
      <c r="B40" s="309"/>
      <c r="C40" s="309"/>
      <c r="D40" s="309"/>
      <c r="E40" s="309"/>
      <c r="F40" s="309"/>
      <c r="G40" s="309"/>
      <c r="H40" s="309"/>
      <c r="I40" s="309"/>
      <c r="J40" s="1913"/>
      <c r="K40" s="3437" t="str">
        <f t="shared" ref="K40:K41" si="0">MID(A45,3,LEN(A45)-2)</f>
        <v/>
      </c>
      <c r="L40" s="3438"/>
      <c r="M40" s="3438"/>
      <c r="N40" s="3439"/>
      <c r="O40" s="1341" t="str">
        <f>C45</f>
        <v>——</v>
      </c>
      <c r="P40" s="1911"/>
      <c r="V40" s="1911"/>
    </row>
    <row r="41" spans="1:26" ht="16.5" thickBot="1">
      <c r="A41" s="310" t="s">
        <v>356</v>
      </c>
      <c r="B41" s="311"/>
      <c r="C41" s="312" t="s">
        <v>357</v>
      </c>
      <c r="D41" s="313" t="s">
        <v>358</v>
      </c>
      <c r="E41" s="313" t="s">
        <v>359</v>
      </c>
      <c r="F41" s="314" t="s">
        <v>360</v>
      </c>
      <c r="G41" s="309"/>
      <c r="H41" s="309"/>
      <c r="I41" s="309"/>
      <c r="J41" s="1913"/>
      <c r="K41" s="3437" t="str">
        <f t="shared" si="0"/>
        <v/>
      </c>
      <c r="L41" s="3438"/>
      <c r="M41" s="3438"/>
      <c r="N41" s="3439"/>
      <c r="O41" s="1341" t="str">
        <f>C46</f>
        <v>——</v>
      </c>
      <c r="P41" s="1911"/>
      <c r="V41" s="1911"/>
    </row>
    <row r="42" spans="1:26" ht="29.25">
      <c r="A42" s="3381" t="s">
        <v>2055</v>
      </c>
      <c r="B42" s="3382"/>
      <c r="C42" s="262">
        <f ca="1">C32</f>
        <v>209</v>
      </c>
      <c r="D42" s="315">
        <f ca="1">C33</f>
        <v>10552</v>
      </c>
      <c r="E42" s="315">
        <f ca="1">C34</f>
        <v>1449</v>
      </c>
      <c r="F42" s="316">
        <f ca="1">C35</f>
        <v>97</v>
      </c>
      <c r="G42" s="309"/>
      <c r="H42" s="309"/>
      <c r="I42" s="317"/>
      <c r="J42" s="1913"/>
      <c r="K42" s="1225" t="s">
        <v>361</v>
      </c>
      <c r="L42" s="1930" t="s">
        <v>362</v>
      </c>
      <c r="M42" s="1226" t="s">
        <v>363</v>
      </c>
      <c r="N42" s="1931" t="s">
        <v>364</v>
      </c>
      <c r="O42" s="1932" t="s">
        <v>365</v>
      </c>
      <c r="P42" s="1911"/>
      <c r="V42" s="1911"/>
    </row>
    <row r="43" spans="1:26" ht="18">
      <c r="A43" s="3392" t="s">
        <v>2710</v>
      </c>
      <c r="B43" s="3393"/>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171</v>
      </c>
      <c r="M43" s="1229">
        <f>C18</f>
        <v>0.8</v>
      </c>
      <c r="N43" s="1230">
        <f ca="1">IF(N42="测算结果/万元",G19,G20)</f>
        <v>209</v>
      </c>
      <c r="O43" s="1231">
        <f ca="1">IF(O42="最终结果/万元",C32,C33)</f>
        <v>209</v>
      </c>
      <c r="P43" s="1911"/>
      <c r="V43" s="1911"/>
    </row>
    <row r="44" spans="1:26" ht="18.75" thickBot="1">
      <c r="A44" s="3381" t="str">
        <f>IF(OR(项目基本情况!E8="抵押价格",项目基本情况!E8="已注销及未注销"),"3.抵押价格","——")</f>
        <v>——</v>
      </c>
      <c r="B44" s="3382"/>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剩余法-现房</v>
      </c>
      <c r="L44" s="1233">
        <f ca="1">IF(L42="估价结果/万元",D19,D20)</f>
        <v>362.17502855240792</v>
      </c>
      <c r="M44" s="1234">
        <f>D18</f>
        <v>0.19999999999999996</v>
      </c>
      <c r="N44" s="1235"/>
      <c r="O44" s="1236"/>
      <c r="P44" s="1911"/>
      <c r="V44" s="1911"/>
    </row>
    <row r="45" spans="1:26" ht="15">
      <c r="A45" s="3387" t="str">
        <f>IF(项目基本情况!E8="已注销及未注销","4.抵押担保权已注销时的抵押价格",IF(项目基本情况!E8="已注销","3.抵押担保权已注销时的抵押价格","——"))</f>
        <v>——</v>
      </c>
      <c r="B45" s="338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3" t="str">
        <f>IF(项目基本情况!E9="抵押净值",IF(A45="——","4.抵押净值","5.抵押净值"),"——")</f>
        <v>——</v>
      </c>
      <c r="B46" s="3384"/>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1" t="s">
        <v>374</v>
      </c>
      <c r="B63" s="3432"/>
      <c r="C63" s="3433"/>
      <c r="D63" s="339">
        <f ca="1">ROUND(C42*F63,0)</f>
        <v>209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89" t="s">
        <v>378</v>
      </c>
      <c r="B64" s="3390"/>
      <c r="C64" s="3390"/>
      <c r="D64" s="3390"/>
      <c r="E64" s="3390"/>
      <c r="F64" s="3390"/>
      <c r="G64" s="3391"/>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85" t="s">
        <v>386</v>
      </c>
      <c r="B66" s="3386"/>
      <c r="C66" s="3386"/>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46" t="s">
        <v>385</v>
      </c>
      <c r="M66" s="3447"/>
      <c r="N66" s="2312"/>
      <c r="O66" s="2313"/>
      <c r="P66" s="2314"/>
      <c r="Q66" s="1911"/>
      <c r="R66" s="1911"/>
      <c r="S66" s="1911"/>
      <c r="T66" s="1911"/>
      <c r="U66" s="1911"/>
      <c r="V66" s="1911"/>
    </row>
    <row r="67" spans="1:22" ht="25.5" customHeight="1">
      <c r="A67" s="350" t="s">
        <v>389</v>
      </c>
      <c r="B67" s="3376" t="s">
        <v>390</v>
      </c>
      <c r="C67" s="3376"/>
      <c r="D67" s="351">
        <v>0</v>
      </c>
      <c r="E67" s="41" t="s">
        <v>391</v>
      </c>
      <c r="F67" s="62" t="s">
        <v>21</v>
      </c>
      <c r="G67" s="3434"/>
      <c r="H67" s="3006" t="s">
        <v>2964</v>
      </c>
      <c r="I67" s="3008"/>
      <c r="J67" s="1918"/>
      <c r="K67" s="1890">
        <v>2</v>
      </c>
      <c r="L67" s="3440" t="s">
        <v>388</v>
      </c>
      <c r="M67" s="3440"/>
      <c r="N67" s="1279">
        <f>'数据-取费表'!B2</f>
        <v>44357</v>
      </c>
      <c r="O67" s="1279"/>
      <c r="P67" s="1279"/>
      <c r="Q67" s="1911"/>
      <c r="R67" s="1911"/>
      <c r="S67" s="1911"/>
      <c r="T67" s="1911"/>
      <c r="U67" s="1911"/>
      <c r="V67" s="1911"/>
    </row>
    <row r="68" spans="1:22" ht="25.5" customHeight="1">
      <c r="A68" s="352"/>
      <c r="B68" s="3376" t="s">
        <v>393</v>
      </c>
      <c r="C68" s="3376"/>
      <c r="D68" s="353"/>
      <c r="E68" s="77"/>
      <c r="F68" s="354"/>
      <c r="G68" s="3435"/>
      <c r="H68" s="3007" t="s">
        <v>2965</v>
      </c>
      <c r="I68" s="3008"/>
      <c r="J68" s="1918"/>
      <c r="K68" s="1890">
        <v>3</v>
      </c>
      <c r="L68" s="3440" t="s">
        <v>392</v>
      </c>
      <c r="M68" s="3440"/>
      <c r="N68" s="1247">
        <f ca="1">C42</f>
        <v>209</v>
      </c>
      <c r="O68" s="1247"/>
      <c r="P68" s="1247"/>
      <c r="Q68" s="1911"/>
      <c r="R68" s="1911"/>
      <c r="S68" s="1911"/>
      <c r="T68" s="1911"/>
      <c r="U68" s="1911"/>
      <c r="V68" s="1911"/>
    </row>
    <row r="69" spans="1:22" ht="23.45" customHeight="1">
      <c r="A69" s="355"/>
      <c r="B69" s="3376" t="s">
        <v>394</v>
      </c>
      <c r="C69" s="3376"/>
      <c r="D69" s="356"/>
      <c r="E69" s="73"/>
      <c r="F69" s="354"/>
      <c r="G69" s="3436"/>
      <c r="H69" s="3007" t="s">
        <v>2966</v>
      </c>
      <c r="I69" s="3008"/>
      <c r="J69" s="1918"/>
      <c r="K69" s="1248">
        <v>4</v>
      </c>
      <c r="L69" s="3450" t="s">
        <v>2862</v>
      </c>
      <c r="M69" s="3451"/>
      <c r="N69" s="1249" t="str">
        <f>C44</f>
        <v>——</v>
      </c>
      <c r="O69" s="1249"/>
      <c r="P69" s="1249"/>
      <c r="Q69" s="1911"/>
      <c r="R69" s="1911"/>
      <c r="S69" s="1911"/>
      <c r="T69" s="1911"/>
      <c r="U69" s="1911"/>
      <c r="V69" s="1911"/>
    </row>
    <row r="70" spans="1:22" ht="24" customHeight="1">
      <c r="A70" s="357" t="s">
        <v>395</v>
      </c>
      <c r="B70" s="3376" t="s">
        <v>396</v>
      </c>
      <c r="C70" s="3376"/>
      <c r="D70" s="356">
        <f ca="1">ROUND(D63*'数据-取费表'!B41/(1+'数据-取费表'!C42),0)</f>
        <v>11</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377" t="s">
        <v>2995</v>
      </c>
      <c r="C71" s="3378"/>
      <c r="D71" s="356">
        <f ca="1">ROUND(D63*'数据-取费表'!B41/(1+'数据-取费表'!C42),0)</f>
        <v>11</v>
      </c>
      <c r="E71" s="17" t="s">
        <v>397</v>
      </c>
      <c r="F71" s="358">
        <f>'数据-取费表'!B41</f>
        <v>5.5000000000000007E-2</v>
      </c>
      <c r="G71" s="359"/>
      <c r="H71" s="309"/>
      <c r="I71" s="1246"/>
      <c r="J71" s="1918"/>
      <c r="K71" s="2764" t="s">
        <v>398</v>
      </c>
      <c r="L71" s="3452" t="s">
        <v>399</v>
      </c>
      <c r="M71" s="3452"/>
      <c r="N71" s="2764" t="s">
        <v>400</v>
      </c>
      <c r="O71" s="2764" t="s">
        <v>401</v>
      </c>
      <c r="P71" s="2764" t="s">
        <v>402</v>
      </c>
      <c r="Q71" s="1911"/>
      <c r="R71" s="1911"/>
      <c r="S71" s="1911"/>
      <c r="T71" s="1911"/>
      <c r="U71" s="1911"/>
      <c r="V71" s="1911"/>
    </row>
    <row r="72" spans="1:22" ht="12" customHeight="1">
      <c r="A72" s="357" t="s">
        <v>405</v>
      </c>
      <c r="B72" s="3377" t="s">
        <v>2996</v>
      </c>
      <c r="C72" s="3378"/>
      <c r="D72" s="356">
        <f ca="1">C86</f>
        <v>11</v>
      </c>
      <c r="E72" s="73" t="s">
        <v>406</v>
      </c>
      <c r="F72" s="358">
        <f>'数据-取费表'!B41</f>
        <v>5.5000000000000007E-2</v>
      </c>
      <c r="G72" s="359"/>
      <c r="H72" s="1252"/>
      <c r="I72" s="1246"/>
      <c r="J72" s="1918"/>
      <c r="K72" s="1890">
        <v>1</v>
      </c>
      <c r="L72" s="3427" t="s">
        <v>404</v>
      </c>
      <c r="M72" s="3427"/>
      <c r="N72" s="1250" t="b">
        <f>D66</f>
        <v>0</v>
      </c>
      <c r="O72" s="1773" t="str">
        <f>E66</f>
        <v>销售额×税（费）率</v>
      </c>
      <c r="P72" s="1251">
        <f>F66</f>
        <v>5.5000000000000007E-2</v>
      </c>
      <c r="Q72" s="1911"/>
      <c r="R72" s="1911"/>
      <c r="S72" s="1911"/>
      <c r="T72" s="1911"/>
      <c r="U72" s="1911"/>
      <c r="V72" s="1911"/>
    </row>
    <row r="73" spans="1:22" ht="24" customHeight="1">
      <c r="A73" s="3422" t="s">
        <v>408</v>
      </c>
      <c r="B73" s="3386"/>
      <c r="C73" s="3386"/>
      <c r="D73" s="360">
        <f ca="1">IF(H73="个人住宅",0,ROUND(D63*I73,0))</f>
        <v>0</v>
      </c>
      <c r="E73" s="17" t="s">
        <v>409</v>
      </c>
      <c r="F73" s="358" t="str">
        <f>IF(H73="正常",I73,"免征")</f>
        <v>免征</v>
      </c>
      <c r="G73" s="359"/>
      <c r="H73" s="189"/>
      <c r="I73" s="358">
        <f>'数据-取费表'!B49</f>
        <v>5.0000000000000001E-4</v>
      </c>
      <c r="J73" s="1918"/>
      <c r="K73" s="1890">
        <v>2</v>
      </c>
      <c r="L73" s="3427" t="s">
        <v>407</v>
      </c>
      <c r="M73" s="3427"/>
      <c r="N73" s="1250">
        <f t="shared" ref="N73:P74" ca="1" si="1">D73</f>
        <v>0</v>
      </c>
      <c r="O73" s="1773" t="str">
        <f t="shared" si="1"/>
        <v>销售额×税（费）率</v>
      </c>
      <c r="P73" s="1251" t="str">
        <f t="shared" si="1"/>
        <v>免征</v>
      </c>
      <c r="Q73" s="1911"/>
      <c r="R73" s="1911"/>
      <c r="S73" s="1911"/>
      <c r="T73" s="1911"/>
      <c r="U73" s="1911"/>
      <c r="V73" s="1911"/>
    </row>
    <row r="74" spans="1:22" ht="24.75">
      <c r="A74" s="3422" t="s">
        <v>411</v>
      </c>
      <c r="B74" s="3386"/>
      <c r="C74" s="3386"/>
      <c r="D74" s="360">
        <f ca="1">IF(H74="个人住宅",D75,D76)</f>
        <v>118</v>
      </c>
      <c r="E74" s="17" t="s">
        <v>412</v>
      </c>
      <c r="F74" s="358" t="str">
        <f>IF(H74="正常",F76,"免征")</f>
        <v>免征</v>
      </c>
      <c r="G74" s="971" t="s">
        <v>413</v>
      </c>
      <c r="H74" s="361"/>
      <c r="I74" s="42"/>
      <c r="J74" s="1918"/>
      <c r="K74" s="1890">
        <v>3</v>
      </c>
      <c r="L74" s="3427" t="s">
        <v>410</v>
      </c>
      <c r="M74" s="3427"/>
      <c r="N74" s="1250">
        <f t="shared" ca="1" si="1"/>
        <v>118</v>
      </c>
      <c r="O74" s="1773" t="str">
        <f t="shared" si="1"/>
        <v>增值额×税（费）率</v>
      </c>
      <c r="P74" s="1253" t="str">
        <f t="shared" si="1"/>
        <v>免征</v>
      </c>
      <c r="Q74" s="1911"/>
      <c r="R74" s="1911"/>
      <c r="S74" s="1911"/>
      <c r="T74" s="1911"/>
      <c r="U74" s="1911"/>
      <c r="V74" s="1911"/>
    </row>
    <row r="75" spans="1:22" ht="12.75">
      <c r="A75" s="357" t="s">
        <v>414</v>
      </c>
      <c r="B75" s="3374" t="s">
        <v>415</v>
      </c>
      <c r="C75" s="3410"/>
      <c r="D75" s="362">
        <v>0</v>
      </c>
      <c r="E75" s="41" t="s">
        <v>416</v>
      </c>
      <c r="F75" s="363"/>
      <c r="G75" s="359"/>
      <c r="H75" s="42"/>
      <c r="I75" s="42"/>
      <c r="J75" s="1918"/>
      <c r="K75" s="2758">
        <f>IF(H77="非个人房产","",4)</f>
        <v>4</v>
      </c>
      <c r="L75" s="3427" t="str">
        <f>IF(H77="非个人房产","——","个人所得税")</f>
        <v>个人所得税</v>
      </c>
      <c r="M75" s="3427"/>
      <c r="N75" s="1254">
        <f>D77</f>
        <v>0</v>
      </c>
      <c r="O75" s="1786" t="str">
        <f>E77</f>
        <v>差额计税</v>
      </c>
      <c r="P75" s="1255">
        <f>F77</f>
        <v>0.01</v>
      </c>
      <c r="Q75" s="1911"/>
      <c r="R75" s="1911"/>
      <c r="S75" s="1911"/>
      <c r="T75" s="1911"/>
      <c r="U75" s="1911"/>
      <c r="V75" s="1911"/>
    </row>
    <row r="76" spans="1:22" ht="24.75">
      <c r="A76" s="357" t="s">
        <v>395</v>
      </c>
      <c r="B76" s="3374" t="s">
        <v>418</v>
      </c>
      <c r="C76" s="3375"/>
      <c r="D76" s="360">
        <f ca="1">IF(H76="转让取得",C99,C115)</f>
        <v>118</v>
      </c>
      <c r="E76" s="17" t="s">
        <v>419</v>
      </c>
      <c r="F76" s="53" t="s">
        <v>21</v>
      </c>
      <c r="G76" s="359"/>
      <c r="H76" s="361"/>
      <c r="I76" s="42"/>
      <c r="J76" s="1918"/>
      <c r="K76" s="2758" t="str">
        <f>IF(项目基本情况!K6="上海银行",IF(K75="",4,K75+1),"")</f>
        <v/>
      </c>
      <c r="L76" s="3442" t="str">
        <f>IF(项目基本情况!K6="上海银行","其他处置费用","")</f>
        <v/>
      </c>
      <c r="M76" s="3443"/>
      <c r="N76" s="1250" t="str">
        <f>IF(项目基本情况!K6="上海银行",N89,"")</f>
        <v/>
      </c>
      <c r="O76" s="3444" t="str">
        <f>IF(项目基本情况!K6="上海银行","包含处置中涉及的律师、诉讼、拍卖、评估等费用","")</f>
        <v/>
      </c>
      <c r="P76" s="3445"/>
      <c r="Q76" s="1911"/>
      <c r="R76" s="1911"/>
      <c r="S76" s="1911"/>
      <c r="T76" s="1911"/>
      <c r="U76" s="1911"/>
      <c r="V76" s="1911"/>
    </row>
    <row r="77" spans="1:22" ht="24.75" thickBot="1">
      <c r="A77" s="3429" t="s">
        <v>421</v>
      </c>
      <c r="B77" s="3430"/>
      <c r="C77" s="343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28">
        <f>IF(AND(K75="",K76=""),4,IF(项目基本情况!K6="上海银行",K76+1,K75+1))</f>
        <v>5</v>
      </c>
      <c r="L77" s="3427" t="s">
        <v>2863</v>
      </c>
      <c r="M77" s="2763" t="s">
        <v>417</v>
      </c>
      <c r="N77" s="1256"/>
      <c r="O77" s="1257">
        <f ca="1">SUMIF(N72:N76,"&lt;9e307")</f>
        <v>118</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28"/>
      <c r="L78" s="3427"/>
      <c r="M78" s="2763" t="s">
        <v>420</v>
      </c>
      <c r="N78" s="1256"/>
      <c r="O78" s="1257" t="str">
        <f ca="1">NUMBERSTRING(INT(O77*10000),2)&amp;"元整"</f>
        <v>壹佰壹拾捌万元整</v>
      </c>
      <c r="P78" s="1258"/>
      <c r="Q78" s="1911"/>
      <c r="R78" s="1911"/>
      <c r="S78" s="1911"/>
      <c r="T78" s="1911"/>
      <c r="U78" s="1911"/>
      <c r="V78" s="1911"/>
    </row>
    <row r="79" spans="1:22" ht="13.5" thickBot="1">
      <c r="A79" s="3394" t="s">
        <v>422</v>
      </c>
      <c r="B79" s="3394"/>
      <c r="C79" s="3394"/>
      <c r="D79" s="3394"/>
      <c r="E79" s="3394"/>
      <c r="F79" s="42"/>
      <c r="G79" s="42"/>
      <c r="H79" s="991"/>
      <c r="I79" s="309"/>
      <c r="J79" s="1918"/>
      <c r="K79" s="3448">
        <f>K77+1</f>
        <v>6</v>
      </c>
      <c r="L79" s="3427" t="s">
        <v>2864</v>
      </c>
      <c r="M79" s="2763" t="s">
        <v>417</v>
      </c>
      <c r="N79" s="1256"/>
      <c r="O79" s="1257" t="e">
        <f ca="1">N69-O77</f>
        <v>#VALUE!</v>
      </c>
      <c r="P79" s="1258"/>
      <c r="Q79" s="1911"/>
      <c r="R79" s="1911"/>
      <c r="S79" s="1911"/>
      <c r="T79" s="1911"/>
      <c r="U79" s="1911"/>
      <c r="V79" s="1911"/>
    </row>
    <row r="80" spans="1:22" ht="12.75">
      <c r="A80" s="3395" t="s">
        <v>423</v>
      </c>
      <c r="B80" s="3396"/>
      <c r="C80" s="982"/>
      <c r="D80" s="982" t="s">
        <v>424</v>
      </c>
      <c r="E80" s="364" t="s">
        <v>425</v>
      </c>
      <c r="F80" s="42"/>
      <c r="G80" s="42"/>
      <c r="H80" s="991"/>
      <c r="I80" s="309"/>
      <c r="J80" s="1911"/>
      <c r="K80" s="3449"/>
      <c r="L80" s="3427"/>
      <c r="M80" s="2763" t="s">
        <v>420</v>
      </c>
      <c r="N80" s="1256"/>
      <c r="O80" s="1257" t="e">
        <f ca="1">NUMBERSTRING(INT(O79*10000),2)&amp;"元整"</f>
        <v>#VALUE!</v>
      </c>
      <c r="P80" s="1258"/>
      <c r="Q80" s="1911"/>
      <c r="R80" s="1911"/>
      <c r="S80" s="1911"/>
      <c r="T80" s="1911"/>
      <c r="U80" s="1911"/>
      <c r="V80" s="1911"/>
    </row>
    <row r="81" spans="1:26" ht="13.5" thickBot="1">
      <c r="A81" s="375" t="s">
        <v>1813</v>
      </c>
      <c r="B81" s="365" t="s">
        <v>426</v>
      </c>
      <c r="C81" s="366">
        <f ca="1">ROUND((C82+C83)/(1+'数据-取费表'!C42),0)</f>
        <v>199</v>
      </c>
      <c r="D81" s="367"/>
      <c r="E81" s="368"/>
      <c r="F81" s="42"/>
      <c r="G81" s="42"/>
      <c r="H81" s="991"/>
      <c r="I81" s="309"/>
      <c r="J81" s="1911"/>
      <c r="K81" s="2758">
        <f>K79+1</f>
        <v>7</v>
      </c>
      <c r="L81" s="3425" t="s">
        <v>2865</v>
      </c>
      <c r="M81" s="3426"/>
      <c r="N81" s="1260"/>
      <c r="O81" s="1261" t="e">
        <f ca="1">ROUND(O79*10000/'数据-汇总表'!E3,0)</f>
        <v>#VALUE!</v>
      </c>
      <c r="P81" s="1262"/>
      <c r="Q81" s="1911"/>
      <c r="R81" s="1911"/>
      <c r="S81" s="1911"/>
      <c r="T81" s="1911"/>
      <c r="U81" s="1911"/>
      <c r="V81" s="1911"/>
    </row>
    <row r="82" spans="1:26" ht="13.5" thickTop="1">
      <c r="A82" s="369" t="s">
        <v>1814</v>
      </c>
      <c r="B82" s="370" t="s">
        <v>427</v>
      </c>
      <c r="C82" s="371">
        <f ca="1">D63</f>
        <v>209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441"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1816</v>
      </c>
      <c r="B84" s="376" t="s">
        <v>429</v>
      </c>
      <c r="C84" s="377"/>
      <c r="D84" s="378" t="s">
        <v>19</v>
      </c>
      <c r="E84" s="2787" t="s">
        <v>2908</v>
      </c>
      <c r="F84" s="42"/>
      <c r="G84" s="42"/>
      <c r="H84" s="991"/>
      <c r="I84" s="309"/>
      <c r="J84" s="1911"/>
      <c r="K84" s="3441"/>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1817</v>
      </c>
      <c r="B85" s="376" t="s">
        <v>430</v>
      </c>
      <c r="C85" s="379">
        <f ca="1">C81-C84</f>
        <v>199</v>
      </c>
      <c r="D85" s="372" t="s">
        <v>19</v>
      </c>
      <c r="E85" s="373"/>
      <c r="F85" s="42"/>
      <c r="G85" s="42"/>
      <c r="H85" s="991"/>
      <c r="I85" s="309"/>
      <c r="J85" s="1911"/>
      <c r="K85" s="3441"/>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1818</v>
      </c>
      <c r="B86" s="381" t="s">
        <v>431</v>
      </c>
      <c r="C86" s="382">
        <f ca="1">IF(C85&lt;=0,0,ROUND(C85*D86,0))</f>
        <v>11</v>
      </c>
      <c r="D86" s="383">
        <f>'数据-取费表'!B41</f>
        <v>5.5000000000000007E-2</v>
      </c>
      <c r="E86" s="384"/>
      <c r="F86" s="42"/>
      <c r="G86" s="42"/>
      <c r="H86" s="991"/>
      <c r="I86" s="309"/>
      <c r="J86" s="1911"/>
      <c r="K86" s="3441"/>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1"/>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0" t="s">
        <v>432</v>
      </c>
      <c r="B88" s="3421"/>
      <c r="C88" s="3421"/>
      <c r="D88" s="3421"/>
      <c r="E88" s="3421"/>
      <c r="F88" s="3421"/>
      <c r="G88" s="3421"/>
      <c r="H88" s="3421"/>
      <c r="I88" s="1269"/>
      <c r="J88" s="1919"/>
      <c r="K88" s="3441"/>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5" t="s">
        <v>423</v>
      </c>
      <c r="B89" s="3396"/>
      <c r="C89" s="982"/>
      <c r="D89" s="982" t="s">
        <v>424</v>
      </c>
      <c r="E89" s="385" t="s">
        <v>433</v>
      </c>
      <c r="F89" s="386"/>
      <c r="G89" s="386"/>
      <c r="H89" s="387"/>
      <c r="I89" s="1270"/>
      <c r="J89" s="1921"/>
      <c r="K89" s="3441"/>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199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1</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377" t="s">
        <v>441</v>
      </c>
      <c r="F94" s="3376"/>
      <c r="G94" s="3376"/>
      <c r="H94" s="341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1</v>
      </c>
      <c r="D96" s="400">
        <f>'数据-取费表'!B43</f>
        <v>5.000000000000001E-3</v>
      </c>
      <c r="E96" s="3411" t="s">
        <v>2412</v>
      </c>
      <c r="F96" s="3412"/>
      <c r="G96" s="3412"/>
      <c r="H96" s="3413"/>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1825</v>
      </c>
      <c r="B97" s="376" t="s">
        <v>445</v>
      </c>
      <c r="C97" s="379">
        <f ca="1">C90-C91</f>
        <v>198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1826</v>
      </c>
      <c r="B98" s="376" t="s">
        <v>446</v>
      </c>
      <c r="C98" s="401">
        <f ca="1">IF(C97&lt;=0,0,C97/C91)</f>
        <v>198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1827</v>
      </c>
      <c r="B99" s="381" t="s">
        <v>447</v>
      </c>
      <c r="C99" s="402">
        <f ca="1">ROUND(IF(C97&lt;=0,0,IF(C98&gt;=200%,C97*60%-C91*35%,IF(C98&gt;=100%,C97*50%-C91*15%,IF(C98&gt;=50%,C97*40%-C91*5%,IF(C98&lt;50%,C97*30%,0))))),0)</f>
        <v>118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0" t="s">
        <v>448</v>
      </c>
      <c r="B101" s="3421"/>
      <c r="C101" s="3421"/>
      <c r="D101" s="3421"/>
      <c r="E101" s="3421"/>
      <c r="F101" s="3421"/>
      <c r="G101" s="3421"/>
      <c r="H101" s="342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5" t="s">
        <v>423</v>
      </c>
      <c r="B102" s="339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199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1</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371" t="s">
        <v>2959</v>
      </c>
      <c r="H108" s="337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1828</v>
      </c>
      <c r="B109" s="370" t="s">
        <v>455</v>
      </c>
      <c r="C109" s="399">
        <f>IF(H109="——",IF(F1="现房",'剩余法-现房'!C18,0),I109)</f>
        <v>0</v>
      </c>
      <c r="D109" s="400"/>
      <c r="E109" s="3414" t="s">
        <v>456</v>
      </c>
      <c r="F109" s="3412"/>
      <c r="G109" s="3412"/>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1829</v>
      </c>
      <c r="B110" s="370" t="s">
        <v>457</v>
      </c>
      <c r="C110" s="399">
        <f>ROUND((C105+C108+C109)*D110,0)</f>
        <v>0</v>
      </c>
      <c r="D110" s="3275">
        <v>0</v>
      </c>
      <c r="E110" s="3414" t="s">
        <v>458</v>
      </c>
      <c r="F110" s="3412"/>
      <c r="G110" s="3412"/>
      <c r="H110" s="3413"/>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1830</v>
      </c>
      <c r="B111" s="370" t="s">
        <v>444</v>
      </c>
      <c r="C111" s="399">
        <f ca="1">ROUND(D63*D111/(1+'数据-取费表'!C42),0)</f>
        <v>1</v>
      </c>
      <c r="D111" s="400">
        <f>'数据-取费表'!B43</f>
        <v>5.000000000000001E-3</v>
      </c>
      <c r="E111" s="3411" t="s">
        <v>2412</v>
      </c>
      <c r="F111" s="3412"/>
      <c r="G111" s="3412"/>
      <c r="H111" s="3413"/>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1831</v>
      </c>
      <c r="B112" s="370" t="s">
        <v>459</v>
      </c>
      <c r="C112" s="399">
        <f>ROUND(C108*D112,0)</f>
        <v>0</v>
      </c>
      <c r="D112" s="400">
        <v>0.2</v>
      </c>
      <c r="E112" s="3414" t="s">
        <v>2435</v>
      </c>
      <c r="F112" s="3412"/>
      <c r="G112" s="3412"/>
      <c r="H112" s="3413"/>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1825</v>
      </c>
      <c r="B113" s="376" t="s">
        <v>445</v>
      </c>
      <c r="C113" s="379">
        <f ca="1">ROUND(C103-C104,0)</f>
        <v>198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1826</v>
      </c>
      <c r="B114" s="376" t="s">
        <v>446</v>
      </c>
      <c r="C114" s="401">
        <f ca="1">IF(C113&lt;=0,0,C113/C104)</f>
        <v>198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1827</v>
      </c>
      <c r="B115" s="381" t="s">
        <v>447</v>
      </c>
      <c r="C115" s="402">
        <f ca="1">ROUND(IF(C113&lt;=0,0,IF(C114&gt;=200%,C113*60%-C104*35%,IF(C114&gt;=100%,C113*50%-C104*15%,IF(C114&gt;=50%,C113*40%-C104*5%,IF(C114&lt;50%,C113*30%,0))))),0)</f>
        <v>118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-151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-21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1835</v>
      </c>
      <c r="B8" s="259" t="s">
        <v>466</v>
      </c>
      <c r="C8" s="2551"/>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0</v>
      </c>
      <c r="D14" s="2561"/>
      <c r="E14" s="2562"/>
      <c r="F14" s="2564">
        <f>'数据-取费表'!B33</f>
        <v>0.05</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3</v>
      </c>
      <c r="D16" s="2561">
        <f ca="1">IF(B1="",'数据-汇总表'!E3,INDIRECT("'数据-取费表'!K"&amp;$K$1)+INDIRECT("'数据-取费表'!S"&amp;$K$1))</f>
        <v>198.07</v>
      </c>
      <c r="E16" s="53">
        <f>'数据-取费表'!B35</f>
        <v>140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3</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0</v>
      </c>
      <c r="D19" s="2571">
        <f ca="1">D16</f>
        <v>198.07</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0</v>
      </c>
      <c r="D20" s="2571"/>
      <c r="E20" s="2525"/>
      <c r="F20" s="2572"/>
      <c r="G20" s="2776"/>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198.07</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2813</v>
      </c>
      <c r="C23" s="2569">
        <f ca="1">ROUND((C18+C19+C20)*F23,0)</f>
        <v>0</v>
      </c>
      <c r="D23" s="462"/>
      <c r="E23" s="462"/>
      <c r="F23" s="2573">
        <f>'数据-取费表'!B37</f>
        <v>0.03</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2816</v>
      </c>
      <c r="C24" s="2569">
        <f>ROUND(C6*F24,0)</f>
        <v>0</v>
      </c>
      <c r="D24" s="469"/>
      <c r="E24" s="467"/>
      <c r="F24" s="2573">
        <f>'数据-取费表'!B38</f>
        <v>0.03</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2814</v>
      </c>
      <c r="C25" s="3276">
        <f>F25</f>
        <v>3.0499999999999999E-2</v>
      </c>
      <c r="D25" s="456" t="s">
        <v>2808</v>
      </c>
      <c r="E25" s="463"/>
      <c r="F25" s="2573">
        <f>'数据-取费表'!B48+'数据-取费表'!B49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2815</v>
      </c>
      <c r="C26" s="2574">
        <f ca="1">C28</f>
        <v>0</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1853</v>
      </c>
      <c r="B30" s="2579" t="s">
        <v>494</v>
      </c>
      <c r="C30" s="2574">
        <f ca="1">C31</f>
        <v>3</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0</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5.1499999999999997E-2</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1847</v>
      </c>
      <c r="B35" s="2746" t="s">
        <v>2818</v>
      </c>
      <c r="C35" s="1557">
        <f ca="1">ROUND((C18+C19+C20+C23+C24)*F33,0)</f>
        <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3" zoomScale="80" zoomScaleNormal="60" zoomScaleSheetLayoutView="80" workbookViewId="0">
      <selection activeCell="F46" sqref="F46"/>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t="s">
        <v>3008</v>
      </c>
      <c r="D1" s="1933"/>
      <c r="E1" s="2242" t="s">
        <v>2358</v>
      </c>
      <c r="F1" s="2243">
        <f ca="1">J54</f>
        <v>39.5</v>
      </c>
      <c r="G1" s="764">
        <f>MATCH(C1,'数据-取费表'!A6:A16,0)+5</f>
        <v>6</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453</v>
      </c>
      <c r="C2" s="1304"/>
      <c r="D2" s="1938"/>
      <c r="E2" s="1939"/>
      <c r="F2" s="1939"/>
      <c r="G2" s="1525"/>
      <c r="H2" s="1316"/>
      <c r="I2" s="1940"/>
      <c r="J2" s="1940"/>
      <c r="K2" s="1941"/>
      <c r="L2" s="1940"/>
      <c r="M2" s="1940"/>
    </row>
    <row r="3" spans="1:25" ht="18" customHeight="1">
      <c r="A3" s="1574" t="s">
        <v>1676</v>
      </c>
      <c r="B3" s="1340">
        <f ca="1">ROUND(B2*10000/'数据-汇总表'!E3,0)</f>
        <v>22871</v>
      </c>
      <c r="C3" s="1304"/>
      <c r="D3" s="1938"/>
      <c r="E3" s="1939"/>
      <c r="F3" s="1939"/>
      <c r="G3" s="1525"/>
      <c r="H3" s="766" t="s">
        <v>689</v>
      </c>
      <c r="I3" s="1940"/>
      <c r="J3" s="1940"/>
      <c r="K3" s="1941"/>
      <c r="L3" s="1940"/>
      <c r="M3" s="1940"/>
    </row>
    <row r="4" spans="1:25" ht="18" customHeight="1">
      <c r="A4" s="1575" t="s">
        <v>690</v>
      </c>
      <c r="B4" s="1305">
        <f ca="1">ROUND(B2*10000/'数据-汇总表'!D3,0)</f>
        <v>3140</v>
      </c>
      <c r="C4" s="422"/>
      <c r="D4" s="1938"/>
      <c r="E4" s="1939"/>
      <c r="F4" s="1939"/>
      <c r="G4" s="1525"/>
      <c r="H4" s="766"/>
      <c r="I4" s="1940"/>
      <c r="J4" s="1940"/>
      <c r="K4" s="1941"/>
      <c r="L4" s="1940"/>
      <c r="M4" s="1940"/>
    </row>
    <row r="5" spans="1:25" ht="18" customHeight="1" thickBot="1">
      <c r="A5" s="1576"/>
      <c r="B5" s="424">
        <f ca="1">ROUND(B2/('数据-汇总表'!D3/666.67),0)</f>
        <v>209</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2439</v>
      </c>
      <c r="C7" s="53">
        <f ca="1">C8+C12+C14</f>
        <v>47</v>
      </c>
      <c r="D7" s="2349" t="s">
        <v>2442</v>
      </c>
      <c r="E7" s="2343"/>
      <c r="F7" s="2344"/>
      <c r="G7" s="1527"/>
      <c r="H7" s="771">
        <v>1</v>
      </c>
      <c r="I7" s="772" t="s">
        <v>2439</v>
      </c>
      <c r="J7" s="53">
        <f ca="1">J8+J12+J14</f>
        <v>0</v>
      </c>
      <c r="K7" s="2349" t="s">
        <v>2442</v>
      </c>
      <c r="L7" s="2343"/>
      <c r="M7" s="2344"/>
    </row>
    <row r="8" spans="1:25" ht="18" customHeight="1">
      <c r="A8" s="1745" t="s">
        <v>1814</v>
      </c>
      <c r="B8" s="3544" t="s">
        <v>2444</v>
      </c>
      <c r="C8" s="1740">
        <f ca="1">ROUND(F8*F10*F9*(1-F11)/10000,0)</f>
        <v>47</v>
      </c>
      <c r="D8" s="1737" t="s">
        <v>2515</v>
      </c>
      <c r="E8" s="61" t="s">
        <v>631</v>
      </c>
      <c r="F8" s="775">
        <f ca="1">INDIRECT("'数据-取费表'!u"&amp;$G$1)</f>
        <v>519000</v>
      </c>
      <c r="G8" s="1527"/>
      <c r="H8" s="2357" t="s">
        <v>1814</v>
      </c>
      <c r="I8" s="3544" t="s">
        <v>2444</v>
      </c>
      <c r="J8" s="773">
        <f ca="1">ROUND(M8*M10*M9*(1-M11)/10000,0)</f>
        <v>0</v>
      </c>
      <c r="K8" s="339" t="s">
        <v>2515</v>
      </c>
      <c r="L8" s="774" t="s">
        <v>1728</v>
      </c>
      <c r="M8" s="775">
        <f ca="1">INDIRECT("'数据-取费表'!z"&amp;$G$1)</f>
        <v>0</v>
      </c>
    </row>
    <row r="9" spans="1:25" ht="18" customHeight="1">
      <c r="A9" s="2353"/>
      <c r="B9" s="3545"/>
      <c r="C9" s="1741"/>
      <c r="D9" s="1738"/>
      <c r="E9" s="61" t="s">
        <v>632</v>
      </c>
      <c r="F9" s="775">
        <f ca="1">IF(INDIRECT("'数据-取费表'!ah"&amp;$G$1)="",INDIRECT("'数据-取费表'!k"&amp;$G$1),INDIRECT("'数据-取费表'!ah"&amp;$G$1))</f>
        <v>1</v>
      </c>
      <c r="G9" s="1527"/>
      <c r="H9" s="2342"/>
      <c r="I9" s="3545"/>
      <c r="J9" s="778"/>
      <c r="K9" s="779"/>
      <c r="L9" s="774" t="s">
        <v>1729</v>
      </c>
      <c r="M9" s="775">
        <f ca="1">F9</f>
        <v>1</v>
      </c>
    </row>
    <row r="10" spans="1:25" ht="18" customHeight="1">
      <c r="A10" s="2346"/>
      <c r="B10" s="3546"/>
      <c r="C10" s="1741"/>
      <c r="D10" s="1738"/>
      <c r="E10" s="61" t="s">
        <v>633</v>
      </c>
      <c r="F10" s="775">
        <f ca="1">INDIRECT("'数据-取费表'!ai"&amp;$G$1)</f>
        <v>1</v>
      </c>
      <c r="G10" s="1527"/>
      <c r="H10" s="2342"/>
      <c r="I10" s="3546"/>
      <c r="J10" s="778"/>
      <c r="K10" s="779"/>
      <c r="L10" s="774" t="s">
        <v>1730</v>
      </c>
      <c r="M10" s="775">
        <f ca="1">INDIRECT("'数据-取费表'!ai"&amp;$G$1)</f>
        <v>1</v>
      </c>
    </row>
    <row r="11" spans="1:25" ht="18" customHeight="1">
      <c r="A11" s="776"/>
      <c r="B11" s="3547"/>
      <c r="C11" s="1741"/>
      <c r="D11" s="1738"/>
      <c r="E11" s="61" t="s">
        <v>634</v>
      </c>
      <c r="F11" s="784">
        <f ca="1">INDIRECT("'数据-取费表'!w"&amp;$G$1)</f>
        <v>0.1</v>
      </c>
      <c r="G11" s="1527"/>
      <c r="H11" s="2358"/>
      <c r="I11" s="3546"/>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2938</v>
      </c>
      <c r="E12" s="2351" t="s">
        <v>2445</v>
      </c>
      <c r="F12" s="2465" t="s">
        <v>3182</v>
      </c>
      <c r="G12" s="1527"/>
      <c r="H12" s="2414" t="s">
        <v>1815</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2437</v>
      </c>
      <c r="F13" s="786">
        <f ca="1">'数据-取费表'!B39</f>
        <v>1.4999999999999999E-2</v>
      </c>
      <c r="G13" s="1527"/>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7"/>
      <c r="H14" s="2404" t="s">
        <v>2448</v>
      </c>
      <c r="I14" s="2417" t="s">
        <v>2441</v>
      </c>
      <c r="J14" s="2418"/>
      <c r="K14" s="2393"/>
      <c r="L14" s="2394"/>
      <c r="M14" s="2407"/>
    </row>
    <row r="15" spans="1:25" ht="18" customHeight="1" thickTop="1">
      <c r="A15" s="1744" t="s">
        <v>1864</v>
      </c>
      <c r="B15" s="1742" t="s">
        <v>635</v>
      </c>
      <c r="C15" s="782">
        <f ca="1">ROUND(C31*F15,0)</f>
        <v>50</v>
      </c>
      <c r="D15" s="1749" t="s">
        <v>636</v>
      </c>
      <c r="E15" s="785" t="s">
        <v>637</v>
      </c>
      <c r="F15" s="790">
        <f ca="1">INDIRECT("'数据-取费表'!y"&amp;$G$1)</f>
        <v>0.9</v>
      </c>
      <c r="G15" s="1527"/>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40</v>
      </c>
      <c r="D16" s="1893" t="s">
        <v>640</v>
      </c>
      <c r="E16" s="1894"/>
      <c r="F16" s="795"/>
      <c r="G16" s="1527"/>
      <c r="H16" s="793" t="s">
        <v>2057</v>
      </c>
      <c r="I16" s="2111" t="s">
        <v>2804</v>
      </c>
      <c r="J16" s="53">
        <f ca="1">C31</f>
        <v>55</v>
      </c>
      <c r="K16" s="26"/>
      <c r="L16" s="791"/>
      <c r="M16" s="792"/>
    </row>
    <row r="17" spans="1:25" s="1947" customFormat="1" ht="18" customHeight="1">
      <c r="A17" s="793" t="s">
        <v>1839</v>
      </c>
      <c r="B17" s="774" t="s">
        <v>641</v>
      </c>
      <c r="C17" s="53">
        <f ca="1">ROUND(C16*F17,0)</f>
        <v>2</v>
      </c>
      <c r="D17" s="796" t="s">
        <v>642</v>
      </c>
      <c r="E17" s="796" t="s">
        <v>643</v>
      </c>
      <c r="F17" s="797">
        <f>'数据-取费表'!B33</f>
        <v>0.05</v>
      </c>
      <c r="G17" s="1528"/>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7"/>
      <c r="H18" s="787" t="s">
        <v>1817</v>
      </c>
      <c r="I18" s="788" t="s">
        <v>645</v>
      </c>
      <c r="J18" s="789">
        <f ca="1">ROUND(J19+J24+J25+J26,0)</f>
        <v>7</v>
      </c>
      <c r="K18" s="26" t="s">
        <v>646</v>
      </c>
      <c r="L18" s="1896"/>
      <c r="M18" s="56"/>
    </row>
    <row r="19" spans="1:25" s="1947" customFormat="1" ht="18" customHeight="1">
      <c r="A19" s="793" t="s">
        <v>1841</v>
      </c>
      <c r="B19" s="774" t="s">
        <v>647</v>
      </c>
      <c r="C19" s="53">
        <f ca="1">ROUND(F19*(INDIRECT("'数据-取费表'!k"&amp;$G$1)+INDIRECT("'数据-取费表'!S"&amp;$G$1))/10000,0)</f>
        <v>3</v>
      </c>
      <c r="D19" s="774" t="s">
        <v>648</v>
      </c>
      <c r="E19" s="774" t="s">
        <v>649</v>
      </c>
      <c r="F19" s="56">
        <f>'数据-取费表'!B35</f>
        <v>140</v>
      </c>
      <c r="G19" s="1528"/>
      <c r="H19" s="793" t="s">
        <v>2057</v>
      </c>
      <c r="I19" s="774" t="s">
        <v>650</v>
      </c>
      <c r="J19" s="3019">
        <f ca="1">ROUND(IF(AND(项目基本情况!B11="自然人",项目基本情况!B10="北京市"),J8*M19/(1+'数据-取费表'!C42),J20+J21+J22),0)</f>
        <v>6</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1</v>
      </c>
      <c r="D20" s="774" t="s">
        <v>642</v>
      </c>
      <c r="E20" s="774" t="s">
        <v>643</v>
      </c>
      <c r="F20" s="799">
        <f>'数据-取费表'!B36</f>
        <v>1.4999999999999999E-2</v>
      </c>
      <c r="G20" s="1528"/>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46</v>
      </c>
      <c r="D21" s="259" t="s">
        <v>657</v>
      </c>
      <c r="E21" s="1896"/>
      <c r="F21" s="56"/>
      <c r="G21" s="1527"/>
      <c r="H21" s="1745" t="s">
        <v>1839</v>
      </c>
      <c r="I21" s="774" t="s">
        <v>658</v>
      </c>
      <c r="J21" s="53">
        <f ca="1">IF(K21="按租金收入计税",ROUND(J8*M21/(1+'数据-取费表'!C42),1),ROUND(C31*F35*0.7,1))</f>
        <v>4.5999999999999996</v>
      </c>
      <c r="K21" s="800" t="s">
        <v>659</v>
      </c>
      <c r="L21" s="774" t="s">
        <v>643</v>
      </c>
      <c r="M21" s="799">
        <f>IF(K21="按租金收入计税",'数据-取费表'!B51,'数据-取费表'!B50)</f>
        <v>1.2E-2</v>
      </c>
    </row>
    <row r="22" spans="1:25" s="1947" customFormat="1" ht="18" customHeight="1">
      <c r="A22" s="793" t="s">
        <v>1867</v>
      </c>
      <c r="B22" s="774" t="s">
        <v>660</v>
      </c>
      <c r="C22" s="53">
        <f ca="1">ROUND(C21*F22,0)</f>
        <v>1</v>
      </c>
      <c r="D22" s="801" t="s">
        <v>661</v>
      </c>
      <c r="E22" s="774" t="s">
        <v>643</v>
      </c>
      <c r="F22" s="799">
        <f>'数据-取费表'!B37</f>
        <v>0.03</v>
      </c>
      <c r="G22" s="1528"/>
      <c r="H22" s="1747" t="s">
        <v>1840</v>
      </c>
      <c r="I22" s="1737" t="s">
        <v>662</v>
      </c>
      <c r="J22" s="54">
        <f ca="1">ROUND(M22*M23/10000,0)</f>
        <v>1</v>
      </c>
      <c r="K22" s="803" t="s">
        <v>663</v>
      </c>
      <c r="L22" s="774" t="s">
        <v>664</v>
      </c>
      <c r="M22" s="632">
        <f>'数据-取费表'!B52</f>
        <v>9</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0.03</v>
      </c>
      <c r="G23" s="1528"/>
      <c r="H23" s="1748"/>
      <c r="I23" s="1739"/>
      <c r="J23" s="69"/>
      <c r="K23" s="805"/>
      <c r="L23" s="774" t="s">
        <v>668</v>
      </c>
      <c r="M23" s="775">
        <f ca="1">INDIRECT("'数据-取费表'!r"&amp;$G$1)</f>
        <v>1442.46</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单利计息。建造成本、管理费用、销售费用产生的利息。</v>
      </c>
      <c r="E24" s="1896"/>
      <c r="F24" s="56"/>
      <c r="G24" s="1527"/>
      <c r="H24" s="1746" t="s">
        <v>2058</v>
      </c>
      <c r="I24" s="774" t="s">
        <v>670</v>
      </c>
      <c r="J24" s="53">
        <f ca="1">ROUND(J16*M24,0)</f>
        <v>1</v>
      </c>
      <c r="K24" s="1891" t="s">
        <v>671</v>
      </c>
      <c r="L24" s="774" t="s">
        <v>643</v>
      </c>
      <c r="M24" s="806">
        <f ca="1">INDIRECT("'数据-取费表'!Ak"&amp;$G$1)</f>
        <v>1.4999999999999999E-2</v>
      </c>
    </row>
    <row r="25" spans="1:25" s="1947" customFormat="1" ht="18" customHeight="1">
      <c r="A25" s="793" t="s">
        <v>1865</v>
      </c>
      <c r="B25" s="774" t="s">
        <v>2420</v>
      </c>
      <c r="C25" s="53">
        <f ca="1">ROUND(IF('数据-取费表'!B22&lt;=1,(C21+C22)*F26*F25/2,(C21+C22)*(POWER((1+F26),F25/2)-1)),0)</f>
        <v>1</v>
      </c>
      <c r="D25" s="2423" t="str">
        <f>IF(F25&lt;=1,"(建造成本+管理费用)×利率×(建设周期÷2)","(建造成本+管理费用)×((1+利率)^(建设周期÷2)-1)")</f>
        <v>(建造成本+管理费用)×利率×(建设周期÷2)</v>
      </c>
      <c r="E25" s="774" t="s">
        <v>672</v>
      </c>
      <c r="F25" s="632">
        <f>'数据-取费表'!B20</f>
        <v>0.5</v>
      </c>
      <c r="G25" s="1528"/>
      <c r="H25" s="793" t="s">
        <v>1868</v>
      </c>
      <c r="I25" s="774" t="s">
        <v>673</v>
      </c>
      <c r="J25" s="53">
        <f ca="1">ROUND(J15*M25,0)</f>
        <v>0</v>
      </c>
      <c r="K25" s="1891" t="s">
        <v>674</v>
      </c>
      <c r="L25" s="774" t="s">
        <v>643</v>
      </c>
      <c r="M25" s="807">
        <f ca="1">INDIRECT("'数据-取费表'!Al"&amp;$G$1)</f>
        <v>1.5E-3</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2.9999999999999997E-4</v>
      </c>
      <c r="D26" s="2423" t="str">
        <f>IF(F25&lt;=1,"销售费用×利率×(建设周期÷2)","销售费用×((1+利率)^(建设周期÷2)-1)")</f>
        <v>销售费用×利率×(建设周期÷2)</v>
      </c>
      <c r="E26" s="774" t="s">
        <v>676</v>
      </c>
      <c r="F26" s="808">
        <f ca="1">'数据-取费表'!B40</f>
        <v>4.3499999999999997E-2</v>
      </c>
      <c r="G26" s="1528"/>
      <c r="H26" s="793" t="s">
        <v>1869</v>
      </c>
      <c r="I26" s="774" t="s">
        <v>660</v>
      </c>
      <c r="J26" s="53">
        <f ca="1">ROUND(J7*M26,0)</f>
        <v>0</v>
      </c>
      <c r="K26" s="1891" t="s">
        <v>677</v>
      </c>
      <c r="L26" s="774" t="s">
        <v>643</v>
      </c>
      <c r="M26" s="784">
        <f ca="1">INDIRECT("'数据-取费表'!Am"&amp;$G$1)</f>
        <v>0.03</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7"/>
      <c r="H27" s="787" t="s">
        <v>1818</v>
      </c>
      <c r="I27" s="2724" t="s">
        <v>2801</v>
      </c>
      <c r="J27" s="789">
        <f ca="1">J7-J18</f>
        <v>-7</v>
      </c>
      <c r="K27" s="1893" t="s">
        <v>694</v>
      </c>
      <c r="L27" s="1895"/>
      <c r="M27" s="809"/>
    </row>
    <row r="28" spans="1:25" ht="18" customHeight="1">
      <c r="A28" s="793" t="s">
        <v>1865</v>
      </c>
      <c r="B28" s="774" t="s">
        <v>2421</v>
      </c>
      <c r="C28" s="53">
        <f ca="1">ROUND((C21+C22)*F28,0)</f>
        <v>2</v>
      </c>
      <c r="D28" s="801" t="s">
        <v>695</v>
      </c>
      <c r="E28" s="785" t="s">
        <v>696</v>
      </c>
      <c r="F28" s="784">
        <f ca="1">INDIRECT("'数据-取费表'!q"&amp;$G$1)</f>
        <v>0.05</v>
      </c>
      <c r="G28" s="1527"/>
      <c r="H28" s="771" t="s">
        <v>1827</v>
      </c>
      <c r="I28" s="772" t="s">
        <v>697</v>
      </c>
      <c r="J28" s="773">
        <f ca="1">IF(J7&lt;&gt;0,ROUND(J27*(1-((1+M30)/(1+M28))^M29)/(M28-M30),0),0)</f>
        <v>0</v>
      </c>
      <c r="K28" s="803" t="s">
        <v>698</v>
      </c>
      <c r="L28" s="774" t="s">
        <v>699</v>
      </c>
      <c r="M28" s="784">
        <f ca="1">INDIRECT("'数据-取费表'!I"&amp;$G$1)</f>
        <v>7.0000000000000007E-2</v>
      </c>
    </row>
    <row r="29" spans="1:25" ht="18" customHeight="1">
      <c r="A29" s="793" t="s">
        <v>1839</v>
      </c>
      <c r="B29" s="774" t="s">
        <v>680</v>
      </c>
      <c r="C29" s="53">
        <f ca="1">ROUND(F23*F28,4)</f>
        <v>1.5E-3</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2802</v>
      </c>
      <c r="C31" s="2397">
        <f ca="1">ROUND((C21+C22+C25+C28)/(1-F23-C26-C29-C30),0)</f>
        <v>55</v>
      </c>
      <c r="D31" s="2398"/>
      <c r="E31" s="2399"/>
      <c r="F31" s="2400"/>
      <c r="G31" s="1528"/>
      <c r="H31" s="812" t="s">
        <v>1862</v>
      </c>
      <c r="I31" s="2725" t="s">
        <v>2803</v>
      </c>
      <c r="J31" s="814">
        <f ca="1">ROUND(J28/(1+F45)^F46,0)</f>
        <v>0</v>
      </c>
      <c r="K31" s="815" t="s">
        <v>682</v>
      </c>
      <c r="L31" s="816"/>
      <c r="M31" s="817">
        <f ca="1">INDIRECT("'数据-取费表'!k"&amp;$G$1)</f>
        <v>198.07</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11</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9</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1865</v>
      </c>
      <c r="B34" s="774" t="s">
        <v>654</v>
      </c>
      <c r="C34" s="53">
        <f ca="1">ROUND(C8*F34/(1+'数据-取费表'!C42),1)</f>
        <v>2.5</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5.4</v>
      </c>
      <c r="D35" s="800" t="s">
        <v>3358</v>
      </c>
      <c r="E35" s="774" t="s">
        <v>643</v>
      </c>
      <c r="F35" s="799">
        <f>IF(D35="按租金收入计税",'数据-取费表'!B51,'数据-取费表'!B50)</f>
        <v>0.12</v>
      </c>
      <c r="G35" s="1945"/>
      <c r="H35" s="1960"/>
      <c r="I35" s="1960"/>
      <c r="J35" s="1960"/>
      <c r="K35" s="1961"/>
      <c r="L35" s="1960"/>
      <c r="M35" s="1960"/>
    </row>
    <row r="36" spans="1:18" ht="18" customHeight="1">
      <c r="A36" s="802" t="s">
        <v>1870</v>
      </c>
      <c r="B36" s="339" t="s">
        <v>662</v>
      </c>
      <c r="C36" s="54">
        <f ca="1">ROUND(F36*F37/10000,1)</f>
        <v>1.3</v>
      </c>
      <c r="D36" s="803" t="s">
        <v>663</v>
      </c>
      <c r="E36" s="774" t="s">
        <v>664</v>
      </c>
      <c r="F36" s="632">
        <f>'数据-取费表'!B52</f>
        <v>9</v>
      </c>
      <c r="G36" s="1945"/>
      <c r="H36" s="1948"/>
      <c r="I36" s="3543"/>
      <c r="J36" s="1962"/>
      <c r="K36" s="1963"/>
      <c r="L36" s="1962"/>
      <c r="M36" s="1962"/>
    </row>
    <row r="37" spans="1:18" ht="18" customHeight="1">
      <c r="A37" s="804"/>
      <c r="B37" s="783"/>
      <c r="C37" s="69"/>
      <c r="D37" s="805"/>
      <c r="E37" s="774" t="s">
        <v>668</v>
      </c>
      <c r="F37" s="775">
        <f ca="1">INDIRECT("'数据-取费表'!r"&amp;$G$1)</f>
        <v>1442.46</v>
      </c>
      <c r="G37" s="1945"/>
      <c r="H37" s="1948"/>
      <c r="I37" s="3543"/>
      <c r="J37" s="1960"/>
      <c r="K37" s="1961"/>
      <c r="L37" s="1960"/>
      <c r="M37" s="1960"/>
    </row>
    <row r="38" spans="1:18" ht="18" customHeight="1">
      <c r="A38" s="793" t="s">
        <v>1867</v>
      </c>
      <c r="B38" s="774" t="s">
        <v>670</v>
      </c>
      <c r="C38" s="53">
        <f ca="1">ROUND(C31*F38,1)</f>
        <v>0.8</v>
      </c>
      <c r="D38" s="1891" t="s">
        <v>685</v>
      </c>
      <c r="E38" s="774" t="s">
        <v>643</v>
      </c>
      <c r="F38" s="806">
        <f ca="1">INDIRECT("'数据-取费表'!Ak"&amp;$G$1)</f>
        <v>1.4999999999999999E-2</v>
      </c>
      <c r="G38" s="1945"/>
      <c r="H38" s="1960"/>
      <c r="I38" s="3022"/>
      <c r="J38" s="1900"/>
      <c r="K38" s="1964"/>
      <c r="L38" s="1960"/>
      <c r="M38" s="1960"/>
    </row>
    <row r="39" spans="1:18" ht="18" customHeight="1">
      <c r="A39" s="793" t="s">
        <v>1868</v>
      </c>
      <c r="B39" s="774" t="s">
        <v>673</v>
      </c>
      <c r="C39" s="53">
        <f ca="1">ROUND(C15*F39,1)</f>
        <v>0.1</v>
      </c>
      <c r="D39" s="1891" t="s">
        <v>674</v>
      </c>
      <c r="E39" s="774" t="s">
        <v>643</v>
      </c>
      <c r="F39" s="807">
        <f ca="1">INDIRECT("'数据-取费表'!Al"&amp;$G$1)</f>
        <v>1.5E-3</v>
      </c>
      <c r="G39" s="1945"/>
      <c r="H39" s="1960"/>
      <c r="I39" s="3022"/>
      <c r="J39" s="1900"/>
      <c r="K39" s="1964"/>
      <c r="L39" s="1960"/>
      <c r="M39" s="1960"/>
    </row>
    <row r="40" spans="1:18" ht="18" customHeight="1" thickBot="1">
      <c r="A40" s="2413" t="s">
        <v>1869</v>
      </c>
      <c r="B40" s="2399" t="s">
        <v>660</v>
      </c>
      <c r="C40" s="2397">
        <f ca="1">ROUND(C7*F40,1)</f>
        <v>1.4</v>
      </c>
      <c r="D40" s="2398" t="s">
        <v>677</v>
      </c>
      <c r="E40" s="2399" t="s">
        <v>643</v>
      </c>
      <c r="F40" s="2395">
        <f ca="1">INDIRECT("'数据-取费表'!Am"&amp;$G$1)</f>
        <v>0.03</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36</v>
      </c>
      <c r="D42" s="1893" t="s">
        <v>688</v>
      </c>
      <c r="E42" s="1895"/>
      <c r="F42" s="809"/>
      <c r="G42" s="1945"/>
      <c r="H42" s="1945"/>
      <c r="I42" s="1945"/>
      <c r="J42" s="1945"/>
      <c r="K42" s="1965"/>
      <c r="L42" s="1945"/>
      <c r="M42" s="1945"/>
    </row>
    <row r="43" spans="1:18" ht="18" customHeight="1">
      <c r="A43" s="793" t="s">
        <v>1867</v>
      </c>
      <c r="B43" s="824" t="s">
        <v>705</v>
      </c>
      <c r="C43" s="825">
        <f ca="1">ROUND(C15*F43,0)</f>
        <v>4</v>
      </c>
      <c r="D43" s="1309" t="s">
        <v>706</v>
      </c>
      <c r="E43" s="2795" t="s">
        <v>2927</v>
      </c>
      <c r="F43" s="2796">
        <f ca="1">INDIRECT("'数据-取费表'!j"&amp;$G$1)</f>
        <v>0.08</v>
      </c>
      <c r="G43" s="1945"/>
      <c r="H43" s="1945">
        <f ca="1">C43/C42</f>
        <v>0.1111111111111111</v>
      </c>
      <c r="I43" s="1945"/>
      <c r="J43" s="1945"/>
      <c r="K43" s="1965"/>
      <c r="L43" s="1945"/>
      <c r="M43" s="1945"/>
    </row>
    <row r="44" spans="1:18" ht="18" customHeight="1">
      <c r="A44" s="793" t="s">
        <v>1868</v>
      </c>
      <c r="B44" s="824" t="s">
        <v>707</v>
      </c>
      <c r="C44" s="1310">
        <f ca="1">C42-C43</f>
        <v>32</v>
      </c>
      <c r="D44" s="457" t="s">
        <v>708</v>
      </c>
      <c r="E44" s="458"/>
      <c r="F44" s="459"/>
      <c r="G44" s="1945"/>
      <c r="H44" s="1945"/>
      <c r="I44" s="1945"/>
      <c r="J44" s="1945"/>
      <c r="K44" s="1965"/>
      <c r="L44" s="1945"/>
      <c r="M44" s="1945"/>
    </row>
    <row r="45" spans="1:18" ht="18" customHeight="1">
      <c r="A45" s="793" t="s">
        <v>1869</v>
      </c>
      <c r="B45" s="1309" t="s">
        <v>709</v>
      </c>
      <c r="C45" s="2751">
        <f ca="1">ROUND(-PV(F45,F46,C44,0),0)</f>
        <v>453</v>
      </c>
      <c r="D45" s="1311" t="s">
        <v>710</v>
      </c>
      <c r="E45" s="796" t="s">
        <v>711</v>
      </c>
      <c r="F45" s="819">
        <f ca="1">INDIRECT("'数据-取费表'!h"&amp;$G$1)</f>
        <v>6.5000000000000002E-2</v>
      </c>
      <c r="G45" s="1945"/>
      <c r="H45" s="1945"/>
      <c r="I45" s="1945"/>
      <c r="J45" s="1945"/>
      <c r="K45" s="1965"/>
      <c r="L45" s="1945"/>
      <c r="M45" s="1945"/>
    </row>
    <row r="46" spans="1:18" ht="18" customHeight="1" thickBot="1">
      <c r="A46" s="820"/>
      <c r="B46" s="1312"/>
      <c r="C46" s="1313"/>
      <c r="D46" s="1314"/>
      <c r="E46" s="2797" t="s">
        <v>2930</v>
      </c>
      <c r="F46" s="3594">
        <v>40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7"/>
      <c r="Q47" s="1535"/>
      <c r="R47" s="1527"/>
    </row>
    <row r="48" spans="1:18" s="1942" customFormat="1" ht="18" customHeight="1" thickBot="1">
      <c r="A48" s="1966"/>
      <c r="C48" s="1969"/>
      <c r="D48" s="1970"/>
      <c r="E48" s="1970"/>
      <c r="F48" s="1971"/>
      <c r="G48" s="1972"/>
      <c r="I48" s="2802" t="s">
        <v>2328</v>
      </c>
      <c r="J48" s="2236"/>
      <c r="K48" s="2808" t="s">
        <v>2333</v>
      </c>
      <c r="L48" s="2812">
        <f ca="1">INDIRECT("'数据-取费表'!d"&amp;$G$1)</f>
        <v>40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40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v>2021</v>
      </c>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55</v>
      </c>
      <c r="R51" s="2254" t="s">
        <v>2364</v>
      </c>
    </row>
    <row r="52" spans="1:18" s="1942" customFormat="1" ht="18" customHeight="1" thickBot="1">
      <c r="A52" s="1978"/>
      <c r="F52" s="1967"/>
      <c r="I52" s="2803" t="s">
        <v>2332</v>
      </c>
      <c r="J52" s="2807">
        <f>IF(J50="",J51,J50+J51-YEAR('数据-取费表'!B3))</f>
        <v>121</v>
      </c>
      <c r="K52" s="2799" t="s">
        <v>2338</v>
      </c>
      <c r="L52" s="2813">
        <f ca="1">C45</f>
        <v>453</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2942</v>
      </c>
      <c r="J54" s="2858">
        <f ca="1">IF(M48="住宅",MAX(J52,L49-'数据-取费表'!B20),MIN(J52,L49-'数据-取费表'!B20))</f>
        <v>39.5</v>
      </c>
      <c r="K54" s="3548"/>
      <c r="L54" s="3549"/>
      <c r="O54" s="2256" t="s">
        <v>2372</v>
      </c>
      <c r="P54" s="2254" t="s">
        <v>2373</v>
      </c>
      <c r="Q54" s="2255">
        <f ca="1">J54</f>
        <v>39.5</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7"/>
      <c r="Q56" s="1535"/>
      <c r="R56" s="1527"/>
    </row>
    <row r="57" spans="1:18" s="1942" customFormat="1" ht="43.5" thickBot="1">
      <c r="A57" s="1978"/>
      <c r="B57" s="1979"/>
      <c r="C57" s="1979"/>
      <c r="I57" s="2818" t="s">
        <v>2341</v>
      </c>
      <c r="J57" s="2828" t="s">
        <v>1669</v>
      </c>
      <c r="K57" s="2799" t="s">
        <v>2346</v>
      </c>
      <c r="L57" s="1822" t="str">
        <f ca="1">IF(L49&lt;J52,"——",L49-J52)</f>
        <v>——</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t="str">
        <f ca="1">IF(L49&lt;J52,"——",IF(L56="比较法",L50,IF(L56="基准地价",L51,L52)))</f>
        <v>——</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f ca="1">L61</f>
        <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f ca="1">IF(OR(M48="住宅",L49&lt;J52),0,ROUND(L58*(L59/L60-1),0))</f>
        <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2910</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f ca="1">Q58+Q59</f>
        <v>0</v>
      </c>
      <c r="R64" s="2258" t="s">
        <v>2376</v>
      </c>
    </row>
    <row r="65" spans="1:18" s="1942" customFormat="1" ht="16.5" thickBot="1">
      <c r="A65" s="1978"/>
      <c r="B65" s="1979"/>
      <c r="C65" s="1979"/>
      <c r="I65" s="2824" t="s">
        <v>2355</v>
      </c>
      <c r="J65" s="2825">
        <v>50</v>
      </c>
      <c r="K65" s="2825">
        <v>35</v>
      </c>
      <c r="L65" s="2825">
        <v>60</v>
      </c>
      <c r="M65" s="835">
        <v>0</v>
      </c>
      <c r="O65" s="2259" t="s">
        <v>2399</v>
      </c>
      <c r="P65" s="1527"/>
      <c r="Q65" s="1535"/>
      <c r="R65" s="1527"/>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f ca="1">L61</f>
        <v>0</v>
      </c>
      <c r="R68" s="2258" t="s">
        <v>2398</v>
      </c>
    </row>
    <row r="69" spans="1:18" s="1942" customFormat="1" ht="21.75" thickBot="1">
      <c r="A69" s="1978"/>
      <c r="B69" s="1979"/>
      <c r="C69" s="1979"/>
      <c r="K69" s="1968"/>
      <c r="O69" s="2256" t="s">
        <v>2367</v>
      </c>
      <c r="P69" s="2254" t="s">
        <v>2397</v>
      </c>
      <c r="Q69" s="2260">
        <f ca="1">L52</f>
        <v>453</v>
      </c>
      <c r="R69" s="2261" t="s">
        <v>2400</v>
      </c>
    </row>
    <row r="70" spans="1:18" s="1942" customFormat="1" ht="20.25" thickBot="1">
      <c r="A70" s="1978"/>
      <c r="B70" s="1979"/>
      <c r="C70" s="1979"/>
      <c r="K70" s="1968"/>
      <c r="O70" s="2256" t="s">
        <v>2368</v>
      </c>
      <c r="P70" s="2262" t="s">
        <v>2382</v>
      </c>
      <c r="Q70" s="2255">
        <f ca="1">ROUND(Q71-Q72*Q73,0)</f>
        <v>32</v>
      </c>
      <c r="R70" s="2258"/>
    </row>
    <row r="71" spans="1:18" s="1942" customFormat="1" ht="15.75" thickBot="1">
      <c r="A71" s="1978"/>
      <c r="B71" s="1979"/>
      <c r="C71" s="1979"/>
      <c r="K71" s="1968"/>
      <c r="O71" s="2256" t="s">
        <v>2383</v>
      </c>
      <c r="P71" s="2262" t="s">
        <v>2384</v>
      </c>
      <c r="Q71" s="2255">
        <f ca="1">C42</f>
        <v>36</v>
      </c>
      <c r="R71" s="2254" t="s">
        <v>2364</v>
      </c>
    </row>
    <row r="72" spans="1:18" s="1942" customFormat="1" ht="15.75" thickBot="1">
      <c r="A72" s="1978"/>
      <c r="B72" s="1979"/>
      <c r="C72" s="1979"/>
      <c r="K72" s="1968"/>
      <c r="O72" s="2256" t="s">
        <v>2385</v>
      </c>
      <c r="P72" s="2262" t="s">
        <v>2386</v>
      </c>
      <c r="Q72" s="2255">
        <f ca="1">C15</f>
        <v>50</v>
      </c>
      <c r="R72" s="2254" t="s">
        <v>2364</v>
      </c>
    </row>
    <row r="73" spans="1:18" s="1942" customFormat="1" ht="15.75" thickBot="1">
      <c r="A73" s="1978"/>
      <c r="B73" s="1979"/>
      <c r="C73" s="1979"/>
      <c r="K73" s="1968"/>
      <c r="O73" s="2256" t="s">
        <v>2387</v>
      </c>
      <c r="P73" s="2262" t="s">
        <v>2388</v>
      </c>
      <c r="Q73" s="2257">
        <f ca="1">F43</f>
        <v>0.08</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f ca="1">Q67+Q68</f>
        <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1891</v>
      </c>
      <c r="B36" s="1583" t="s">
        <v>1892</v>
      </c>
    </row>
    <row r="37" spans="1:9" ht="28.5" customHeight="1">
      <c r="A37" s="1583"/>
      <c r="B37" s="3280" t="str">
        <f>项目基本情况!B1</f>
        <v>吉林省延吉市爱丹路1709号101出让国有建设用地使用权市场价格预评估</v>
      </c>
      <c r="C37" s="3280"/>
      <c r="D37" s="3280"/>
      <c r="E37" s="3280"/>
      <c r="F37" s="3280"/>
      <c r="G37" s="3280"/>
      <c r="H37" s="3280"/>
      <c r="I37" s="3280"/>
    </row>
    <row r="38" spans="1:9">
      <c r="A38" s="1585"/>
      <c r="B38" s="1585"/>
    </row>
    <row r="39" spans="1:9">
      <c r="A39" s="1583" t="s">
        <v>1891</v>
      </c>
      <c r="B39" s="1583" t="s">
        <v>2034</v>
      </c>
    </row>
    <row r="40" spans="1:9">
      <c r="A40" s="1583"/>
      <c r="B40" s="1583">
        <f>项目基本情况!B5</f>
        <v>0</v>
      </c>
    </row>
    <row r="41" spans="1:9">
      <c r="A41" s="1583"/>
      <c r="B41" s="1583"/>
    </row>
    <row r="42" spans="1:9">
      <c r="A42" s="1583" t="s">
        <v>1891</v>
      </c>
      <c r="B42" s="1583" t="s">
        <v>2035</v>
      </c>
    </row>
    <row r="43" spans="1:9">
      <c r="A43" s="1583"/>
      <c r="B43" s="1583" t="s">
        <v>1893</v>
      </c>
    </row>
    <row r="44" spans="1:9">
      <c r="A44" s="1583"/>
      <c r="B44" s="1583"/>
    </row>
    <row r="45" spans="1:9">
      <c r="A45" s="1583" t="s">
        <v>1891</v>
      </c>
      <c r="B45" s="1583" t="s">
        <v>2033</v>
      </c>
    </row>
    <row r="46" spans="1:9" s="1583" customFormat="1" ht="12.75">
      <c r="B46" s="1583" t="str">
        <f>项目基本情况!K4</f>
        <v>土地估价师、土地估价师</v>
      </c>
    </row>
    <row r="47" spans="1:9">
      <c r="A47" s="1583"/>
      <c r="B47" s="1583"/>
    </row>
    <row r="48" spans="1:9">
      <c r="A48" s="1583" t="s">
        <v>1891</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B4" sqref="B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3008</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362.17502855240792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1674</v>
      </c>
      <c r="B3" s="419">
        <f ca="1">ROUND(B2*10000/IF(B1="",'数据-汇总表'!E3,INDIRECT("'数据-取费表'!K"&amp;$K$1)),0)</f>
        <v>18285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2511</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167</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2">
        <f ca="1">SUM(C10:K10)</f>
        <v>480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3008</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1836</v>
      </c>
      <c r="B9" s="432" t="s">
        <v>467</v>
      </c>
      <c r="C9" s="435">
        <f>SUMIF('数据-汇总表'!$C19:$C33,'剩余法-现房'!C7,'数据-汇总表'!$E19:$E33)</f>
        <v>198.07</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1837</v>
      </c>
      <c r="B10" s="1553" t="s">
        <v>468</v>
      </c>
      <c r="C10" s="1554">
        <f ca="1">不动产收益法!C40</f>
        <v>480</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1854</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1838</v>
      </c>
      <c r="B13" s="443" t="s">
        <v>473</v>
      </c>
      <c r="C13" s="444">
        <f ca="1">IF(B1="",'数据-取费表'!M16,INDIRECT("'数据-取费表'!M"&amp;$K$1)+INDIRECT("'数据-取费表'!t"&amp;$K$1))</f>
        <v>40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1839</v>
      </c>
      <c r="B14" s="443" t="s">
        <v>474</v>
      </c>
      <c r="C14" s="53">
        <f ca="1">ROUND(C13*F14,0)</f>
        <v>2</v>
      </c>
      <c r="D14" s="445"/>
      <c r="E14" s="363"/>
      <c r="F14" s="447">
        <f>'数据-取费表'!B33</f>
        <v>0.05</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1840</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1841</v>
      </c>
      <c r="B16" s="443" t="s">
        <v>478</v>
      </c>
      <c r="C16" s="53">
        <f ca="1">ROUND(D16*E16/10000,0)</f>
        <v>3</v>
      </c>
      <c r="D16" s="445">
        <f ca="1">IF(B1="",'数据-汇总表'!E3,INDIRECT("'数据-取费表'!K"&amp;$K$1)+INDIRECT("'数据-取费表'!S"&amp;$K$1))</f>
        <v>198.07</v>
      </c>
      <c r="E16" s="53">
        <f>'数据-取费表'!B35</f>
        <v>140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1842</v>
      </c>
      <c r="B17" s="443" t="s">
        <v>479</v>
      </c>
      <c r="C17" s="448">
        <f ca="1">ROUND(C13*F17,0)</f>
        <v>1</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1843</v>
      </c>
      <c r="B18" s="453" t="s">
        <v>481</v>
      </c>
      <c r="C18" s="454">
        <f ca="1">SUM(C13:C17)</f>
        <v>46</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1844</v>
      </c>
      <c r="B19" s="453" t="s">
        <v>487</v>
      </c>
      <c r="C19" s="454">
        <f ca="1">ROUND(C18*F19,0)</f>
        <v>1</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1845</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1848</v>
      </c>
      <c r="B21" s="455" t="s">
        <v>488</v>
      </c>
      <c r="C21" s="464">
        <f ca="1">C22</f>
        <v>1</v>
      </c>
      <c r="D21" s="461">
        <f ca="1">C23</f>
        <v>2.9999999999999997E-4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2" t="s">
        <v>1838</v>
      </c>
      <c r="B22" s="1282" t="s">
        <v>2418</v>
      </c>
      <c r="C22" s="481">
        <f ca="1">ROUND(IF('数据-取费表'!B22&lt;=1,(C18+C19)*F21*'数据-取费表'!B20/2,(C18+C19)*(POWER((1+F21),'数据-取费表'!B20/2)-1)),0)</f>
        <v>1</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1839</v>
      </c>
      <c r="B23" s="1282" t="s">
        <v>502</v>
      </c>
      <c r="C23" s="482">
        <f ca="1">ROUND(IF('数据-取费表'!B22&lt;=1,F20*F21*'数据-取费表'!B20/2,F20*(POWER((1+F21),'数据-取费表'!B20/2)-1)),4)</f>
        <v>2.9999999999999997E-4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1849</v>
      </c>
      <c r="B24" s="2745" t="s">
        <v>2811</v>
      </c>
      <c r="C24" s="472">
        <f ca="1">C25</f>
        <v>2</v>
      </c>
      <c r="D24" s="483">
        <f ca="1">C26</f>
        <v>1.5E-3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1838</v>
      </c>
      <c r="B25" s="1282" t="s">
        <v>2419</v>
      </c>
      <c r="C25" s="484">
        <f ca="1">ROUND((C18+C19)*F24,0)</f>
        <v>2</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1839</v>
      </c>
      <c r="B26" s="1282" t="s">
        <v>503</v>
      </c>
      <c r="C26" s="485">
        <f ca="1">ROUND(F20*F24,4)</f>
        <v>1.5E-3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1857</v>
      </c>
      <c r="B27" s="453" t="s">
        <v>505</v>
      </c>
      <c r="C27" s="2744">
        <f>ROUND(F27/(1+'数据-取费表'!C42),4)</f>
        <v>5.2400000000000002E-2</v>
      </c>
      <c r="D27" s="456" t="s">
        <v>2809</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1858</v>
      </c>
      <c r="B28" s="470" t="s">
        <v>506</v>
      </c>
      <c r="C28" s="464">
        <f ca="1">ROUND((C18+C19+C21+C24)/(1-C20-D21-D24-C27),0)</f>
        <v>55</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1859</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55</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 ca="1">ROUND(C6*F31/(1+'数据-取费表'!C42),0)</f>
        <v>25</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362.17502855240792</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0" zoomScaleNormal="60" zoomScaleSheetLayoutView="80" workbookViewId="0">
      <selection activeCell="H39" sqref="H3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3008</v>
      </c>
      <c r="D1" s="2798" t="s">
        <v>943</v>
      </c>
      <c r="E1" s="2242" t="s">
        <v>2358</v>
      </c>
      <c r="F1" s="2243">
        <f ca="1">J53</f>
        <v>40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480</v>
      </c>
      <c r="C2" s="3264"/>
      <c r="D2" s="3265"/>
      <c r="E2" s="3266"/>
      <c r="F2" s="3266"/>
      <c r="G2" s="3260"/>
      <c r="H2" s="1940"/>
      <c r="I2" s="1940"/>
      <c r="J2" s="1940"/>
      <c r="K2" s="1941"/>
      <c r="L2" s="1940"/>
      <c r="M2" s="1940"/>
    </row>
    <row r="3" spans="1:33" ht="18" customHeight="1" thickBot="1">
      <c r="A3" s="822" t="s">
        <v>1717</v>
      </c>
      <c r="B3" s="823">
        <f ca="1">IF(ISERROR(B2*10000/F43),0,ROUND(B2*10000/F43,0))</f>
        <v>24234</v>
      </c>
      <c r="C3" s="3264"/>
      <c r="D3" s="3265"/>
      <c r="E3" s="3266"/>
      <c r="F3" s="3266"/>
      <c r="G3" s="3260"/>
      <c r="H3" s="766" t="s">
        <v>689</v>
      </c>
      <c r="I3" s="1316"/>
      <c r="J3" s="1316"/>
      <c r="K3" s="1526"/>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47</v>
      </c>
      <c r="D5" s="2349" t="s">
        <v>2442</v>
      </c>
      <c r="E5" s="2343"/>
      <c r="F5" s="2344"/>
      <c r="G5" s="1945"/>
      <c r="H5" s="771">
        <v>1</v>
      </c>
      <c r="I5" s="772" t="s">
        <v>2439</v>
      </c>
      <c r="J5" s="55">
        <f ca="1">J6+J10+J12</f>
        <v>0</v>
      </c>
      <c r="K5" s="2349" t="s">
        <v>2442</v>
      </c>
      <c r="L5" s="2343"/>
      <c r="M5" s="2344"/>
    </row>
    <row r="6" spans="1:33" ht="18" customHeight="1">
      <c r="A6" s="1745" t="s">
        <v>1814</v>
      </c>
      <c r="B6" s="3544" t="s">
        <v>2444</v>
      </c>
      <c r="C6" s="773">
        <f ca="1">ROUND(F6*F8*F7*(1-F9)/10000,0)</f>
        <v>47</v>
      </c>
      <c r="D6" s="2350" t="s">
        <v>2443</v>
      </c>
      <c r="E6" s="774" t="s">
        <v>1728</v>
      </c>
      <c r="F6" s="775">
        <f ca="1">INDIRECT("'数据-取费表'!u"&amp;$G$1)</f>
        <v>519000</v>
      </c>
      <c r="G6" s="1945"/>
      <c r="H6" s="2357" t="s">
        <v>2449</v>
      </c>
      <c r="I6" s="3544" t="s">
        <v>2444</v>
      </c>
      <c r="J6" s="773">
        <f ca="1">ROUND(M6*M8*M7*(1-M9)/10000,0)</f>
        <v>0</v>
      </c>
      <c r="K6" s="339" t="s">
        <v>1727</v>
      </c>
      <c r="L6" s="774" t="s">
        <v>1728</v>
      </c>
      <c r="M6" s="775">
        <f ca="1">INDIRECT("'数据-取费表'!z"&amp;$G$1)</f>
        <v>0</v>
      </c>
    </row>
    <row r="7" spans="1:33" ht="18" customHeight="1">
      <c r="A7" s="2353"/>
      <c r="B7" s="3545"/>
      <c r="C7" s="778"/>
      <c r="D7" s="779"/>
      <c r="E7" s="774" t="s">
        <v>1729</v>
      </c>
      <c r="F7" s="775">
        <f ca="1">IF(INDIRECT("'数据-取费表'!ah"&amp;$G$1)="",INDIRECT("'数据-取费表'!k"&amp;$G$1),INDIRECT("'数据-取费表'!ah"&amp;$G$1))</f>
        <v>1</v>
      </c>
      <c r="G7" s="1945"/>
      <c r="H7" s="2342"/>
      <c r="I7" s="3545"/>
      <c r="J7" s="778"/>
      <c r="K7" s="779"/>
      <c r="L7" s="774" t="s">
        <v>1729</v>
      </c>
      <c r="M7" s="775">
        <f ca="1">F7</f>
        <v>1</v>
      </c>
    </row>
    <row r="8" spans="1:33" ht="18" customHeight="1">
      <c r="A8" s="2346"/>
      <c r="B8" s="3546"/>
      <c r="C8" s="778"/>
      <c r="D8" s="779"/>
      <c r="E8" s="774" t="s">
        <v>1730</v>
      </c>
      <c r="F8" s="775">
        <f ca="1">INDIRECT("'数据-取费表'!ai"&amp;$G$1)</f>
        <v>1</v>
      </c>
      <c r="G8" s="1945"/>
      <c r="H8" s="2342"/>
      <c r="I8" s="3546"/>
      <c r="J8" s="778"/>
      <c r="K8" s="779"/>
      <c r="L8" s="774" t="s">
        <v>1730</v>
      </c>
      <c r="M8" s="775">
        <f ca="1">INDIRECT("'数据-取费表'!ai"&amp;$G$1)</f>
        <v>1</v>
      </c>
    </row>
    <row r="9" spans="1:33" ht="18" customHeight="1">
      <c r="A9" s="776"/>
      <c r="B9" s="3547"/>
      <c r="C9" s="778"/>
      <c r="D9" s="779"/>
      <c r="E9" s="774" t="s">
        <v>1731</v>
      </c>
      <c r="F9" s="784">
        <f ca="1">INDIRECT("'数据-取费表'!w"&amp;$G$1)</f>
        <v>0.1</v>
      </c>
      <c r="G9" s="1945"/>
      <c r="H9" s="2358"/>
      <c r="I9" s="3546"/>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2938</v>
      </c>
      <c r="E10" s="2351" t="s">
        <v>2445</v>
      </c>
      <c r="F10" s="2465" t="s">
        <v>3182</v>
      </c>
      <c r="G10" s="1945"/>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50</v>
      </c>
      <c r="D13" s="1749" t="s">
        <v>2284</v>
      </c>
      <c r="E13" s="1749" t="s">
        <v>1734</v>
      </c>
      <c r="F13" s="2389">
        <f ca="1">INDIRECT("'数据-取费表'!y"&amp;$G$1)</f>
        <v>0.9</v>
      </c>
      <c r="G13" s="1945"/>
      <c r="H13" s="1744">
        <v>2</v>
      </c>
      <c r="I13" s="1742" t="s">
        <v>1732</v>
      </c>
      <c r="J13" s="1734">
        <f ca="1">ROUND(J14*J15,0)</f>
        <v>0</v>
      </c>
      <c r="K13" s="1736" t="s">
        <v>1733</v>
      </c>
      <c r="L13" s="2405"/>
      <c r="M13" s="2406"/>
    </row>
    <row r="14" spans="1:33" ht="18" customHeight="1">
      <c r="A14" s="1577" t="s">
        <v>1874</v>
      </c>
      <c r="B14" s="774" t="s">
        <v>639</v>
      </c>
      <c r="C14" s="794">
        <f ca="1">INDIRECT("'数据-取费表'!m"&amp;$G$1)+INDIRECT("'数据-取费表'!t"&amp;$G$1)</f>
        <v>40</v>
      </c>
      <c r="D14" s="1893" t="s">
        <v>1735</v>
      </c>
      <c r="E14" s="1894"/>
      <c r="F14" s="795"/>
      <c r="G14" s="1945"/>
      <c r="H14" s="1578" t="s">
        <v>1820</v>
      </c>
      <c r="I14" s="2111" t="s">
        <v>2805</v>
      </c>
      <c r="J14" s="53">
        <f ca="1">C29</f>
        <v>55</v>
      </c>
      <c r="K14" s="26"/>
      <c r="L14" s="791"/>
      <c r="M14" s="792"/>
    </row>
    <row r="15" spans="1:33" s="1947" customFormat="1" ht="18" customHeight="1" thickBot="1">
      <c r="A15" s="1577" t="s">
        <v>1875</v>
      </c>
      <c r="B15" s="774" t="s">
        <v>641</v>
      </c>
      <c r="C15" s="53">
        <f ca="1">ROUND(C14*F15,0)</f>
        <v>2</v>
      </c>
      <c r="D15" s="796" t="s">
        <v>1736</v>
      </c>
      <c r="E15" s="796" t="s">
        <v>1737</v>
      </c>
      <c r="F15" s="797">
        <f>'数据-取费表'!B33</f>
        <v>0.05</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7</v>
      </c>
      <c r="K16" s="1736" t="s">
        <v>1740</v>
      </c>
      <c r="L16" s="2339"/>
      <c r="M16" s="2344"/>
    </row>
    <row r="17" spans="1:33" s="1947" customFormat="1" ht="18" customHeight="1">
      <c r="A17" s="1577" t="s">
        <v>1877</v>
      </c>
      <c r="B17" s="774" t="s">
        <v>647</v>
      </c>
      <c r="C17" s="53">
        <f ca="1">ROUND(F17*(F43+INDIRECT("'数据-取费表'!S"&amp;$G$1))/10000,0)</f>
        <v>3</v>
      </c>
      <c r="D17" s="774" t="s">
        <v>1741</v>
      </c>
      <c r="E17" s="774" t="s">
        <v>1742</v>
      </c>
      <c r="F17" s="56">
        <f>'数据-取费表'!B35</f>
        <v>140</v>
      </c>
      <c r="G17" s="3261"/>
      <c r="H17" s="1578" t="s">
        <v>1820</v>
      </c>
      <c r="I17" s="774" t="s">
        <v>650</v>
      </c>
      <c r="J17" s="3019">
        <f ca="1">ROUND(IF(AND(项目基本情况!B11="自然人",项目基本情况!B10="北京市"),J6*M17/(1+'数据-取费表'!C42),J18+J19+J20),0)</f>
        <v>6</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1878</v>
      </c>
      <c r="B18" s="774" t="s">
        <v>653</v>
      </c>
      <c r="C18" s="53">
        <f ca="1">ROUND(C14*F18,0)</f>
        <v>1</v>
      </c>
      <c r="D18" s="774" t="s">
        <v>1736</v>
      </c>
      <c r="E18" s="774" t="s">
        <v>1737</v>
      </c>
      <c r="F18" s="799">
        <f>'数据-取费表'!B36</f>
        <v>1.4999999999999999E-2</v>
      </c>
      <c r="G18" s="3261"/>
      <c r="H18" s="1577"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1820</v>
      </c>
      <c r="B19" s="774" t="s">
        <v>656</v>
      </c>
      <c r="C19" s="53">
        <f ca="1">SUM(C14:C18)</f>
        <v>46</v>
      </c>
      <c r="D19" s="259" t="s">
        <v>1747</v>
      </c>
      <c r="E19" s="1896"/>
      <c r="F19" s="56"/>
      <c r="G19" s="1945"/>
      <c r="H19" s="1577" t="s">
        <v>1875</v>
      </c>
      <c r="I19" s="774" t="s">
        <v>1748</v>
      </c>
      <c r="J19" s="53">
        <f ca="1">IF(K19="按租金收入计税",ROUND(J6*M19/(1+'数据-取费表'!C42),1),ROUND(C29*F33*0.7,1))</f>
        <v>4.5999999999999996</v>
      </c>
      <c r="K19" s="800" t="s">
        <v>659</v>
      </c>
      <c r="L19" s="774" t="s">
        <v>1737</v>
      </c>
      <c r="M19" s="799">
        <f>IF(K19="按租金收入计税",'数据-取费表'!B51,'数据-取费表'!B50)</f>
        <v>1.2E-2</v>
      </c>
    </row>
    <row r="20" spans="1:33" s="1947" customFormat="1" ht="18" customHeight="1">
      <c r="A20" s="1578" t="s">
        <v>1879</v>
      </c>
      <c r="B20" s="774" t="s">
        <v>660</v>
      </c>
      <c r="C20" s="53">
        <f ca="1">ROUND(C19*F20,0)</f>
        <v>1</v>
      </c>
      <c r="D20" s="801" t="s">
        <v>1749</v>
      </c>
      <c r="E20" s="774" t="s">
        <v>1737</v>
      </c>
      <c r="F20" s="799">
        <f>'数据-取费表'!B37</f>
        <v>0.03</v>
      </c>
      <c r="G20" s="3261"/>
      <c r="H20" s="1580" t="s">
        <v>1870</v>
      </c>
      <c r="I20" s="339" t="s">
        <v>1750</v>
      </c>
      <c r="J20" s="54">
        <f ca="1">ROUND(M20*M21/10000,0)</f>
        <v>1</v>
      </c>
      <c r="K20" s="803" t="s">
        <v>1751</v>
      </c>
      <c r="L20" s="774" t="s">
        <v>1752</v>
      </c>
      <c r="M20" s="632">
        <f>'数据-取费表'!B52</f>
        <v>9</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1880</v>
      </c>
      <c r="B21" s="774" t="s">
        <v>1753</v>
      </c>
      <c r="C21" s="53" t="s">
        <v>1754</v>
      </c>
      <c r="D21" s="801" t="s">
        <v>2285</v>
      </c>
      <c r="E21" s="774" t="s">
        <v>1755</v>
      </c>
      <c r="F21" s="799">
        <f>'数据-取费表'!B38</f>
        <v>0.03</v>
      </c>
      <c r="G21" s="3261"/>
      <c r="H21" s="2359"/>
      <c r="I21" s="783"/>
      <c r="J21" s="69"/>
      <c r="K21" s="805"/>
      <c r="L21" s="774" t="s">
        <v>1756</v>
      </c>
      <c r="M21" s="775">
        <f ca="1">INDIRECT("'数据-取费表'!r"&amp;$G$1)</f>
        <v>1442.46</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1881</v>
      </c>
      <c r="B22" s="774" t="s">
        <v>1757</v>
      </c>
      <c r="C22" s="53"/>
      <c r="D22" s="2424" t="str">
        <f>IF(F23&lt;=1,"单利计息。","复利计息。")&amp;"建造成本、管理费用、销售费用产生的利息。"</f>
        <v>单利计息。建造成本、管理费用、销售费用产生的利息。</v>
      </c>
      <c r="E22" s="1896"/>
      <c r="F22" s="56"/>
      <c r="G22" s="1945"/>
      <c r="H22" s="1578" t="s">
        <v>1879</v>
      </c>
      <c r="I22" s="774" t="s">
        <v>1758</v>
      </c>
      <c r="J22" s="53">
        <f ca="1">ROUND(J14*M22,0)</f>
        <v>1</v>
      </c>
      <c r="K22" s="2337" t="s">
        <v>1759</v>
      </c>
      <c r="L22" s="774" t="s">
        <v>1737</v>
      </c>
      <c r="M22" s="806">
        <f ca="1">INDIRECT("'数据-取费表'!Ak"&amp;$G$1)</f>
        <v>1.4999999999999999E-2</v>
      </c>
    </row>
    <row r="23" spans="1:33" s="1947" customFormat="1" ht="18" customHeight="1">
      <c r="A23" s="1577" t="s">
        <v>1821</v>
      </c>
      <c r="B23" s="774" t="s">
        <v>2516</v>
      </c>
      <c r="C23" s="53">
        <f ca="1">ROUND(IF('数据-取费表'!B22&lt;=1,(C19+C20)*F24*F23/2,(C19+C20)*(POWER((1+F24),F23/2)-1)),0)</f>
        <v>1</v>
      </c>
      <c r="D23" s="2423" t="str">
        <f>IF(F23&lt;=1,"(建造成本+管理费用)×利率×(建设周期÷2)","(建造成本+管理费用)×((1+利率)^(建设周期÷2)-1)")</f>
        <v>(建造成本+管理费用)×利率×(建设周期÷2)</v>
      </c>
      <c r="E23" s="774" t="s">
        <v>1760</v>
      </c>
      <c r="F23" s="632">
        <f>'数据-取费表'!B20</f>
        <v>0.5</v>
      </c>
      <c r="G23" s="3261"/>
      <c r="H23" s="1578" t="s">
        <v>1880</v>
      </c>
      <c r="I23" s="774" t="s">
        <v>673</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1822</v>
      </c>
      <c r="B24" s="774" t="s">
        <v>1762</v>
      </c>
      <c r="C24" s="53">
        <f ca="1">ROUND(IF('数据-取费表'!B22&lt;=1,F21*F24*F23/2,F21*(POWER((1+F24),F23/2)-1)),4)</f>
        <v>2.9999999999999997E-4</v>
      </c>
      <c r="D24" s="2423" t="str">
        <f>IF(F23&lt;=1,"销售费用×利率×(建设周期÷2)","销售费用×((1+利率)^(建设周期÷2)-1)")</f>
        <v>销售费用×利率×(建设周期÷2)</v>
      </c>
      <c r="E24" s="774" t="s">
        <v>1763</v>
      </c>
      <c r="F24" s="808">
        <f ca="1">'数据-取费表'!B40</f>
        <v>4.3499999999999997E-2</v>
      </c>
      <c r="G24" s="3261"/>
      <c r="H24" s="2404" t="s">
        <v>1881</v>
      </c>
      <c r="I24" s="2399" t="s">
        <v>660</v>
      </c>
      <c r="J24" s="2397">
        <f ca="1">ROUND(J5*M24,0)</f>
        <v>0</v>
      </c>
      <c r="K24" s="2398" t="s">
        <v>1764</v>
      </c>
      <c r="L24" s="2399" t="s">
        <v>1737</v>
      </c>
      <c r="M24" s="2395">
        <f ca="1">INDIRECT("'数据-取费表'!Am"&amp;$G$1)</f>
        <v>0.03</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1830</v>
      </c>
      <c r="B25" s="774" t="s">
        <v>678</v>
      </c>
      <c r="C25" s="53"/>
      <c r="D25" s="259" t="s">
        <v>1765</v>
      </c>
      <c r="E25" s="1896"/>
      <c r="F25" s="56"/>
      <c r="G25" s="1945"/>
      <c r="H25" s="1744" t="s">
        <v>1766</v>
      </c>
      <c r="I25" s="2723" t="s">
        <v>2801</v>
      </c>
      <c r="J25" s="782">
        <f ca="1">J5-J16</f>
        <v>-7</v>
      </c>
      <c r="K25" s="2401" t="s">
        <v>1767</v>
      </c>
      <c r="L25" s="2402"/>
      <c r="M25" s="2403"/>
    </row>
    <row r="26" spans="1:33" ht="18" customHeight="1">
      <c r="A26" s="1577" t="s">
        <v>1821</v>
      </c>
      <c r="B26" s="774" t="s">
        <v>2421</v>
      </c>
      <c r="C26" s="53">
        <f ca="1">ROUND((C19+C20)*F26,0)</f>
        <v>2</v>
      </c>
      <c r="D26" s="801" t="s">
        <v>1768</v>
      </c>
      <c r="E26" s="785" t="s">
        <v>1769</v>
      </c>
      <c r="F26" s="784">
        <f ca="1">INDIRECT("'数据-取费表'!q"&amp;$G$1)</f>
        <v>0.05</v>
      </c>
      <c r="G26" s="1945"/>
      <c r="H26" s="2355" t="s">
        <v>1770</v>
      </c>
      <c r="I26" s="2112" t="s">
        <v>2806</v>
      </c>
      <c r="J26" s="773">
        <f ca="1">IF(J5&lt;&gt;0,ROUND(J25*(1-((1+M28)/(1+M26))^M27)/(M26-M28),0),0)</f>
        <v>0</v>
      </c>
      <c r="K26" s="803" t="s">
        <v>1771</v>
      </c>
      <c r="L26" s="774" t="s">
        <v>2403</v>
      </c>
      <c r="M26" s="784">
        <f ca="1">INDIRECT("'数据-取费表'!I"&amp;$G$1)</f>
        <v>7.0000000000000007E-2</v>
      </c>
    </row>
    <row r="27" spans="1:33" ht="18" customHeight="1">
      <c r="A27" s="1577" t="s">
        <v>1822</v>
      </c>
      <c r="B27" s="774" t="s">
        <v>680</v>
      </c>
      <c r="C27" s="53">
        <f ca="1">ROUND(F21*F26,4)</f>
        <v>1.5E-3</v>
      </c>
      <c r="D27" s="801" t="s">
        <v>1772</v>
      </c>
      <c r="E27" s="796"/>
      <c r="F27" s="797"/>
      <c r="G27" s="1945"/>
      <c r="H27" s="2356"/>
      <c r="I27" s="777"/>
      <c r="J27" s="778"/>
      <c r="K27" s="810" t="s">
        <v>1773</v>
      </c>
      <c r="L27" s="774" t="s">
        <v>1774</v>
      </c>
      <c r="M27" s="811">
        <f ca="1">INDIRECT("'数据-取费表'!ag"&amp;$G$1)</f>
        <v>0</v>
      </c>
    </row>
    <row r="28" spans="1:33" s="1947" customFormat="1" ht="18" customHeight="1">
      <c r="A28" s="1579"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55</v>
      </c>
      <c r="D29" s="2398"/>
      <c r="E29" s="2399"/>
      <c r="F29" s="2400"/>
      <c r="G29" s="3261"/>
      <c r="H29" s="812" t="s">
        <v>1777</v>
      </c>
      <c r="I29" s="813" t="s">
        <v>1778</v>
      </c>
      <c r="J29" s="814">
        <f ca="1">ROUND(J26/(1+F40)^F41,0)</f>
        <v>0</v>
      </c>
      <c r="K29" s="815" t="s">
        <v>1779</v>
      </c>
      <c r="L29" s="816"/>
      <c r="M29" s="817">
        <f ca="1">INDIRECT("'数据-取费表'!k"&amp;$G$1)</f>
        <v>198.07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11</v>
      </c>
      <c r="D30" s="1736" t="s">
        <v>1781</v>
      </c>
      <c r="E30" s="2339"/>
      <c r="F30" s="2344"/>
      <c r="G30" s="1945"/>
      <c r="H30" s="1948"/>
      <c r="I30" s="1949"/>
      <c r="J30" s="1950"/>
      <c r="K30" s="1951"/>
      <c r="L30" s="1952"/>
      <c r="M30" s="1953"/>
    </row>
    <row r="31" spans="1:33" ht="18" customHeight="1">
      <c r="A31" s="1578" t="s">
        <v>1820</v>
      </c>
      <c r="B31" s="774" t="s">
        <v>650</v>
      </c>
      <c r="C31" s="3019">
        <f ca="1">ROUND(IF(AND(项目基本情况!B11="自然人",项目基本情况!B10="北京市"),C6*F31/(1+'数据-取费表'!C42),C32+C33+C34),0)</f>
        <v>9</v>
      </c>
      <c r="D31" s="1893" t="s">
        <v>1782</v>
      </c>
      <c r="E31" s="1891" t="s">
        <v>1783</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1821</v>
      </c>
      <c r="B32" s="774" t="s">
        <v>1784</v>
      </c>
      <c r="C32" s="53">
        <f ca="1">ROUND(C6*F32/(1+'数据-取费表'!C42),1)</f>
        <v>2.5</v>
      </c>
      <c r="D32" s="1891" t="s">
        <v>1785</v>
      </c>
      <c r="E32" s="774" t="s">
        <v>1786</v>
      </c>
      <c r="F32" s="799">
        <f>'数据-取费表'!B41</f>
        <v>5.5000000000000007E-2</v>
      </c>
      <c r="G32" s="1945"/>
      <c r="H32" s="1954"/>
      <c r="I32" s="1955"/>
      <c r="J32" s="1956"/>
      <c r="K32" s="1957"/>
      <c r="L32" s="1958"/>
      <c r="M32" s="1959"/>
    </row>
    <row r="33" spans="1:18" ht="18" customHeight="1">
      <c r="A33" s="1577" t="s">
        <v>1822</v>
      </c>
      <c r="B33" s="774" t="s">
        <v>1787</v>
      </c>
      <c r="C33" s="53">
        <f ca="1">IF(D33="按租金收入计税",ROUND(C6*F33/(1+'数据-取费表'!C42),1),IF(D33="按房产原值计税",ROUND(C29*F33*0.7,1),INDIRECT("'数据-取费表'!Aj"&amp;$G$1)))</f>
        <v>5.4</v>
      </c>
      <c r="D33" s="800" t="s">
        <v>3358</v>
      </c>
      <c r="E33" s="774" t="s">
        <v>1786</v>
      </c>
      <c r="F33" s="799">
        <f>IF(D33="按租金收入计税",'数据-取费表'!B51,'数据-取费表'!B50)</f>
        <v>0.12</v>
      </c>
      <c r="G33" s="1945"/>
      <c r="H33" s="1960"/>
      <c r="I33" s="1960"/>
      <c r="J33" s="1960"/>
      <c r="K33" s="1961"/>
      <c r="L33" s="1960"/>
      <c r="M33" s="1960"/>
    </row>
    <row r="34" spans="1:18" ht="18" customHeight="1">
      <c r="A34" s="1580" t="s">
        <v>1823</v>
      </c>
      <c r="B34" s="339" t="s">
        <v>1788</v>
      </c>
      <c r="C34" s="54">
        <f ca="1">ROUND(F34*F35/10000,1)</f>
        <v>1.3</v>
      </c>
      <c r="D34" s="803" t="s">
        <v>1789</v>
      </c>
      <c r="E34" s="774" t="s">
        <v>1790</v>
      </c>
      <c r="F34" s="632">
        <f>'数据-取费表'!B52</f>
        <v>9</v>
      </c>
      <c r="G34" s="1945"/>
      <c r="H34" s="1948"/>
      <c r="I34" s="824" t="s">
        <v>1803</v>
      </c>
      <c r="J34" s="825"/>
      <c r="K34" s="1963"/>
      <c r="L34" s="1962"/>
      <c r="M34" s="1962"/>
    </row>
    <row r="35" spans="1:18" ht="18" customHeight="1">
      <c r="A35" s="804"/>
      <c r="B35" s="783"/>
      <c r="C35" s="69"/>
      <c r="D35" s="805"/>
      <c r="E35" s="774" t="s">
        <v>1791</v>
      </c>
      <c r="F35" s="775">
        <f ca="1">INDIRECT("'数据-取费表'!r"&amp;$G$1)</f>
        <v>1442.46</v>
      </c>
      <c r="G35" s="1945"/>
      <c r="H35" s="1948"/>
      <c r="I35" s="826" t="s">
        <v>1804</v>
      </c>
      <c r="J35" s="827">
        <f ca="1">ROUND(C13*J36,0)</f>
        <v>4</v>
      </c>
      <c r="K35" s="1961"/>
      <c r="L35" s="1960"/>
      <c r="M35" s="1960"/>
    </row>
    <row r="36" spans="1:18" ht="18" customHeight="1">
      <c r="A36" s="1578" t="s">
        <v>1879</v>
      </c>
      <c r="B36" s="774" t="s">
        <v>1792</v>
      </c>
      <c r="C36" s="53">
        <f ca="1">ROUND(C29*F36,1)</f>
        <v>0.8</v>
      </c>
      <c r="D36" s="1891" t="s">
        <v>1793</v>
      </c>
      <c r="E36" s="774" t="s">
        <v>1786</v>
      </c>
      <c r="F36" s="806">
        <f ca="1">INDIRECT("'数据-取费表'!Ak"&amp;$G$1)</f>
        <v>1.4999999999999999E-2</v>
      </c>
      <c r="G36" s="1945"/>
      <c r="H36" s="1960"/>
      <c r="I36" s="828" t="s">
        <v>1805</v>
      </c>
      <c r="J36" s="829">
        <f ca="1">INDIRECT("'数据-取费表'!j"&amp;$G$1)</f>
        <v>0.08</v>
      </c>
      <c r="K36" s="1964"/>
      <c r="L36" s="1960"/>
      <c r="M36" s="1960"/>
    </row>
    <row r="37" spans="1:18" ht="18" customHeight="1">
      <c r="A37" s="1578" t="s">
        <v>1880</v>
      </c>
      <c r="B37" s="774" t="s">
        <v>673</v>
      </c>
      <c r="C37" s="53">
        <f ca="1">ROUND(C13*F37,1)</f>
        <v>0.1</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660</v>
      </c>
      <c r="C38" s="2397">
        <f ca="1">ROUND(C5*F38,1)</f>
        <v>1.4</v>
      </c>
      <c r="D38" s="2398" t="s">
        <v>1795</v>
      </c>
      <c r="E38" s="2399" t="s">
        <v>1786</v>
      </c>
      <c r="F38" s="2395">
        <f ca="1">INDIRECT("'数据-取费表'!Am"&amp;$G$1)</f>
        <v>0.03</v>
      </c>
      <c r="G38" s="1945"/>
      <c r="H38" s="1960"/>
      <c r="I38" s="832" t="s">
        <v>1807</v>
      </c>
      <c r="J38" s="833"/>
      <c r="K38" s="1965"/>
      <c r="L38" s="1960"/>
      <c r="M38" s="1960"/>
    </row>
    <row r="39" spans="1:18" ht="24.6" customHeight="1" thickTop="1">
      <c r="A39" s="1744" t="s">
        <v>1884</v>
      </c>
      <c r="B39" s="2723" t="s">
        <v>2801</v>
      </c>
      <c r="C39" s="782">
        <f ca="1">C5-C30</f>
        <v>36</v>
      </c>
      <c r="D39" s="2401" t="s">
        <v>1796</v>
      </c>
      <c r="E39" s="2402"/>
      <c r="F39" s="2403"/>
      <c r="G39" s="1945"/>
      <c r="H39" s="1960"/>
      <c r="I39" s="826" t="s">
        <v>1808</v>
      </c>
      <c r="J39" s="834">
        <f ca="1">ROUND(J35/C39,3)</f>
        <v>0.111</v>
      </c>
      <c r="K39" s="1965"/>
      <c r="L39" s="1960"/>
      <c r="M39" s="1960"/>
    </row>
    <row r="40" spans="1:18" ht="18" customHeight="1">
      <c r="A40" s="771" t="s">
        <v>1885</v>
      </c>
      <c r="B40" s="2112" t="s">
        <v>2288</v>
      </c>
      <c r="C40" s="773">
        <f ca="1">ROUND(C39*(1-((1+F42)/(1+F40))^F41)/(F40-F42),0)</f>
        <v>480</v>
      </c>
      <c r="D40" s="803" t="s">
        <v>1797</v>
      </c>
      <c r="E40" s="774" t="s">
        <v>2403</v>
      </c>
      <c r="F40" s="784">
        <f ca="1">INDIRECT("'数据-取费表'!I"&amp;$G$1)</f>
        <v>7.0000000000000007E-2</v>
      </c>
      <c r="G40" s="1945"/>
      <c r="H40" s="1945"/>
      <c r="I40" s="826" t="s">
        <v>1809</v>
      </c>
      <c r="J40" s="834">
        <f ca="1">1-J39</f>
        <v>0.88900000000000001</v>
      </c>
      <c r="K40" s="1965"/>
      <c r="L40" s="1945"/>
      <c r="M40" s="1945"/>
    </row>
    <row r="41" spans="1:18" ht="18" customHeight="1">
      <c r="A41" s="776"/>
      <c r="B41" s="777"/>
      <c r="C41" s="778"/>
      <c r="D41" s="810" t="s">
        <v>1798</v>
      </c>
      <c r="E41" s="774" t="s">
        <v>2929</v>
      </c>
      <c r="F41" s="3595">
        <v>40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f ca="1">ROUND(C13/C40,3)</f>
        <v>0.104</v>
      </c>
      <c r="K42" s="1964"/>
      <c r="L42" s="1900"/>
      <c r="M42" s="1900"/>
    </row>
    <row r="43" spans="1:18" ht="18" customHeight="1" thickBot="1">
      <c r="A43" s="812" t="s">
        <v>1777</v>
      </c>
      <c r="B43" s="813" t="s">
        <v>1800</v>
      </c>
      <c r="C43" s="814">
        <f ca="1">ROUND(C40*10000/F43,0)</f>
        <v>24234</v>
      </c>
      <c r="D43" s="815" t="s">
        <v>1801</v>
      </c>
      <c r="E43" s="816" t="s">
        <v>1802</v>
      </c>
      <c r="F43" s="817">
        <f ca="1">INDIRECT("'数据-取费表'!k"&amp;$G$1)</f>
        <v>198.07</v>
      </c>
      <c r="G43" s="1945"/>
      <c r="H43" s="1900"/>
      <c r="I43" s="836" t="s">
        <v>1812</v>
      </c>
      <c r="J43" s="837">
        <f ca="1">1-J42</f>
        <v>0.89600000000000002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-507</v>
      </c>
      <c r="D46" s="3262"/>
      <c r="E46" s="3262"/>
      <c r="F46" s="3262"/>
      <c r="I46" s="2233" t="s">
        <v>2327</v>
      </c>
      <c r="J46" s="2234"/>
      <c r="K46" s="2235"/>
      <c r="L46" s="2811" t="str">
        <f ca="1">IF(OR(M47="住宅",D1="土地（套用方法）"),0,IF(L48&gt;J51,L60,J60))</f>
        <v>0</v>
      </c>
      <c r="M46" s="3263"/>
      <c r="O46" s="2249" t="s">
        <v>2394</v>
      </c>
      <c r="P46" s="1527"/>
      <c r="Q46" s="1535"/>
      <c r="R46" s="1527"/>
    </row>
    <row r="47" spans="1:18" s="1942" customFormat="1" ht="18" customHeight="1" thickBot="1">
      <c r="A47" s="2227">
        <v>1</v>
      </c>
      <c r="B47" s="2228" t="s">
        <v>629</v>
      </c>
      <c r="C47" s="2426">
        <f ca="1">C48+C52+C54</f>
        <v>0</v>
      </c>
      <c r="D47" s="3262"/>
      <c r="E47" s="3262"/>
      <c r="F47" s="3262"/>
      <c r="I47" s="2802" t="s">
        <v>2328</v>
      </c>
      <c r="J47" s="2236" t="s">
        <v>3189</v>
      </c>
      <c r="K47" s="2808" t="s">
        <v>2333</v>
      </c>
      <c r="L47" s="2812">
        <f ca="1">INDIRECT("'数据-取费表'!d"&amp;$G$1)</f>
        <v>40</v>
      </c>
      <c r="M47" s="1535"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9" t="s">
        <v>2329</v>
      </c>
      <c r="J48" s="2237" t="s">
        <v>2334</v>
      </c>
      <c r="K48" s="2809" t="s">
        <v>2335</v>
      </c>
      <c r="L48" s="1822">
        <f ca="1">INDIRECT("'数据-取费表'!f"&amp;$G$1)</f>
        <v>40</v>
      </c>
      <c r="M48" s="3263"/>
      <c r="O48" s="2253" t="s">
        <v>2363</v>
      </c>
      <c r="P48" s="2254" t="s">
        <v>2389</v>
      </c>
      <c r="Q48" s="2255">
        <f ca="1">C40+J29</f>
        <v>480</v>
      </c>
      <c r="R48" s="2254" t="s">
        <v>2364</v>
      </c>
    </row>
    <row r="49" spans="1:18" s="1942" customFormat="1" ht="18" customHeight="1" thickBot="1">
      <c r="A49" s="776"/>
      <c r="B49" s="777"/>
      <c r="C49" s="778"/>
      <c r="D49" s="779"/>
      <c r="E49" s="774" t="s">
        <v>1729</v>
      </c>
      <c r="F49" s="775">
        <f ca="1">F7</f>
        <v>1</v>
      </c>
      <c r="G49" s="1972"/>
      <c r="H49" s="1975"/>
      <c r="I49" s="2799" t="s">
        <v>2330</v>
      </c>
      <c r="J49" s="2238"/>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1730</v>
      </c>
      <c r="F50" s="775">
        <f ca="1">F8</f>
        <v>1</v>
      </c>
      <c r="G50" s="1977"/>
      <c r="H50" s="1975"/>
      <c r="I50" s="2799" t="s">
        <v>2331</v>
      </c>
      <c r="J50" s="2806">
        <f>SUMPRODUCT((I63:I65=J47)*(J62:L62=J48)*(J63:L65))</f>
        <v>50</v>
      </c>
      <c r="K50" s="2810" t="s">
        <v>2337</v>
      </c>
      <c r="L50" s="2239"/>
      <c r="M50" s="3263"/>
      <c r="O50" s="2256" t="s">
        <v>2367</v>
      </c>
      <c r="P50" s="2254" t="s">
        <v>2391</v>
      </c>
      <c r="Q50" s="2255">
        <f ca="1">C29</f>
        <v>55</v>
      </c>
      <c r="R50" s="2254" t="s">
        <v>2364</v>
      </c>
    </row>
    <row r="51" spans="1:18" s="1942" customFormat="1" ht="18" customHeight="1" thickBot="1">
      <c r="A51" s="776"/>
      <c r="B51" s="777"/>
      <c r="C51" s="778"/>
      <c r="D51" s="779"/>
      <c r="E51" s="774" t="s">
        <v>634</v>
      </c>
      <c r="F51" s="2226"/>
      <c r="H51" s="1975"/>
      <c r="I51" s="2803" t="s">
        <v>2332</v>
      </c>
      <c r="J51" s="2807">
        <f>IF(J49="",J50,J49+J50-YEAR('数据-取费表'!B2))</f>
        <v>50</v>
      </c>
      <c r="K51" s="2799" t="s">
        <v>2338</v>
      </c>
      <c r="L51" s="2813">
        <f ca="1">ROUND(-PV(INDIRECT("'数据-取费表'!h"&amp;$G$1),J51,(C39-C13*J36),0),0)</f>
        <v>471</v>
      </c>
      <c r="M51" s="3263"/>
      <c r="O51" s="2256" t="s">
        <v>2368</v>
      </c>
      <c r="P51" s="2254" t="s">
        <v>2369</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2554</v>
      </c>
      <c r="C53" s="2352"/>
      <c r="D53" s="2354"/>
      <c r="E53" s="2351"/>
      <c r="F53" s="790"/>
      <c r="I53" s="2805" t="s">
        <v>2942</v>
      </c>
      <c r="J53" s="2858">
        <f ca="1">IF(M47="住宅",IF(D1="——",MAX(J51,L48),MAX(J51,L48-'数据-取费表'!B20)),IF(D1="——",MIN(J51,L48),MIN(J51,L48-'数据-取费表'!B20)))</f>
        <v>40</v>
      </c>
      <c r="K53" s="3550" t="s">
        <v>2931</v>
      </c>
      <c r="L53" s="3551"/>
      <c r="M53" s="3263"/>
      <c r="O53" s="2256" t="s">
        <v>2372</v>
      </c>
      <c r="P53" s="2254" t="s">
        <v>2373</v>
      </c>
      <c r="Q53" s="2255">
        <f ca="1">J53</f>
        <v>40</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480</v>
      </c>
      <c r="R54" s="2258" t="s">
        <v>2376</v>
      </c>
    </row>
    <row r="55" spans="1:18" s="1942" customFormat="1" ht="18" customHeight="1" thickTop="1" thickBot="1">
      <c r="A55" s="787">
        <v>2</v>
      </c>
      <c r="B55" s="788" t="s">
        <v>638</v>
      </c>
      <c r="C55" s="789">
        <f ca="1">C13</f>
        <v>50</v>
      </c>
      <c r="D55" s="785"/>
      <c r="E55" s="785"/>
      <c r="F55" s="790"/>
      <c r="I55" s="2816" t="s">
        <v>2339</v>
      </c>
      <c r="J55" s="2788" t="e">
        <f ca="1">ROUND(IF(J47="钢混",J57/J50,1-(1-2%)*(J50-J57)/J50),3)</f>
        <v>#VALUE!</v>
      </c>
      <c r="K55" s="2817" t="s">
        <v>2340</v>
      </c>
      <c r="L55" s="2241"/>
      <c r="M55" s="3263"/>
      <c r="O55" s="2259" t="s">
        <v>2395</v>
      </c>
      <c r="P55" s="1527"/>
      <c r="Q55" s="1535"/>
      <c r="R55" s="1527"/>
    </row>
    <row r="56" spans="1:18" s="1942" customFormat="1" ht="42.75" customHeight="1" thickBot="1">
      <c r="A56" s="1579"/>
      <c r="B56" s="2111" t="s">
        <v>2289</v>
      </c>
      <c r="C56" s="53">
        <f ca="1">C29</f>
        <v>55</v>
      </c>
      <c r="D56" s="2481"/>
      <c r="E56" s="774"/>
      <c r="F56" s="799"/>
      <c r="I56" s="2818" t="s">
        <v>2341</v>
      </c>
      <c r="J56" s="2828" t="s">
        <v>1669</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645</v>
      </c>
      <c r="C57" s="789">
        <f ca="1">ROUND(C58+C63+C64+C65,0)</f>
        <v>2</v>
      </c>
      <c r="D57" s="26" t="s">
        <v>1740</v>
      </c>
      <c r="E57" s="2482"/>
      <c r="F57" s="56"/>
      <c r="I57" s="2819" t="s">
        <v>2342</v>
      </c>
      <c r="J57" s="2820" t="str">
        <f ca="1">IF(OR(M47="住宅",J51&lt;L48,J56="是"),"——",J51-L48)</f>
        <v>——</v>
      </c>
      <c r="K57" s="2799" t="s">
        <v>2347</v>
      </c>
      <c r="L57" s="1822" t="str">
        <f ca="1">IF(L48&lt;J51,"——",IF(L55="比较法",L49,IF(L55="基准地价",L50,L51)))</f>
        <v>——</v>
      </c>
      <c r="M57" s="3263"/>
      <c r="O57" s="2253" t="s">
        <v>2363</v>
      </c>
      <c r="P57" s="2254" t="s">
        <v>2393</v>
      </c>
      <c r="Q57" s="2255">
        <f ca="1">C40+J29</f>
        <v>480</v>
      </c>
      <c r="R57" s="2254" t="s">
        <v>2364</v>
      </c>
    </row>
    <row r="58" spans="1:18" s="1942" customFormat="1" ht="28.5" customHeight="1" thickBot="1">
      <c r="A58" s="1578" t="s">
        <v>1814</v>
      </c>
      <c r="B58" s="774" t="s">
        <v>650</v>
      </c>
      <c r="C58" s="3019">
        <f ca="1">ROUND(IF(AND(项目基本情况!B11="自然人",项目基本情况!B10="北京市"),C48*F58/(1+'数据-取费表'!C42),C59+C60+C61),0)</f>
        <v>1</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7" t="s">
        <v>1821</v>
      </c>
      <c r="B59" s="774" t="s">
        <v>654</v>
      </c>
      <c r="C59" s="53">
        <f ca="1">ROUND(C47*F59/1.05,1)</f>
        <v>0</v>
      </c>
      <c r="D59" s="2481" t="s">
        <v>1746</v>
      </c>
      <c r="E59" s="774" t="s">
        <v>1737</v>
      </c>
      <c r="F59" s="799">
        <f t="shared" ref="F59:F65" si="0">F32</f>
        <v>5.5000000000000007E-2</v>
      </c>
      <c r="I59" s="2819" t="s">
        <v>2344</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7" t="s">
        <v>1822</v>
      </c>
      <c r="B60" s="774" t="s">
        <v>1748</v>
      </c>
      <c r="C60" s="53">
        <f ca="1">IF(D60="按租金收入计税",ROUND(C48*F60/(1+'数据-取费表'!C42),1),IF(D60="按房产原值计税",ROUND(C56*F60*0.7,1),INDIRECT("'数据-取费表'!Aj"&amp;$G$1)))</f>
        <v>0</v>
      </c>
      <c r="D60" s="2481" t="str">
        <f>D33</f>
        <v>按租金收入计税</v>
      </c>
      <c r="E60" s="774" t="s">
        <v>1737</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80" t="s">
        <v>1823</v>
      </c>
      <c r="B61" s="339" t="s">
        <v>662</v>
      </c>
      <c r="C61" s="54">
        <f ca="1">ROUND(F61*F62/10000,1)</f>
        <v>1.3</v>
      </c>
      <c r="D61" s="803" t="s">
        <v>663</v>
      </c>
      <c r="E61" s="774" t="s">
        <v>664</v>
      </c>
      <c r="F61" s="632">
        <f t="shared" si="0"/>
        <v>9</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1442.46</v>
      </c>
      <c r="I62" s="2824" t="s">
        <v>2351</v>
      </c>
      <c r="J62" s="2825" t="s">
        <v>2352</v>
      </c>
      <c r="K62" s="2825" t="s">
        <v>2353</v>
      </c>
      <c r="L62" s="2825" t="s">
        <v>2334</v>
      </c>
      <c r="M62" s="2826" t="s">
        <v>2910</v>
      </c>
      <c r="O62" s="2256" t="s">
        <v>2372</v>
      </c>
      <c r="P62" s="2254" t="str">
        <f>K59</f>
        <v>建筑物剩余耐用年限下的土地年期修正系数Kn</v>
      </c>
      <c r="Q62" s="2255" t="e">
        <f ca="1">L59</f>
        <v>#DIV/0!</v>
      </c>
      <c r="R62" s="2258" t="s">
        <v>2381</v>
      </c>
    </row>
    <row r="63" spans="1:18" s="1942" customFormat="1" ht="15.75" thickBot="1">
      <c r="A63" s="1578" t="s">
        <v>1879</v>
      </c>
      <c r="B63" s="774" t="s">
        <v>670</v>
      </c>
      <c r="C63" s="53">
        <f ca="1">ROUND(C56*F63,1)</f>
        <v>0.8</v>
      </c>
      <c r="D63" s="2481" t="s">
        <v>1793</v>
      </c>
      <c r="E63" s="774" t="s">
        <v>1737</v>
      </c>
      <c r="F63" s="806">
        <f t="shared" ca="1" si="0"/>
        <v>1.4999999999999999E-2</v>
      </c>
      <c r="I63" s="2824" t="s">
        <v>2354</v>
      </c>
      <c r="J63" s="2825">
        <v>70</v>
      </c>
      <c r="K63" s="2825">
        <v>50</v>
      </c>
      <c r="L63" s="2825">
        <v>80</v>
      </c>
      <c r="M63" s="2827">
        <v>0.02</v>
      </c>
      <c r="O63" s="2253" t="s">
        <v>2375</v>
      </c>
      <c r="P63" s="2254" t="s">
        <v>2392</v>
      </c>
      <c r="Q63" s="2255">
        <f ca="1">Q57+Q58</f>
        <v>480</v>
      </c>
      <c r="R63" s="2258" t="s">
        <v>2376</v>
      </c>
    </row>
    <row r="64" spans="1:18" s="1942" customFormat="1" ht="16.5" thickBot="1">
      <c r="A64" s="1578" t="s">
        <v>1880</v>
      </c>
      <c r="B64" s="774" t="s">
        <v>673</v>
      </c>
      <c r="C64" s="53">
        <f ca="1">ROUND(C55*F64,1)</f>
        <v>0.1</v>
      </c>
      <c r="D64" s="2481" t="s">
        <v>674</v>
      </c>
      <c r="E64" s="774" t="s">
        <v>1737</v>
      </c>
      <c r="F64" s="807">
        <f t="shared" ca="1" si="0"/>
        <v>1.5E-3</v>
      </c>
      <c r="I64" s="2824" t="s">
        <v>2355</v>
      </c>
      <c r="J64" s="2825">
        <v>50</v>
      </c>
      <c r="K64" s="2825">
        <v>35</v>
      </c>
      <c r="L64" s="2825">
        <v>60</v>
      </c>
      <c r="M64" s="835">
        <v>0</v>
      </c>
      <c r="O64" s="2259" t="s">
        <v>2399</v>
      </c>
      <c r="P64" s="1527"/>
      <c r="Q64" s="1535"/>
      <c r="R64" s="1527"/>
    </row>
    <row r="65" spans="1:18" s="1942" customFormat="1" ht="15.75" thickBot="1">
      <c r="A65" s="1578" t="s">
        <v>1881</v>
      </c>
      <c r="B65" s="774" t="s">
        <v>660</v>
      </c>
      <c r="C65" s="53">
        <f ca="1">ROUND(C47*F65,1)</f>
        <v>0</v>
      </c>
      <c r="D65" s="2481" t="s">
        <v>677</v>
      </c>
      <c r="E65" s="774" t="s">
        <v>1737</v>
      </c>
      <c r="F65" s="784">
        <f t="shared" ca="1" si="0"/>
        <v>0.03</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2801</v>
      </c>
      <c r="C66" s="789">
        <f ca="1">C47-C57</f>
        <v>-2</v>
      </c>
      <c r="D66" s="2480" t="s">
        <v>694</v>
      </c>
      <c r="E66" s="2479"/>
      <c r="F66" s="809"/>
      <c r="K66" s="1968"/>
      <c r="O66" s="2253" t="s">
        <v>2363</v>
      </c>
      <c r="P66" s="2254" t="s">
        <v>2393</v>
      </c>
      <c r="Q66" s="2255">
        <f ca="1">C40+J29</f>
        <v>480</v>
      </c>
      <c r="R66" s="2254" t="s">
        <v>2364</v>
      </c>
    </row>
    <row r="67" spans="1:18" s="1942" customFormat="1" ht="20.25" thickBot="1">
      <c r="A67" s="771" t="s">
        <v>1770</v>
      </c>
      <c r="B67" s="2112" t="s">
        <v>2288</v>
      </c>
      <c r="C67" s="773">
        <f ca="1">ROUND(C66*(1-((1+F69)/(1+F67))^F68)/(F67-F69),0)</f>
        <v>-27</v>
      </c>
      <c r="D67" s="803" t="s">
        <v>698</v>
      </c>
      <c r="E67" s="774" t="s">
        <v>699</v>
      </c>
      <c r="F67" s="784">
        <f ca="1">F40</f>
        <v>7.0000000000000007E-2</v>
      </c>
      <c r="K67" s="1968"/>
      <c r="O67" s="2253" t="s">
        <v>2365</v>
      </c>
      <c r="P67" s="2254" t="s">
        <v>2396</v>
      </c>
      <c r="Q67" s="2255">
        <f ca="1">L60</f>
        <v>0</v>
      </c>
      <c r="R67" s="2258" t="s">
        <v>2398</v>
      </c>
    </row>
    <row r="68" spans="1:18" ht="21.75" thickBot="1">
      <c r="A68" s="776"/>
      <c r="B68" s="777"/>
      <c r="C68" s="778"/>
      <c r="D68" s="810" t="s">
        <v>1798</v>
      </c>
      <c r="E68" s="774" t="s">
        <v>1774</v>
      </c>
      <c r="F68" s="811">
        <f>F41</f>
        <v>40</v>
      </c>
      <c r="O68" s="2256" t="s">
        <v>2367</v>
      </c>
      <c r="P68" s="2254" t="s">
        <v>2397</v>
      </c>
      <c r="Q68" s="2260">
        <f ca="1">L51</f>
        <v>471</v>
      </c>
      <c r="R68" s="2261" t="s">
        <v>2400</v>
      </c>
    </row>
    <row r="69" spans="1:18" ht="20.25" thickBot="1">
      <c r="A69" s="780"/>
      <c r="B69" s="781"/>
      <c r="C69" s="782"/>
      <c r="D69" s="805"/>
      <c r="E69" s="774" t="s">
        <v>704</v>
      </c>
      <c r="F69" s="2226"/>
      <c r="O69" s="2256" t="s">
        <v>2368</v>
      </c>
      <c r="P69" s="2262" t="s">
        <v>2382</v>
      </c>
      <c r="Q69" s="2255">
        <f ca="1">ROUND(Q70-Q71*Q72,0)</f>
        <v>32</v>
      </c>
      <c r="R69" s="2258"/>
    </row>
    <row r="70" spans="1:18" ht="15.75" thickBot="1">
      <c r="A70" s="812" t="s">
        <v>1777</v>
      </c>
      <c r="B70" s="813" t="s">
        <v>1800</v>
      </c>
      <c r="C70" s="814">
        <f ca="1">ROUND(C67*10000/F70,0)</f>
        <v>-1363</v>
      </c>
      <c r="D70" s="815" t="s">
        <v>1801</v>
      </c>
      <c r="E70" s="816" t="s">
        <v>1802</v>
      </c>
      <c r="F70" s="817">
        <f ca="1">F43</f>
        <v>198.07</v>
      </c>
      <c r="O70" s="2256" t="s">
        <v>2383</v>
      </c>
      <c r="P70" s="2262" t="s">
        <v>2384</v>
      </c>
      <c r="Q70" s="2255">
        <f ca="1">C39</f>
        <v>36</v>
      </c>
      <c r="R70" s="2254" t="s">
        <v>2364</v>
      </c>
    </row>
    <row r="71" spans="1:18" ht="15.75" thickBot="1">
      <c r="O71" s="2256" t="s">
        <v>2385</v>
      </c>
      <c r="P71" s="2262" t="s">
        <v>2386</v>
      </c>
      <c r="Q71" s="2255">
        <f ca="1">C13</f>
        <v>50</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f ca="1">Q66+Q67</f>
        <v>480</v>
      </c>
      <c r="R76" s="2258" t="s">
        <v>2376</v>
      </c>
    </row>
  </sheetData>
  <sheetProtection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171</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1674</v>
      </c>
      <c r="B3" s="504">
        <f>ROUND(B2*10000/'数据-汇总表'!E3,0)</f>
        <v>8633</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1187</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79</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62" t="s">
        <v>516</v>
      </c>
      <c r="D6" s="3463"/>
      <c r="E6" s="3462" t="s">
        <v>517</v>
      </c>
      <c r="F6" s="3463"/>
      <c r="G6" s="3462" t="s">
        <v>518</v>
      </c>
      <c r="H6" s="3463"/>
      <c r="I6" s="3462" t="s">
        <v>519</v>
      </c>
      <c r="J6" s="3463"/>
      <c r="K6" s="508" t="s">
        <v>520</v>
      </c>
      <c r="L6" s="2015"/>
      <c r="M6" s="2014"/>
      <c r="N6" s="2014"/>
      <c r="O6" s="2016"/>
      <c r="P6" s="3464" t="s">
        <v>521</v>
      </c>
      <c r="Q6" s="3465"/>
      <c r="R6" s="3470" t="s">
        <v>517</v>
      </c>
      <c r="S6" s="3471"/>
      <c r="T6" s="3470" t="s">
        <v>518</v>
      </c>
      <c r="U6" s="3471"/>
      <c r="V6" s="3457" t="s">
        <v>519</v>
      </c>
      <c r="W6" s="3457"/>
      <c r="X6" s="1502"/>
      <c r="Y6" s="3470" t="s">
        <v>521</v>
      </c>
      <c r="Z6" s="3471"/>
      <c r="AA6" s="3459" t="s">
        <v>517</v>
      </c>
      <c r="AB6" s="3460" t="s">
        <v>518</v>
      </c>
      <c r="AC6" s="3459" t="s">
        <v>519</v>
      </c>
    </row>
    <row r="7" spans="1:30" ht="36.75" customHeight="1">
      <c r="A7" s="509"/>
      <c r="B7" s="510"/>
      <c r="C7" s="3591" t="str">
        <f>项目基本情况!F10</f>
        <v>爱丹路1709号101</v>
      </c>
      <c r="D7" s="3479"/>
      <c r="E7" s="3478" t="str">
        <f>'土地案例（延吉）'!A11</f>
        <v>延吉市开发区人民路北侧</v>
      </c>
      <c r="F7" s="3479"/>
      <c r="G7" s="3478" t="str">
        <f>'土地案例（延吉）'!A18</f>
        <v>延吉市北山街,延北路南侧、朝阳街西侧</v>
      </c>
      <c r="H7" s="3479"/>
      <c r="I7" s="3478" t="str">
        <f>'土地案例（延吉）'!A26</f>
        <v>延吉市小营镇民主村,公园路北侧(高铁变电所东侧)</v>
      </c>
      <c r="J7" s="3479"/>
      <c r="K7" s="508"/>
      <c r="L7" s="2015"/>
      <c r="M7" s="2014"/>
      <c r="N7" s="2014"/>
      <c r="O7" s="2016"/>
      <c r="P7" s="3466"/>
      <c r="Q7" s="3467"/>
      <c r="R7" s="3472"/>
      <c r="S7" s="3473"/>
      <c r="T7" s="3472"/>
      <c r="U7" s="3473"/>
      <c r="V7" s="3457"/>
      <c r="W7" s="3457"/>
      <c r="X7" s="1502"/>
      <c r="Y7" s="3472"/>
      <c r="Z7" s="3473"/>
      <c r="AA7" s="3460"/>
      <c r="AB7" s="3460"/>
      <c r="AC7" s="3460"/>
    </row>
    <row r="8" spans="1:30" ht="21" thickBot="1">
      <c r="A8" s="509"/>
      <c r="B8" s="510"/>
      <c r="C8" s="3480" t="s">
        <v>2901</v>
      </c>
      <c r="D8" s="3481"/>
      <c r="E8" s="3480" t="s">
        <v>2901</v>
      </c>
      <c r="F8" s="3481"/>
      <c r="G8" s="3476" t="s">
        <v>2901</v>
      </c>
      <c r="H8" s="3477"/>
      <c r="I8" s="3476" t="s">
        <v>2901</v>
      </c>
      <c r="J8" s="3477"/>
      <c r="K8" s="508" t="s">
        <v>522</v>
      </c>
      <c r="L8" s="2015"/>
      <c r="M8" s="2014"/>
      <c r="N8" s="2014"/>
      <c r="O8" s="2016"/>
      <c r="P8" s="3468"/>
      <c r="Q8" s="3469"/>
      <c r="R8" s="3472"/>
      <c r="S8" s="3473"/>
      <c r="T8" s="3474"/>
      <c r="U8" s="3475"/>
      <c r="V8" s="3457"/>
      <c r="W8" s="3457"/>
      <c r="X8" s="1502"/>
      <c r="Y8" s="3474"/>
      <c r="Z8" s="3475"/>
      <c r="AA8" s="3461"/>
      <c r="AB8" s="3461"/>
      <c r="AC8" s="3461"/>
    </row>
    <row r="9" spans="1:30" s="1203" customFormat="1" ht="21" thickBot="1">
      <c r="A9" s="2629"/>
      <c r="B9" s="2636" t="s">
        <v>523</v>
      </c>
      <c r="C9" s="2628">
        <f>'数据-取费表'!B2</f>
        <v>44357</v>
      </c>
      <c r="D9" s="514">
        <v>100</v>
      </c>
      <c r="E9" s="515" t="str">
        <f>'土地案例（白山市）'!K13</f>
        <v>2021-05-16</v>
      </c>
      <c r="F9" s="516">
        <f>SUMIF(72:72,YEAR(E9)&amp;"-"&amp;INT((MONTH(E9)+2)/3),73:73)</f>
        <v>100</v>
      </c>
      <c r="G9" s="517" t="str">
        <f>'土地案例（白山市）'!K14</f>
        <v>2021-05-16</v>
      </c>
      <c r="H9" s="514">
        <f>SUMIF(72:72,YEAR(G9)&amp;"-"&amp;INT((MONTH(G9)+2)/3),73:73)</f>
        <v>100</v>
      </c>
      <c r="I9" s="517" t="str">
        <f>'土地案例（白山市）'!K28</f>
        <v>2020-08-06</v>
      </c>
      <c r="J9" s="514">
        <f>SUMIF(72:72,YEAR(I9)&amp;"-"&amp;INT((MONTH(I9)+2)/3),73:73)</f>
        <v>100</v>
      </c>
      <c r="K9" s="518"/>
      <c r="L9" s="2017"/>
      <c r="M9" s="2014"/>
      <c r="N9" s="2014"/>
      <c r="O9" s="2018"/>
      <c r="P9" s="3487" t="s">
        <v>524</v>
      </c>
      <c r="Q9" s="3489"/>
      <c r="R9" s="1503" t="s">
        <v>8</v>
      </c>
      <c r="S9" s="1504">
        <f t="shared" ref="S9:S17" si="0">F9</f>
        <v>100</v>
      </c>
      <c r="T9" s="1503" t="s">
        <v>8</v>
      </c>
      <c r="U9" s="1504">
        <f t="shared" ref="U9:U17" si="1">H9</f>
        <v>100</v>
      </c>
      <c r="V9" s="1503" t="s">
        <v>8</v>
      </c>
      <c r="W9" s="1504">
        <f t="shared" ref="W9:W17" si="2">J9</f>
        <v>100</v>
      </c>
      <c r="X9" s="1505"/>
      <c r="Y9" s="3487" t="s">
        <v>524</v>
      </c>
      <c r="Z9" s="3488"/>
      <c r="AA9" s="1506">
        <f>D9/F9</f>
        <v>1</v>
      </c>
      <c r="AB9" s="1506">
        <f>D9/H9</f>
        <v>1</v>
      </c>
      <c r="AC9" s="1506">
        <f>D9/J9</f>
        <v>1</v>
      </c>
    </row>
    <row r="10" spans="1:30" s="1203" customFormat="1" ht="21" thickBot="1">
      <c r="A10" s="2630"/>
      <c r="B10" s="2637" t="s">
        <v>525</v>
      </c>
      <c r="C10" s="845" t="s">
        <v>526</v>
      </c>
      <c r="D10" s="514">
        <v>100</v>
      </c>
      <c r="E10" s="519" t="s">
        <v>3184</v>
      </c>
      <c r="F10" s="516">
        <f>SUMIF(75:75,E10,76:76)-SUMIF(75:75,C10,76:76)+100</f>
        <v>100</v>
      </c>
      <c r="G10" s="519" t="s">
        <v>3184</v>
      </c>
      <c r="H10" s="514">
        <f>SUMIF(75:75,G10,76:76)-SUMIF(75:75,C10,76:76)+100</f>
        <v>100</v>
      </c>
      <c r="I10" s="519" t="s">
        <v>3184</v>
      </c>
      <c r="J10" s="514">
        <f>SUMIF(75:75,I10,76:76)-SUMIF(75:75,C10,76:76)+100</f>
        <v>100</v>
      </c>
      <c r="K10" s="518"/>
      <c r="L10" s="2017"/>
      <c r="M10" s="2014"/>
      <c r="N10" s="2014"/>
      <c r="O10" s="2018"/>
      <c r="P10" s="3487" t="s">
        <v>527</v>
      </c>
      <c r="Q10" s="3488"/>
      <c r="R10" s="1503" t="s">
        <v>8</v>
      </c>
      <c r="S10" s="1504">
        <f t="shared" si="0"/>
        <v>100</v>
      </c>
      <c r="T10" s="1503" t="s">
        <v>8</v>
      </c>
      <c r="U10" s="1504">
        <f t="shared" si="1"/>
        <v>100</v>
      </c>
      <c r="V10" s="1503" t="s">
        <v>8</v>
      </c>
      <c r="W10" s="1504">
        <f t="shared" si="2"/>
        <v>100</v>
      </c>
      <c r="X10" s="1505"/>
      <c r="Y10" s="3487" t="s">
        <v>527</v>
      </c>
      <c r="Z10" s="3488"/>
      <c r="AA10" s="1506">
        <f t="shared" ref="AA10:AA47" si="3">D10/F10</f>
        <v>1</v>
      </c>
      <c r="AB10" s="1506">
        <f t="shared" ref="AB10:AB47" si="4">D10/H10</f>
        <v>1</v>
      </c>
      <c r="AC10" s="1506">
        <f t="shared" ref="AC10:AC47" si="5">D10/J10</f>
        <v>1</v>
      </c>
    </row>
    <row r="11" spans="1:30" s="1203" customFormat="1" ht="20.25">
      <c r="A11" s="2631"/>
      <c r="B11" s="2638" t="s">
        <v>2736</v>
      </c>
      <c r="C11" s="2625" t="s">
        <v>3045</v>
      </c>
      <c r="D11" s="252">
        <v>100</v>
      </c>
      <c r="E11" s="520" t="s">
        <v>3045</v>
      </c>
      <c r="F11" s="252">
        <f>SUMIF(77:77,E11,78:78)-SUMIF(77:77,C11,78:78)+100</f>
        <v>100</v>
      </c>
      <c r="G11" s="520" t="s">
        <v>3045</v>
      </c>
      <c r="H11" s="252">
        <f>SUMIF(77:77,G11,78:78)-SUMIF(77:77,C11,78:78)+100</f>
        <v>100</v>
      </c>
      <c r="I11" s="520" t="s">
        <v>3032</v>
      </c>
      <c r="J11" s="252">
        <f>SUMIF(77:77,I11,78:78)-SUMIF(77:77,C11,78:78)+100</f>
        <v>100</v>
      </c>
      <c r="K11" s="518"/>
      <c r="L11" s="2017"/>
      <c r="M11" s="2014"/>
      <c r="N11" s="2014"/>
      <c r="O11" s="2019"/>
      <c r="P11" s="3456" t="s">
        <v>529</v>
      </c>
      <c r="Q11" s="1134" t="str">
        <f t="shared" ref="Q11:Q17" si="6">B11</f>
        <v>用途</v>
      </c>
      <c r="R11" s="1503" t="s">
        <v>8</v>
      </c>
      <c r="S11" s="1504">
        <f t="shared" si="0"/>
        <v>100</v>
      </c>
      <c r="T11" s="1503" t="s">
        <v>8</v>
      </c>
      <c r="U11" s="1504">
        <f t="shared" si="1"/>
        <v>100</v>
      </c>
      <c r="V11" s="1503" t="s">
        <v>8</v>
      </c>
      <c r="W11" s="1504">
        <f t="shared" si="2"/>
        <v>100</v>
      </c>
      <c r="X11" s="1505"/>
      <c r="Y11" s="3402" t="s">
        <v>530</v>
      </c>
      <c r="Z11" s="1133" t="str">
        <f t="shared" ref="Z11:Z17" si="7">Q11</f>
        <v>用途</v>
      </c>
      <c r="AA11" s="1506">
        <f t="shared" si="3"/>
        <v>1</v>
      </c>
      <c r="AB11" s="1506">
        <f t="shared" si="4"/>
        <v>1</v>
      </c>
      <c r="AC11" s="1506">
        <f t="shared" si="5"/>
        <v>1</v>
      </c>
    </row>
    <row r="12" spans="1:30" s="1292" customFormat="1" ht="27">
      <c r="A12" s="2632"/>
      <c r="B12" s="2637" t="s">
        <v>2737</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56"/>
      <c r="Q12" s="1134" t="str">
        <f t="shared" si="6"/>
        <v>土地使用年限（年）</v>
      </c>
      <c r="R12" s="1503" t="s">
        <v>8</v>
      </c>
      <c r="S12" s="1504">
        <f t="shared" si="0"/>
        <v>100</v>
      </c>
      <c r="T12" s="1503" t="s">
        <v>8</v>
      </c>
      <c r="U12" s="1504">
        <f t="shared" si="1"/>
        <v>100</v>
      </c>
      <c r="V12" s="1503" t="s">
        <v>8</v>
      </c>
      <c r="W12" s="1504">
        <f t="shared" si="2"/>
        <v>100</v>
      </c>
      <c r="X12" s="1505"/>
      <c r="Y12" s="3402"/>
      <c r="Z12" s="1133" t="str">
        <f t="shared" si="7"/>
        <v>土地使用年限（年）</v>
      </c>
      <c r="AA12" s="1506">
        <f t="shared" si="3"/>
        <v>1</v>
      </c>
      <c r="AB12" s="1506">
        <f t="shared" si="4"/>
        <v>1</v>
      </c>
      <c r="AC12" s="1506">
        <f t="shared" si="5"/>
        <v>1</v>
      </c>
    </row>
    <row r="13" spans="1:30" ht="20.25">
      <c r="A13" s="2633"/>
      <c r="B13" s="2637" t="s">
        <v>2738</v>
      </c>
      <c r="C13" s="528">
        <f>'数据-汇总表'!I3</f>
        <v>0.14000000000000001</v>
      </c>
      <c r="D13" s="253">
        <v>100</v>
      </c>
      <c r="E13" s="527">
        <v>0.1</v>
      </c>
      <c r="F13" s="253">
        <f>LOOKUP(E13,82:82,83:83)-LOOKUP(C13,82:82,83:83)+100</f>
        <v>100</v>
      </c>
      <c r="G13" s="528">
        <v>0.25</v>
      </c>
      <c r="H13" s="253">
        <f>LOOKUP(G13,82:82,83:83)-LOOKUP(C13,82:82,83:83)+100</f>
        <v>100</v>
      </c>
      <c r="I13" s="527">
        <v>0.36</v>
      </c>
      <c r="J13" s="253">
        <f>LOOKUP(I13,82:82,83:83)-LOOKUP(C13,82:82,83:83)+100</f>
        <v>100</v>
      </c>
      <c r="K13" s="529"/>
      <c r="L13" s="2022"/>
      <c r="M13" s="2014"/>
      <c r="N13" s="2014"/>
      <c r="O13" s="2023"/>
      <c r="P13" s="3456"/>
      <c r="Q13" s="1134" t="str">
        <f t="shared" si="6"/>
        <v>容积率</v>
      </c>
      <c r="R13" s="1503" t="s">
        <v>8</v>
      </c>
      <c r="S13" s="1504">
        <f t="shared" si="0"/>
        <v>100</v>
      </c>
      <c r="T13" s="1503" t="s">
        <v>8</v>
      </c>
      <c r="U13" s="1504">
        <f t="shared" si="1"/>
        <v>100</v>
      </c>
      <c r="V13" s="1503" t="s">
        <v>8</v>
      </c>
      <c r="W13" s="1504">
        <f t="shared" si="2"/>
        <v>100</v>
      </c>
      <c r="X13" s="1505"/>
      <c r="Y13" s="3402"/>
      <c r="Z13" s="1133" t="str">
        <f t="shared" si="7"/>
        <v>容积率</v>
      </c>
      <c r="AA13" s="1506">
        <f t="shared" si="3"/>
        <v>1</v>
      </c>
      <c r="AB13" s="1506">
        <f t="shared" si="4"/>
        <v>1</v>
      </c>
      <c r="AC13" s="1506">
        <f t="shared" si="5"/>
        <v>1</v>
      </c>
    </row>
    <row r="14" spans="1:30" s="1203" customFormat="1" ht="20.25">
      <c r="A14" s="2630"/>
      <c r="B14" s="2639" t="s">
        <v>2739</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56"/>
      <c r="Q14" s="1134" t="str">
        <f t="shared" si="6"/>
        <v>配建</v>
      </c>
      <c r="R14" s="1503" t="s">
        <v>8</v>
      </c>
      <c r="S14" s="1504">
        <f t="shared" si="0"/>
        <v>100</v>
      </c>
      <c r="T14" s="1503" t="s">
        <v>8</v>
      </c>
      <c r="U14" s="1504">
        <f t="shared" si="1"/>
        <v>100</v>
      </c>
      <c r="V14" s="1503" t="s">
        <v>8</v>
      </c>
      <c r="W14" s="1504">
        <f t="shared" si="2"/>
        <v>100</v>
      </c>
      <c r="X14" s="1505"/>
      <c r="Y14" s="3402"/>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56"/>
      <c r="Q15" s="1134">
        <f t="shared" si="6"/>
        <v>111</v>
      </c>
      <c r="R15" s="1503" t="s">
        <v>8</v>
      </c>
      <c r="S15" s="1504">
        <f t="shared" si="0"/>
        <v>100</v>
      </c>
      <c r="T15" s="1503" t="s">
        <v>8</v>
      </c>
      <c r="U15" s="1504">
        <f t="shared" si="1"/>
        <v>100</v>
      </c>
      <c r="V15" s="1503" t="s">
        <v>8</v>
      </c>
      <c r="W15" s="1504">
        <f t="shared" si="2"/>
        <v>100</v>
      </c>
      <c r="X15" s="1505"/>
      <c r="Y15" s="3402"/>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56"/>
      <c r="Q16" s="1134">
        <f t="shared" si="6"/>
        <v>111</v>
      </c>
      <c r="R16" s="1503" t="s">
        <v>8</v>
      </c>
      <c r="S16" s="1504">
        <f t="shared" si="0"/>
        <v>100</v>
      </c>
      <c r="T16" s="1503" t="s">
        <v>8</v>
      </c>
      <c r="U16" s="1504">
        <f t="shared" si="1"/>
        <v>100</v>
      </c>
      <c r="V16" s="1503" t="s">
        <v>8</v>
      </c>
      <c r="W16" s="1504">
        <f t="shared" si="2"/>
        <v>100</v>
      </c>
      <c r="X16" s="1505"/>
      <c r="Y16" s="3402"/>
      <c r="Z16" s="1133">
        <f t="shared" si="7"/>
        <v>111</v>
      </c>
      <c r="AA16" s="1506">
        <f>D16/F16</f>
        <v>1</v>
      </c>
      <c r="AB16" s="1506">
        <f>D16/H16</f>
        <v>1</v>
      </c>
      <c r="AC16" s="1506">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0" t="s">
        <v>534</v>
      </c>
      <c r="Q17" s="1507" t="str">
        <f t="shared" si="6"/>
        <v>居住社区成熟度</v>
      </c>
      <c r="R17" s="1508" t="s">
        <v>8</v>
      </c>
      <c r="S17" s="1509">
        <f t="shared" si="0"/>
        <v>100</v>
      </c>
      <c r="T17" s="1508" t="s">
        <v>8</v>
      </c>
      <c r="U17" s="1509">
        <f t="shared" si="1"/>
        <v>100</v>
      </c>
      <c r="V17" s="1508" t="s">
        <v>8</v>
      </c>
      <c r="W17" s="1509">
        <f t="shared" si="2"/>
        <v>100</v>
      </c>
      <c r="X17" s="1502"/>
      <c r="Y17" s="3490" t="s">
        <v>534</v>
      </c>
      <c r="Z17" s="1510" t="str">
        <f t="shared" si="7"/>
        <v>居住社区成熟度</v>
      </c>
      <c r="AA17" s="1511">
        <f t="shared" si="3"/>
        <v>1</v>
      </c>
      <c r="AB17" s="1511">
        <f t="shared" si="4"/>
        <v>1</v>
      </c>
      <c r="AC17" s="1511">
        <f t="shared" si="5"/>
        <v>1</v>
      </c>
    </row>
    <row r="18" spans="1:29" ht="20.25">
      <c r="A18" s="526"/>
      <c r="B18" s="547"/>
      <c r="C18" s="548" t="s">
        <v>3185</v>
      </c>
      <c r="D18" s="551"/>
      <c r="E18" s="552" t="s">
        <v>3185</v>
      </c>
      <c r="F18" s="549"/>
      <c r="G18" s="550" t="s">
        <v>3185</v>
      </c>
      <c r="H18" s="553"/>
      <c r="I18" s="552" t="s">
        <v>3185</v>
      </c>
      <c r="J18" s="549"/>
      <c r="K18" s="525"/>
      <c r="L18" s="2024"/>
      <c r="M18" s="2014"/>
      <c r="N18" s="2014"/>
      <c r="O18" s="2023"/>
      <c r="P18" s="3491"/>
      <c r="Q18" s="1507"/>
      <c r="R18" s="1508"/>
      <c r="S18" s="1509"/>
      <c r="T18" s="1508"/>
      <c r="U18" s="1509"/>
      <c r="V18" s="1508"/>
      <c r="W18" s="1509"/>
      <c r="X18" s="1502"/>
      <c r="Y18" s="3491"/>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1"/>
      <c r="Q19" s="1507" t="str">
        <f>B19</f>
        <v>商业繁华度</v>
      </c>
      <c r="R19" s="1508" t="s">
        <v>8</v>
      </c>
      <c r="S19" s="1509">
        <f>F19</f>
        <v>100</v>
      </c>
      <c r="T19" s="1508" t="s">
        <v>8</v>
      </c>
      <c r="U19" s="1509">
        <f>H19</f>
        <v>100</v>
      </c>
      <c r="V19" s="1508" t="s">
        <v>8</v>
      </c>
      <c r="W19" s="1509">
        <f>J19</f>
        <v>100</v>
      </c>
      <c r="X19" s="1502"/>
      <c r="Y19" s="3491"/>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91"/>
      <c r="Q20" s="1507"/>
      <c r="R20" s="1508"/>
      <c r="S20" s="1509"/>
      <c r="T20" s="1508"/>
      <c r="U20" s="1509"/>
      <c r="V20" s="1508"/>
      <c r="W20" s="1509"/>
      <c r="X20" s="1502"/>
      <c r="Y20" s="3491"/>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1"/>
      <c r="Q21" s="1507" t="str">
        <f>B21</f>
        <v>办公集聚程度</v>
      </c>
      <c r="R21" s="1508" t="s">
        <v>8</v>
      </c>
      <c r="S21" s="1509">
        <f>F21</f>
        <v>100</v>
      </c>
      <c r="T21" s="1508" t="s">
        <v>8</v>
      </c>
      <c r="U21" s="1509">
        <f>H21</f>
        <v>100</v>
      </c>
      <c r="V21" s="1508" t="s">
        <v>8</v>
      </c>
      <c r="W21" s="1509">
        <f>J21</f>
        <v>100</v>
      </c>
      <c r="X21" s="1502"/>
      <c r="Y21" s="3491"/>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91"/>
      <c r="Q22" s="1507"/>
      <c r="R22" s="1508"/>
      <c r="S22" s="1509"/>
      <c r="T22" s="1508"/>
      <c r="U22" s="1509"/>
      <c r="V22" s="1508"/>
      <c r="W22" s="1509"/>
      <c r="X22" s="1502"/>
      <c r="Y22" s="3491"/>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1"/>
      <c r="Q23" s="1507" t="str">
        <f>B23</f>
        <v>交通便捷度</v>
      </c>
      <c r="R23" s="1508" t="s">
        <v>8</v>
      </c>
      <c r="S23" s="1509">
        <f>F23</f>
        <v>100</v>
      </c>
      <c r="T23" s="1508" t="s">
        <v>8</v>
      </c>
      <c r="U23" s="1509">
        <f>H23</f>
        <v>100</v>
      </c>
      <c r="V23" s="1508" t="s">
        <v>8</v>
      </c>
      <c r="W23" s="1509">
        <f>J23</f>
        <v>100</v>
      </c>
      <c r="X23" s="1502"/>
      <c r="Y23" s="3491"/>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91"/>
      <c r="Q24" s="1507"/>
      <c r="R24" s="1508"/>
      <c r="S24" s="1509"/>
      <c r="T24" s="1508"/>
      <c r="U24" s="1509"/>
      <c r="V24" s="1508"/>
      <c r="W24" s="1509"/>
      <c r="X24" s="1502"/>
      <c r="Y24" s="349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1"/>
      <c r="Q25" s="1507" t="str">
        <f t="shared" ref="Q25:Q39" si="8">B25</f>
        <v>区域土地利用方向</v>
      </c>
      <c r="R25" s="1508" t="s">
        <v>8</v>
      </c>
      <c r="S25" s="1509">
        <f>F25</f>
        <v>100</v>
      </c>
      <c r="T25" s="1508" t="s">
        <v>8</v>
      </c>
      <c r="U25" s="1509">
        <f>H25</f>
        <v>100</v>
      </c>
      <c r="V25" s="1508" t="s">
        <v>8</v>
      </c>
      <c r="W25" s="1509">
        <f>J25</f>
        <v>100</v>
      </c>
      <c r="X25" s="1502"/>
      <c r="Y25" s="3491"/>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91"/>
      <c r="Q26" s="1507"/>
      <c r="R26" s="1508"/>
      <c r="S26" s="1509"/>
      <c r="T26" s="1508"/>
      <c r="U26" s="1509"/>
      <c r="V26" s="1508"/>
      <c r="W26" s="1509"/>
      <c r="X26" s="1502"/>
      <c r="Y26" s="3491"/>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491"/>
      <c r="Q27" s="1507" t="str">
        <f t="shared" si="8"/>
        <v>自然及人文环境状况</v>
      </c>
      <c r="R27" s="1508" t="s">
        <v>8</v>
      </c>
      <c r="S27" s="1509">
        <f>F27</f>
        <v>100</v>
      </c>
      <c r="T27" s="1508" t="s">
        <v>8</v>
      </c>
      <c r="U27" s="1509">
        <f>H27</f>
        <v>100</v>
      </c>
      <c r="V27" s="1508" t="s">
        <v>8</v>
      </c>
      <c r="W27" s="1509">
        <f>J27</f>
        <v>100</v>
      </c>
      <c r="X27" s="1502"/>
      <c r="Y27" s="3491"/>
      <c r="Z27" s="1510" t="str">
        <f>Q27</f>
        <v>自然及人文环境状况</v>
      </c>
      <c r="AA27" s="1511">
        <f t="shared" si="3"/>
        <v>1</v>
      </c>
      <c r="AB27" s="1511">
        <f t="shared" si="4"/>
        <v>1</v>
      </c>
      <c r="AC27" s="1511">
        <f t="shared" si="5"/>
        <v>1</v>
      </c>
    </row>
    <row r="28" spans="1:29" ht="20.25">
      <c r="A28" s="509"/>
      <c r="B28" s="560"/>
      <c r="C28" s="548" t="s">
        <v>3185</v>
      </c>
      <c r="D28" s="551"/>
      <c r="E28" s="570" t="s">
        <v>3185</v>
      </c>
      <c r="F28" s="549"/>
      <c r="G28" s="548" t="s">
        <v>3185</v>
      </c>
      <c r="H28" s="549"/>
      <c r="I28" s="570" t="s">
        <v>3185</v>
      </c>
      <c r="J28" s="549"/>
      <c r="K28" s="525"/>
      <c r="L28" s="2024"/>
      <c r="M28" s="2014"/>
      <c r="N28" s="2014"/>
      <c r="O28" s="2023"/>
      <c r="P28" s="3491"/>
      <c r="Q28" s="1507"/>
      <c r="R28" s="1508"/>
      <c r="S28" s="1509"/>
      <c r="T28" s="1508"/>
      <c r="U28" s="1509"/>
      <c r="V28" s="1508"/>
      <c r="W28" s="1509"/>
      <c r="X28" s="1502"/>
      <c r="Y28" s="3491"/>
      <c r="Z28" s="1510"/>
      <c r="AA28" s="1511">
        <v>1</v>
      </c>
      <c r="AB28" s="1511">
        <v>1</v>
      </c>
      <c r="AC28" s="1511">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1"/>
      <c r="Q29" s="1134" t="str">
        <f t="shared" si="8"/>
        <v>公共配套设施</v>
      </c>
      <c r="R29" s="1503" t="s">
        <v>8</v>
      </c>
      <c r="S29" s="1504">
        <f>F29</f>
        <v>100</v>
      </c>
      <c r="T29" s="1503" t="s">
        <v>8</v>
      </c>
      <c r="U29" s="1504">
        <f>H29</f>
        <v>100</v>
      </c>
      <c r="V29" s="1503" t="s">
        <v>8</v>
      </c>
      <c r="W29" s="1504">
        <f>J29</f>
        <v>100</v>
      </c>
      <c r="X29" s="1505"/>
      <c r="Y29" s="3491"/>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91"/>
      <c r="Q30" s="1134"/>
      <c r="R30" s="1503"/>
      <c r="S30" s="1504"/>
      <c r="T30" s="1503"/>
      <c r="U30" s="1504"/>
      <c r="V30" s="1503"/>
      <c r="W30" s="1504"/>
      <c r="X30" s="1505"/>
      <c r="Y30" s="3491"/>
      <c r="Z30" s="1133"/>
      <c r="AA30" s="1511">
        <v>1</v>
      </c>
      <c r="AB30" s="1511">
        <v>1</v>
      </c>
      <c r="AC30" s="1511">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1"/>
      <c r="Q31" s="2428" t="str">
        <f t="shared" ref="Q31" si="9">B31</f>
        <v>基础设施水平</v>
      </c>
      <c r="R31" s="1503" t="s">
        <v>8</v>
      </c>
      <c r="S31" s="1504">
        <f>F31</f>
        <v>100</v>
      </c>
      <c r="T31" s="1503" t="s">
        <v>8</v>
      </c>
      <c r="U31" s="1504">
        <f>H31</f>
        <v>100</v>
      </c>
      <c r="V31" s="1503" t="s">
        <v>8</v>
      </c>
      <c r="W31" s="1504">
        <f>J31</f>
        <v>100</v>
      </c>
      <c r="X31" s="1505"/>
      <c r="Y31" s="3491"/>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91"/>
      <c r="Q32" s="2428"/>
      <c r="R32" s="1503"/>
      <c r="S32" s="1504"/>
      <c r="T32" s="1503"/>
      <c r="U32" s="1504"/>
      <c r="V32" s="1503"/>
      <c r="W32" s="1504"/>
      <c r="X32" s="1505"/>
      <c r="Y32" s="3491"/>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1"/>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1"/>
      <c r="Q34" s="1507" t="str">
        <f t="shared" si="8"/>
        <v>毗邻道路的类型与等级</v>
      </c>
      <c r="R34" s="1508" t="s">
        <v>8</v>
      </c>
      <c r="S34" s="1509">
        <f t="shared" si="10"/>
        <v>100</v>
      </c>
      <c r="T34" s="1508" t="s">
        <v>8</v>
      </c>
      <c r="U34" s="1509">
        <f t="shared" si="11"/>
        <v>100</v>
      </c>
      <c r="V34" s="1508" t="s">
        <v>8</v>
      </c>
      <c r="W34" s="1509">
        <f t="shared" si="12"/>
        <v>100</v>
      </c>
      <c r="X34" s="1502"/>
      <c r="Y34" s="3491"/>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91"/>
      <c r="Q35" s="1507"/>
      <c r="R35" s="1508"/>
      <c r="S35" s="1509"/>
      <c r="T35" s="1508"/>
      <c r="U35" s="1509"/>
      <c r="V35" s="1508"/>
      <c r="W35" s="1509"/>
      <c r="X35" s="1502"/>
      <c r="Y35" s="3491"/>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1"/>
      <c r="Q36" s="1507" t="str">
        <f t="shared" si="8"/>
        <v>土地级别</v>
      </c>
      <c r="R36" s="1508" t="s">
        <v>8</v>
      </c>
      <c r="S36" s="1509">
        <f t="shared" si="10"/>
        <v>100</v>
      </c>
      <c r="T36" s="1508" t="s">
        <v>8</v>
      </c>
      <c r="U36" s="1509">
        <f t="shared" si="11"/>
        <v>100</v>
      </c>
      <c r="V36" s="1508" t="s">
        <v>8</v>
      </c>
      <c r="W36" s="1509">
        <f t="shared" si="12"/>
        <v>100</v>
      </c>
      <c r="X36" s="1502"/>
      <c r="Y36" s="3491"/>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1"/>
      <c r="Q37" s="1507">
        <f t="shared" si="8"/>
        <v>111</v>
      </c>
      <c r="R37" s="1508" t="s">
        <v>8</v>
      </c>
      <c r="S37" s="1509">
        <f t="shared" si="10"/>
        <v>100</v>
      </c>
      <c r="T37" s="1508" t="s">
        <v>8</v>
      </c>
      <c r="U37" s="1509">
        <f t="shared" si="11"/>
        <v>100</v>
      </c>
      <c r="V37" s="1508" t="s">
        <v>8</v>
      </c>
      <c r="W37" s="1509">
        <f t="shared" si="12"/>
        <v>100</v>
      </c>
      <c r="X37" s="1502"/>
      <c r="Y37" s="3491"/>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2" t="s">
        <v>544</v>
      </c>
      <c r="Q38" s="1507">
        <f t="shared" si="8"/>
        <v>111</v>
      </c>
      <c r="R38" s="1508" t="s">
        <v>8</v>
      </c>
      <c r="S38" s="1509">
        <f t="shared" si="10"/>
        <v>100</v>
      </c>
      <c r="T38" s="1508" t="s">
        <v>8</v>
      </c>
      <c r="U38" s="1509">
        <f t="shared" si="11"/>
        <v>100</v>
      </c>
      <c r="V38" s="1508" t="s">
        <v>8</v>
      </c>
      <c r="W38" s="1509">
        <f t="shared" si="12"/>
        <v>100</v>
      </c>
      <c r="X38" s="1502"/>
      <c r="Y38" s="3493"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3"/>
      <c r="Q39" s="1507">
        <f t="shared" si="8"/>
        <v>111</v>
      </c>
      <c r="R39" s="1512" t="s">
        <v>8</v>
      </c>
      <c r="S39" s="1513">
        <f t="shared" si="10"/>
        <v>100</v>
      </c>
      <c r="T39" s="1512" t="s">
        <v>8</v>
      </c>
      <c r="U39" s="1513">
        <f t="shared" si="11"/>
        <v>100</v>
      </c>
      <c r="V39" s="1512" t="s">
        <v>8</v>
      </c>
      <c r="W39" s="1513">
        <f t="shared" si="12"/>
        <v>100</v>
      </c>
      <c r="X39" s="1514"/>
      <c r="Y39" s="3493"/>
      <c r="Z39" s="1515">
        <f t="shared" si="13"/>
        <v>111</v>
      </c>
      <c r="AA39" s="1511">
        <f t="shared" si="3"/>
        <v>1</v>
      </c>
      <c r="AB39" s="1511">
        <f t="shared" si="4"/>
        <v>1</v>
      </c>
      <c r="AC39" s="1511">
        <f t="shared" si="5"/>
        <v>1</v>
      </c>
    </row>
    <row r="40" spans="1:29" ht="20.25">
      <c r="A40" s="2624" t="s">
        <v>2735</v>
      </c>
      <c r="B40" s="589" t="s">
        <v>546</v>
      </c>
      <c r="C40" s="590">
        <f>'数据-汇总表'!D19</f>
        <v>1442.46</v>
      </c>
      <c r="D40" s="591">
        <v>100</v>
      </c>
      <c r="E40" s="590">
        <f>'土地案例（延吉）'!D11</f>
        <v>4215</v>
      </c>
      <c r="F40" s="591">
        <f>LOOKUP(E40,119:119,120:120)-LOOKUP(C40,119:119,120:120)+100</f>
        <v>100</v>
      </c>
      <c r="G40" s="590">
        <f>'土地案例（延吉）'!D18</f>
        <v>4485.03</v>
      </c>
      <c r="H40" s="591">
        <f>LOOKUP(G40,119:119,120:120)-LOOKUP(C40,119:119,120:120)+100</f>
        <v>100</v>
      </c>
      <c r="I40" s="592">
        <f>'土地案例（延吉）'!D26</f>
        <v>3989.14</v>
      </c>
      <c r="J40" s="591">
        <f>LOOKUP(I40,119:119,120:120)-LOOKUP(C40,119:119,120:120)+100</f>
        <v>100</v>
      </c>
      <c r="K40" s="575"/>
      <c r="L40" s="2024"/>
      <c r="M40" s="2014"/>
      <c r="N40" s="2014"/>
      <c r="O40" s="2023"/>
      <c r="P40" s="3493"/>
      <c r="Q40" s="1507" t="str">
        <f>B40</f>
        <v>宗地面积</v>
      </c>
      <c r="R40" s="1508" t="s">
        <v>8</v>
      </c>
      <c r="S40" s="1509">
        <f t="shared" si="10"/>
        <v>100</v>
      </c>
      <c r="T40" s="1508" t="s">
        <v>8</v>
      </c>
      <c r="U40" s="1509">
        <f t="shared" si="11"/>
        <v>100</v>
      </c>
      <c r="V40" s="1508" t="s">
        <v>8</v>
      </c>
      <c r="W40" s="1509">
        <f t="shared" si="12"/>
        <v>100</v>
      </c>
      <c r="X40" s="1502"/>
      <c r="Y40" s="3493"/>
      <c r="Z40" s="1510" t="str">
        <f t="shared" si="13"/>
        <v>宗地面积</v>
      </c>
      <c r="AA40" s="1511">
        <f t="shared" si="3"/>
        <v>1</v>
      </c>
      <c r="AB40" s="1511">
        <f t="shared" si="4"/>
        <v>1</v>
      </c>
      <c r="AC40" s="1511">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3"/>
      <c r="Q41" s="1507" t="str">
        <f t="shared" ref="Q41:Q47" si="14">B41</f>
        <v>宗地形状</v>
      </c>
      <c r="R41" s="1508" t="s">
        <v>8</v>
      </c>
      <c r="S41" s="1509">
        <f t="shared" si="10"/>
        <v>100</v>
      </c>
      <c r="T41" s="1508" t="s">
        <v>8</v>
      </c>
      <c r="U41" s="1509">
        <f t="shared" si="11"/>
        <v>100</v>
      </c>
      <c r="V41" s="1508" t="s">
        <v>8</v>
      </c>
      <c r="W41" s="1509">
        <f t="shared" si="12"/>
        <v>100</v>
      </c>
      <c r="X41" s="1502"/>
      <c r="Y41" s="3493"/>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3"/>
      <c r="Q42" s="1507" t="str">
        <f t="shared" si="14"/>
        <v>临街宽度及深度</v>
      </c>
      <c r="R42" s="1508" t="s">
        <v>8</v>
      </c>
      <c r="S42" s="1509">
        <f t="shared" si="10"/>
        <v>100</v>
      </c>
      <c r="T42" s="1508" t="s">
        <v>8</v>
      </c>
      <c r="U42" s="1509">
        <f t="shared" si="11"/>
        <v>100</v>
      </c>
      <c r="V42" s="1508" t="s">
        <v>8</v>
      </c>
      <c r="W42" s="1509">
        <f t="shared" si="12"/>
        <v>100</v>
      </c>
      <c r="X42" s="1502"/>
      <c r="Y42" s="3493"/>
      <c r="Z42" s="1510" t="str">
        <f t="shared" si="13"/>
        <v>临街宽度及深度</v>
      </c>
      <c r="AA42" s="1511">
        <f t="shared" si="3"/>
        <v>1</v>
      </c>
      <c r="AB42" s="1511">
        <f t="shared" si="4"/>
        <v>1</v>
      </c>
      <c r="AC42" s="1511">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3"/>
      <c r="Q43" s="1507" t="str">
        <f t="shared" si="14"/>
        <v>宗地开发程度</v>
      </c>
      <c r="R43" s="1503" t="s">
        <v>8</v>
      </c>
      <c r="S43" s="1504">
        <f t="shared" si="10"/>
        <v>100</v>
      </c>
      <c r="T43" s="1503" t="s">
        <v>8</v>
      </c>
      <c r="U43" s="1504">
        <f t="shared" si="11"/>
        <v>100</v>
      </c>
      <c r="V43" s="1503" t="s">
        <v>8</v>
      </c>
      <c r="W43" s="1504">
        <f t="shared" si="12"/>
        <v>100</v>
      </c>
      <c r="X43" s="1505"/>
      <c r="Y43" s="3493"/>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3" t="s">
        <v>544</v>
      </c>
      <c r="Q44" s="1507" t="str">
        <f t="shared" si="14"/>
        <v>工程地质条件</v>
      </c>
      <c r="R44" s="1508" t="s">
        <v>8</v>
      </c>
      <c r="S44" s="1509">
        <f t="shared" si="10"/>
        <v>100</v>
      </c>
      <c r="T44" s="1508" t="s">
        <v>8</v>
      </c>
      <c r="U44" s="1509">
        <f t="shared" si="11"/>
        <v>100</v>
      </c>
      <c r="V44" s="1508" t="s">
        <v>8</v>
      </c>
      <c r="W44" s="1509">
        <f t="shared" si="12"/>
        <v>100</v>
      </c>
      <c r="X44" s="1502"/>
      <c r="Y44" s="3493"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3"/>
      <c r="Q45" s="1507">
        <f t="shared" si="14"/>
        <v>111</v>
      </c>
      <c r="R45" s="1508" t="s">
        <v>8</v>
      </c>
      <c r="S45" s="1509">
        <f t="shared" si="10"/>
        <v>100</v>
      </c>
      <c r="T45" s="1508" t="s">
        <v>8</v>
      </c>
      <c r="U45" s="1509">
        <f t="shared" si="11"/>
        <v>100</v>
      </c>
      <c r="V45" s="1508" t="s">
        <v>8</v>
      </c>
      <c r="W45" s="1509">
        <f t="shared" si="12"/>
        <v>100</v>
      </c>
      <c r="X45" s="1502"/>
      <c r="Y45" s="3493"/>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3"/>
      <c r="Q46" s="1507">
        <f t="shared" si="14"/>
        <v>111</v>
      </c>
      <c r="R46" s="1508" t="s">
        <v>8</v>
      </c>
      <c r="S46" s="1509">
        <f t="shared" si="10"/>
        <v>100</v>
      </c>
      <c r="T46" s="1508" t="s">
        <v>8</v>
      </c>
      <c r="U46" s="1509">
        <f t="shared" si="11"/>
        <v>100</v>
      </c>
      <c r="V46" s="1508" t="s">
        <v>8</v>
      </c>
      <c r="W46" s="1509">
        <f t="shared" si="12"/>
        <v>100</v>
      </c>
      <c r="X46" s="1502"/>
      <c r="Y46" s="3493"/>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3"/>
      <c r="Q47" s="1507">
        <f t="shared" si="14"/>
        <v>111</v>
      </c>
      <c r="R47" s="1512" t="s">
        <v>8</v>
      </c>
      <c r="S47" s="1513">
        <f t="shared" si="10"/>
        <v>100</v>
      </c>
      <c r="T47" s="1512" t="s">
        <v>8</v>
      </c>
      <c r="U47" s="1513">
        <f t="shared" si="11"/>
        <v>100</v>
      </c>
      <c r="V47" s="1512" t="s">
        <v>8</v>
      </c>
      <c r="W47" s="1513">
        <f t="shared" si="12"/>
        <v>100</v>
      </c>
      <c r="X47" s="1514"/>
      <c r="Y47" s="3493"/>
      <c r="Z47" s="1515">
        <f t="shared" si="13"/>
        <v>111</v>
      </c>
      <c r="AA47" s="1511">
        <f t="shared" si="3"/>
        <v>1</v>
      </c>
      <c r="AB47" s="1511">
        <f t="shared" si="4"/>
        <v>1</v>
      </c>
      <c r="AC47" s="1511">
        <f t="shared" si="5"/>
        <v>1</v>
      </c>
    </row>
    <row r="48" spans="1:29" ht="20.25">
      <c r="A48" s="601" t="s">
        <v>550</v>
      </c>
      <c r="B48" s="602" t="s">
        <v>3355</v>
      </c>
      <c r="C48" s="603" t="s">
        <v>1</v>
      </c>
      <c r="D48" s="604"/>
      <c r="E48" s="605">
        <f>ROUND('土地案例（延吉）'!O11,0)</f>
        <v>1172</v>
      </c>
      <c r="F48" s="606"/>
      <c r="G48" s="607">
        <f>ROUND('土地案例（延吉）'!O18,0)</f>
        <v>1247</v>
      </c>
      <c r="H48" s="608"/>
      <c r="I48" s="605">
        <f>ROUND('土地案例（延吉）'!O26,0)</f>
        <v>1142</v>
      </c>
      <c r="J48" s="608"/>
      <c r="K48" s="1294"/>
      <c r="L48" s="2026"/>
      <c r="M48" s="2014"/>
      <c r="N48" s="2014"/>
      <c r="O48" s="2027"/>
      <c r="P48" s="3456" t="str">
        <f>A48</f>
        <v>成交单价</v>
      </c>
      <c r="Q48" s="3456"/>
      <c r="R48" s="3457">
        <f>E48</f>
        <v>1172</v>
      </c>
      <c r="S48" s="3457"/>
      <c r="T48" s="3457">
        <f>G48</f>
        <v>1247</v>
      </c>
      <c r="U48" s="3457"/>
      <c r="V48" s="3457">
        <f>I48</f>
        <v>1142</v>
      </c>
      <c r="W48" s="3457"/>
      <c r="X48" s="1497"/>
      <c r="Y48" s="1516"/>
      <c r="Z48" s="1497"/>
      <c r="AA48" s="1497"/>
      <c r="AB48" s="1497"/>
      <c r="AC48" s="1497"/>
    </row>
    <row r="49" spans="1:29" ht="21" thickBot="1">
      <c r="A49" s="609" t="s">
        <v>2673</v>
      </c>
      <c r="B49" s="610"/>
      <c r="C49" s="611">
        <f>R50</f>
        <v>1187</v>
      </c>
      <c r="D49" s="3014" t="s">
        <v>2968</v>
      </c>
      <c r="E49" s="611">
        <f>R49</f>
        <v>1172</v>
      </c>
      <c r="F49" s="3015"/>
      <c r="G49" s="612">
        <f>T49</f>
        <v>1247</v>
      </c>
      <c r="H49" s="3015"/>
      <c r="I49" s="611">
        <f>V49</f>
        <v>1142</v>
      </c>
      <c r="J49" s="3015"/>
      <c r="K49" s="3016">
        <f>F49+H49+J49</f>
        <v>0</v>
      </c>
      <c r="L49" s="2026"/>
      <c r="M49" s="2014"/>
      <c r="N49" s="2014"/>
      <c r="O49" s="2027"/>
      <c r="P49" s="3456" t="str">
        <f>A49</f>
        <v>比较价格（元/平方米）</v>
      </c>
      <c r="Q49" s="3456"/>
      <c r="R49" s="3458">
        <f>ROUND(PRODUCT(R48,AA9:AA47),0)</f>
        <v>1172</v>
      </c>
      <c r="S49" s="3458"/>
      <c r="T49" s="3458">
        <f>ROUND(PRODUCT(T48,AB9:AB47),0)</f>
        <v>1247</v>
      </c>
      <c r="U49" s="3458"/>
      <c r="V49" s="3458">
        <f>ROUND(PRODUCT(V48,AC9:AC47),0)</f>
        <v>1142</v>
      </c>
      <c r="W49" s="3458"/>
      <c r="X49" s="1497"/>
      <c r="Y49" s="1497"/>
      <c r="Z49" s="1497"/>
      <c r="AA49" s="1497"/>
      <c r="AB49" s="1497"/>
      <c r="AC49" s="1497"/>
    </row>
    <row r="50" spans="1:29" ht="21" thickBot="1">
      <c r="A50" s="613" t="s">
        <v>3356</v>
      </c>
      <c r="B50" s="614"/>
      <c r="C50" s="615">
        <f>R50</f>
        <v>1187</v>
      </c>
      <c r="D50" s="615"/>
      <c r="E50" s="615"/>
      <c r="F50" s="615"/>
      <c r="G50" s="615"/>
      <c r="H50" s="615"/>
      <c r="I50" s="615"/>
      <c r="J50" s="615"/>
      <c r="K50" s="1295"/>
      <c r="L50" s="2026"/>
      <c r="M50" s="2014"/>
      <c r="N50" s="2014"/>
      <c r="O50" s="2027"/>
      <c r="P50" s="3453" t="str">
        <f>A50</f>
        <v>估价对象商业用房的比较价格（楼面单价，元/平方米）</v>
      </c>
      <c r="Q50" s="3454"/>
      <c r="R50" s="3455">
        <f>ROUND(IF(D49="简单平均",AVERAGE(R49:W49),R49*F49+T49*H49+V49*J49),0)</f>
        <v>1187</v>
      </c>
      <c r="S50" s="3455"/>
      <c r="T50" s="3455"/>
      <c r="U50" s="3455"/>
      <c r="V50" s="3455"/>
      <c r="W50" s="345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v>
      </c>
      <c r="F53" s="619" t="str">
        <f>IF(OR(E53&gt;=0.3,E53&lt;=-0.3),"超过30%","")</f>
        <v/>
      </c>
      <c r="G53" s="618">
        <f>IF(G48&lt;G49,G49/G48-1,G48/G49-1)</f>
        <v>0</v>
      </c>
      <c r="H53" s="619" t="str">
        <f>IF(OR(G53&gt;=0.3,G53&lt;=-0.3),"超过30%","")</f>
        <v/>
      </c>
      <c r="I53" s="618">
        <f>IF(I48&lt;I49,I49/I48-1,I48/I49-1)</f>
        <v>0</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6.3993174061433455E-2</v>
      </c>
      <c r="F54" s="619" t="str">
        <f>IF(OR(E54&gt;=0.2,E54&lt;=-0.2),"超过20%","")</f>
        <v/>
      </c>
      <c r="G54" s="618">
        <f>IF(G49&lt;I49,I49/G49-1,G49/I49-1)</f>
        <v>9.1943957968476431E-2</v>
      </c>
      <c r="H54" s="619" t="str">
        <f>IF(OR(G54&gt;=0.2,G54&lt;=-0.2),"超过20%","")</f>
        <v/>
      </c>
      <c r="I54" s="618">
        <f>IF(I49&lt;E49,E49/I49-1,I49/E49-1)</f>
        <v>2.6269702276707552E-2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6.3993174061433455E-2</v>
      </c>
      <c r="F55" s="619" t="str">
        <f>IF(OR(E55&gt;=0.3,E55&lt;=-0.3),"超过30%","")</f>
        <v/>
      </c>
      <c r="G55" s="618">
        <f>IF(G48&lt;I48,I48/G48-1,G48/I48-1)</f>
        <v>9.1943957968476431E-2</v>
      </c>
      <c r="H55" s="619" t="str">
        <f>IF(OR(G55&gt;=0.3,G55&lt;=-0.3),"超过30%","")</f>
        <v/>
      </c>
      <c r="I55" s="618">
        <f>IF(I48&lt;E48,E48/I48-1,I48/E48-1)</f>
        <v>2.6269702276707552E-2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1714</v>
      </c>
      <c r="D57" s="2107" t="s">
        <v>2280</v>
      </c>
      <c r="E57" s="623" t="s">
        <v>556</v>
      </c>
      <c r="F57" s="624" t="s">
        <v>557</v>
      </c>
      <c r="G57" s="3482" t="s">
        <v>2268</v>
      </c>
      <c r="H57" s="3483"/>
      <c r="I57" s="1494" t="s">
        <v>1712</v>
      </c>
      <c r="J57" s="1494" t="str">
        <f>项目基本情况!F41</f>
        <v>吉林省延吉市</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1187</v>
      </c>
      <c r="C58" s="627">
        <v>1</v>
      </c>
      <c r="D58" s="2108">
        <v>1</v>
      </c>
      <c r="E58" s="627">
        <f>'数据-汇总表'!E8+'数据-汇总表'!E9</f>
        <v>198.07</v>
      </c>
      <c r="F58" s="628">
        <f t="shared" ref="F58:F67" si="15">ROUND(B58*E58/10000,0)</f>
        <v>24</v>
      </c>
      <c r="G58" s="3484"/>
      <c r="H58" s="3485"/>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486" t="s">
        <v>2269</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486"/>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486"/>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486"/>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1442.46</v>
      </c>
      <c r="F68" s="636">
        <f>IF(B48="楼面地价",SUM(F58:F67),ROUND(C50*E68/10000,0))</f>
        <v>171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2021-6-1</v>
      </c>
      <c r="D70" s="2516">
        <f>EDATE(C70,-3)</f>
        <v>44256</v>
      </c>
      <c r="E70" s="2516">
        <f t="shared" ref="E70:N70" si="18">EDATE(D70,-3)</f>
        <v>44166</v>
      </c>
      <c r="F70" s="2516">
        <f t="shared" si="18"/>
        <v>44075</v>
      </c>
      <c r="G70" s="2516">
        <f t="shared" si="18"/>
        <v>43983</v>
      </c>
      <c r="H70" s="2516">
        <f t="shared" si="18"/>
        <v>43891</v>
      </c>
      <c r="I70" s="2516">
        <f t="shared" si="18"/>
        <v>43800</v>
      </c>
      <c r="J70" s="2516">
        <f t="shared" si="18"/>
        <v>43709</v>
      </c>
      <c r="K70" s="2516">
        <f t="shared" si="18"/>
        <v>43617</v>
      </c>
      <c r="L70" s="2516">
        <f t="shared" si="18"/>
        <v>43525</v>
      </c>
      <c r="M70" s="2516">
        <f t="shared" si="18"/>
        <v>43435</v>
      </c>
      <c r="N70" s="2516">
        <f t="shared" si="18"/>
        <v>43344</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2627</v>
      </c>
      <c r="B73" s="473" t="str">
        <f>"北京市平均增长率"&amp;TEXT(SUMIF(基准地价!N21:N25,A73,基准地价!P21:P25),"0.00%")</f>
        <v>北京市平均增长率1.73%</v>
      </c>
      <c r="C73" s="883">
        <v>100</v>
      </c>
      <c r="D73" s="722">
        <v>100</v>
      </c>
      <c r="E73" s="722">
        <v>100</v>
      </c>
      <c r="F73" s="722">
        <v>100</v>
      </c>
      <c r="G73" s="722">
        <v>100</v>
      </c>
      <c r="H73" s="722">
        <v>100</v>
      </c>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t="str">
        <f>'土地案例（白山市）'!H13</f>
        <v>其他商服用地</v>
      </c>
      <c r="D77" s="592" t="str">
        <f>'土地案例（白山市）'!H28</f>
        <v>零售商业用地</v>
      </c>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v>100</v>
      </c>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0(含)-10000</v>
      </c>
      <c r="D118" s="696" t="str">
        <f t="shared" si="25"/>
        <v>10000(含)-20000</v>
      </c>
      <c r="E118" s="696" t="str">
        <f t="shared" si="25"/>
        <v>20000(含)-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98</v>
      </c>
      <c r="E120" s="718">
        <v>96</v>
      </c>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62" t="s">
        <v>516</v>
      </c>
      <c r="D6" s="3463"/>
      <c r="E6" s="3496" t="s">
        <v>517</v>
      </c>
      <c r="F6" s="3497"/>
      <c r="G6" s="3462" t="s">
        <v>518</v>
      </c>
      <c r="H6" s="3463"/>
      <c r="I6" s="3462" t="s">
        <v>519</v>
      </c>
      <c r="J6" s="3463"/>
      <c r="K6" s="508" t="s">
        <v>520</v>
      </c>
      <c r="L6" s="2015"/>
      <c r="M6" s="2016"/>
      <c r="N6" s="2016"/>
      <c r="O6" s="2016"/>
      <c r="P6" s="3464" t="s">
        <v>521</v>
      </c>
      <c r="Q6" s="3465"/>
      <c r="R6" s="3470" t="s">
        <v>517</v>
      </c>
      <c r="S6" s="3471"/>
      <c r="T6" s="3470" t="s">
        <v>518</v>
      </c>
      <c r="U6" s="3471"/>
      <c r="V6" s="3457" t="s">
        <v>519</v>
      </c>
      <c r="W6" s="3457"/>
      <c r="X6" s="1502"/>
      <c r="Y6" s="3470" t="s">
        <v>521</v>
      </c>
      <c r="Z6" s="3471"/>
      <c r="AA6" s="3459" t="s">
        <v>517</v>
      </c>
      <c r="AB6" s="3460" t="s">
        <v>518</v>
      </c>
      <c r="AC6" s="3459" t="s">
        <v>519</v>
      </c>
    </row>
    <row r="7" spans="1:29" ht="15">
      <c r="A7" s="509"/>
      <c r="B7" s="510"/>
      <c r="C7" s="3478" t="s">
        <v>2897</v>
      </c>
      <c r="D7" s="3479"/>
      <c r="E7" s="3498" t="s">
        <v>2898</v>
      </c>
      <c r="F7" s="3499"/>
      <c r="G7" s="3478" t="s">
        <v>2899</v>
      </c>
      <c r="H7" s="3479"/>
      <c r="I7" s="3478" t="s">
        <v>2900</v>
      </c>
      <c r="J7" s="3479"/>
      <c r="K7" s="508"/>
      <c r="L7" s="2015"/>
      <c r="M7" s="2016"/>
      <c r="N7" s="2016"/>
      <c r="O7" s="2016"/>
      <c r="P7" s="3466"/>
      <c r="Q7" s="3467"/>
      <c r="R7" s="3472"/>
      <c r="S7" s="3473"/>
      <c r="T7" s="3472"/>
      <c r="U7" s="3473"/>
      <c r="V7" s="3457"/>
      <c r="W7" s="3457"/>
      <c r="X7" s="1502"/>
      <c r="Y7" s="3472"/>
      <c r="Z7" s="3473"/>
      <c r="AA7" s="3460"/>
      <c r="AB7" s="3460"/>
      <c r="AC7" s="3460"/>
    </row>
    <row r="8" spans="1:29" ht="15.75" thickBot="1">
      <c r="A8" s="511"/>
      <c r="B8" s="512"/>
      <c r="C8" s="3476" t="s">
        <v>2901</v>
      </c>
      <c r="D8" s="3477"/>
      <c r="E8" s="3494" t="s">
        <v>2901</v>
      </c>
      <c r="F8" s="3495"/>
      <c r="G8" s="3476" t="s">
        <v>2901</v>
      </c>
      <c r="H8" s="3477"/>
      <c r="I8" s="3476" t="s">
        <v>2901</v>
      </c>
      <c r="J8" s="3477"/>
      <c r="K8" s="508" t="s">
        <v>522</v>
      </c>
      <c r="L8" s="2015"/>
      <c r="M8" s="2016"/>
      <c r="N8" s="2016"/>
      <c r="O8" s="2016"/>
      <c r="P8" s="3468"/>
      <c r="Q8" s="3469"/>
      <c r="R8" s="3472"/>
      <c r="S8" s="3473"/>
      <c r="T8" s="3474"/>
      <c r="U8" s="3475"/>
      <c r="V8" s="3457"/>
      <c r="W8" s="3457"/>
      <c r="X8" s="1502"/>
      <c r="Y8" s="3474"/>
      <c r="Z8" s="3475"/>
      <c r="AA8" s="3461"/>
      <c r="AB8" s="3461"/>
      <c r="AC8" s="3461"/>
    </row>
    <row r="9" spans="1:29" s="1203" customFormat="1" ht="15.75" thickBot="1">
      <c r="A9" s="2629"/>
      <c r="B9" s="2636" t="s">
        <v>523</v>
      </c>
      <c r="C9" s="513">
        <f>'数据-取费表'!B2</f>
        <v>44357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7" t="s">
        <v>524</v>
      </c>
      <c r="Q9" s="3489"/>
      <c r="R9" s="1503" t="s">
        <v>8</v>
      </c>
      <c r="S9" s="1504">
        <f t="shared" ref="S9:S17" si="0">F9</f>
        <v>0</v>
      </c>
      <c r="T9" s="1503" t="s">
        <v>8</v>
      </c>
      <c r="U9" s="1504">
        <f t="shared" ref="U9:U17" si="1">H9</f>
        <v>0</v>
      </c>
      <c r="V9" s="1503" t="s">
        <v>8</v>
      </c>
      <c r="W9" s="1504">
        <f t="shared" ref="W9:W17" si="2">J9</f>
        <v>0</v>
      </c>
      <c r="X9" s="1505"/>
      <c r="Y9" s="3487" t="s">
        <v>524</v>
      </c>
      <c r="Z9" s="3488"/>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7" t="s">
        <v>527</v>
      </c>
      <c r="Q10" s="3488"/>
      <c r="R10" s="1503" t="s">
        <v>8</v>
      </c>
      <c r="S10" s="1504">
        <f t="shared" si="0"/>
        <v>0</v>
      </c>
      <c r="T10" s="1503" t="s">
        <v>8</v>
      </c>
      <c r="U10" s="1504">
        <f t="shared" si="1"/>
        <v>0</v>
      </c>
      <c r="V10" s="1503" t="s">
        <v>8</v>
      </c>
      <c r="W10" s="1504">
        <f t="shared" si="2"/>
        <v>0</v>
      </c>
      <c r="X10" s="1505"/>
      <c r="Y10" s="3487" t="s">
        <v>527</v>
      </c>
      <c r="Z10" s="3488"/>
      <c r="AA10" s="1506" t="e">
        <f t="shared" ref="AA10:AA42" si="3">D10/F10</f>
        <v>#DIV/0!</v>
      </c>
      <c r="AB10" s="1506" t="e">
        <f t="shared" ref="AB10:AB42" si="4">D10/H10</f>
        <v>#DIV/0!</v>
      </c>
      <c r="AC10" s="1506"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56" t="s">
        <v>529</v>
      </c>
      <c r="Q11" s="1134" t="str">
        <f t="shared" ref="Q11:Q17" si="6">B11</f>
        <v>用途</v>
      </c>
      <c r="R11" s="1503" t="s">
        <v>8</v>
      </c>
      <c r="S11" s="1504">
        <f t="shared" si="0"/>
        <v>100</v>
      </c>
      <c r="T11" s="1503" t="s">
        <v>8</v>
      </c>
      <c r="U11" s="1504">
        <f t="shared" si="1"/>
        <v>100</v>
      </c>
      <c r="V11" s="1503" t="s">
        <v>8</v>
      </c>
      <c r="W11" s="1504">
        <f t="shared" si="2"/>
        <v>100</v>
      </c>
      <c r="X11" s="1505"/>
      <c r="Y11" s="3402" t="s">
        <v>530</v>
      </c>
      <c r="Z11" s="1133" t="str">
        <f t="shared" ref="Z11:Z17" si="7">Q11</f>
        <v>用途</v>
      </c>
      <c r="AA11" s="1506">
        <f t="shared" si="3"/>
        <v>1</v>
      </c>
      <c r="AB11" s="1506">
        <f t="shared" si="4"/>
        <v>1</v>
      </c>
      <c r="AC11" s="1506">
        <f t="shared" si="5"/>
        <v>1</v>
      </c>
    </row>
    <row r="12" spans="1:29" s="1292"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56"/>
      <c r="Q12" s="1134" t="str">
        <f t="shared" si="6"/>
        <v>土地使用年限（年）</v>
      </c>
      <c r="R12" s="1503" t="s">
        <v>8</v>
      </c>
      <c r="S12" s="1504">
        <f t="shared" si="0"/>
        <v>100</v>
      </c>
      <c r="T12" s="1503" t="s">
        <v>8</v>
      </c>
      <c r="U12" s="1504">
        <f t="shared" si="1"/>
        <v>100</v>
      </c>
      <c r="V12" s="1503" t="s">
        <v>8</v>
      </c>
      <c r="W12" s="1504">
        <f t="shared" si="2"/>
        <v>100</v>
      </c>
      <c r="X12" s="1505"/>
      <c r="Y12" s="3402"/>
      <c r="Z12" s="1133" t="str">
        <f t="shared" si="7"/>
        <v>土地使用年限（年）</v>
      </c>
      <c r="AA12" s="1506">
        <f t="shared" si="3"/>
        <v>1</v>
      </c>
      <c r="AB12" s="1506">
        <f t="shared" si="4"/>
        <v>1</v>
      </c>
      <c r="AC12" s="1506">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56"/>
      <c r="Q13" s="1134" t="str">
        <f t="shared" si="6"/>
        <v>容积率</v>
      </c>
      <c r="R13" s="1503" t="s">
        <v>8</v>
      </c>
      <c r="S13" s="1504" t="e">
        <f t="shared" si="0"/>
        <v>#N/A</v>
      </c>
      <c r="T13" s="1503" t="s">
        <v>8</v>
      </c>
      <c r="U13" s="1504" t="e">
        <f t="shared" si="1"/>
        <v>#N/A</v>
      </c>
      <c r="V13" s="1503" t="s">
        <v>8</v>
      </c>
      <c r="W13" s="1504" t="e">
        <f t="shared" si="2"/>
        <v>#N/A</v>
      </c>
      <c r="X13" s="1505"/>
      <c r="Y13" s="3402"/>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56"/>
      <c r="Q15" s="1134">
        <f t="shared" si="6"/>
        <v>111</v>
      </c>
      <c r="R15" s="1503" t="s">
        <v>8</v>
      </c>
      <c r="S15" s="1504">
        <f t="shared" si="0"/>
        <v>100</v>
      </c>
      <c r="T15" s="1503" t="s">
        <v>8</v>
      </c>
      <c r="U15" s="1504">
        <f t="shared" si="1"/>
        <v>100</v>
      </c>
      <c r="V15" s="1503" t="s">
        <v>8</v>
      </c>
      <c r="W15" s="1504">
        <f t="shared" si="2"/>
        <v>100</v>
      </c>
      <c r="X15" s="1505"/>
      <c r="Y15" s="3402"/>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56"/>
      <c r="Q16" s="1134">
        <f t="shared" si="6"/>
        <v>111</v>
      </c>
      <c r="R16" s="1503" t="s">
        <v>8</v>
      </c>
      <c r="S16" s="1504">
        <f t="shared" si="0"/>
        <v>100</v>
      </c>
      <c r="T16" s="1503" t="s">
        <v>8</v>
      </c>
      <c r="U16" s="1504">
        <f t="shared" si="1"/>
        <v>100</v>
      </c>
      <c r="V16" s="1503" t="s">
        <v>8</v>
      </c>
      <c r="W16" s="1504">
        <f t="shared" si="2"/>
        <v>100</v>
      </c>
      <c r="X16" s="1505"/>
      <c r="Y16" s="3402"/>
      <c r="Z16" s="1133">
        <f t="shared" si="7"/>
        <v>111</v>
      </c>
      <c r="AA16" s="1506">
        <f t="shared" si="3"/>
        <v>1</v>
      </c>
      <c r="AB16" s="1506">
        <f t="shared" si="4"/>
        <v>1</v>
      </c>
      <c r="AC16" s="1506">
        <f t="shared" si="5"/>
        <v>1</v>
      </c>
    </row>
    <row r="17" spans="1:29" ht="57">
      <c r="A17" s="2627"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0" t="s">
        <v>534</v>
      </c>
      <c r="Q17" s="1507" t="str">
        <f t="shared" si="6"/>
        <v>产业集聚程度</v>
      </c>
      <c r="R17" s="1508" t="s">
        <v>8</v>
      </c>
      <c r="S17" s="1509">
        <f t="shared" si="0"/>
        <v>100</v>
      </c>
      <c r="T17" s="1508" t="s">
        <v>8</v>
      </c>
      <c r="U17" s="1509">
        <f t="shared" si="1"/>
        <v>100</v>
      </c>
      <c r="V17" s="1508" t="s">
        <v>8</v>
      </c>
      <c r="W17" s="1509">
        <f t="shared" si="2"/>
        <v>100</v>
      </c>
      <c r="X17" s="1502"/>
      <c r="Y17" s="349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91"/>
      <c r="Q18" s="1507"/>
      <c r="R18" s="1508"/>
      <c r="S18" s="1509"/>
      <c r="T18" s="1508"/>
      <c r="U18" s="1509"/>
      <c r="V18" s="1508"/>
      <c r="W18" s="1509"/>
      <c r="X18" s="1502"/>
      <c r="Y18" s="3491"/>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1"/>
      <c r="Q19" s="1507" t="str">
        <f>B19</f>
        <v>交通便捷度</v>
      </c>
      <c r="R19" s="1508" t="s">
        <v>8</v>
      </c>
      <c r="S19" s="1509">
        <f>F19</f>
        <v>100</v>
      </c>
      <c r="T19" s="1508" t="s">
        <v>8</v>
      </c>
      <c r="U19" s="1509">
        <f>H19</f>
        <v>100</v>
      </c>
      <c r="V19" s="1508" t="s">
        <v>8</v>
      </c>
      <c r="W19" s="1509">
        <f>J19</f>
        <v>100</v>
      </c>
      <c r="X19" s="1502"/>
      <c r="Y19" s="349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1"/>
      <c r="Q21" s="1507" t="str">
        <f t="shared" ref="Q21:Q35" si="8">B21</f>
        <v>区域土地利用方向</v>
      </c>
      <c r="R21" s="1508" t="s">
        <v>8</v>
      </c>
      <c r="S21" s="1509">
        <f>F21</f>
        <v>100</v>
      </c>
      <c r="T21" s="1508" t="s">
        <v>8</v>
      </c>
      <c r="U21" s="1509">
        <f>H21</f>
        <v>100</v>
      </c>
      <c r="V21" s="1508" t="s">
        <v>8</v>
      </c>
      <c r="W21" s="1509">
        <f>J21</f>
        <v>100</v>
      </c>
      <c r="X21" s="1502"/>
      <c r="Y21" s="349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91"/>
      <c r="Q22" s="1507"/>
      <c r="R22" s="1508"/>
      <c r="S22" s="1509"/>
      <c r="T22" s="1508"/>
      <c r="U22" s="1509"/>
      <c r="V22" s="1508"/>
      <c r="W22" s="1509"/>
      <c r="X22" s="1502"/>
      <c r="Y22" s="3491"/>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1"/>
      <c r="Q23" s="1507" t="str">
        <f t="shared" si="8"/>
        <v>环境状况</v>
      </c>
      <c r="R23" s="1508" t="s">
        <v>8</v>
      </c>
      <c r="S23" s="1509">
        <f>F23</f>
        <v>100</v>
      </c>
      <c r="T23" s="1508" t="s">
        <v>8</v>
      </c>
      <c r="U23" s="1509">
        <f>H23</f>
        <v>100</v>
      </c>
      <c r="V23" s="1508" t="s">
        <v>8</v>
      </c>
      <c r="W23" s="1509">
        <f>J23</f>
        <v>100</v>
      </c>
      <c r="X23" s="1502"/>
      <c r="Y23" s="349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91"/>
      <c r="Q24" s="1507"/>
      <c r="R24" s="1508"/>
      <c r="S24" s="1509"/>
      <c r="T24" s="1508"/>
      <c r="U24" s="1509"/>
      <c r="V24" s="1508"/>
      <c r="W24" s="1509"/>
      <c r="X24" s="1502"/>
      <c r="Y24" s="3491"/>
      <c r="Z24" s="1510"/>
      <c r="AA24" s="1511">
        <v>1</v>
      </c>
      <c r="AB24" s="1511">
        <v>1</v>
      </c>
      <c r="AC24" s="1511">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1"/>
      <c r="Q25" s="1134" t="str">
        <f t="shared" si="8"/>
        <v>公共配套设施</v>
      </c>
      <c r="R25" s="1503" t="s">
        <v>8</v>
      </c>
      <c r="S25" s="1504">
        <f>F25</f>
        <v>100</v>
      </c>
      <c r="T25" s="1503" t="s">
        <v>8</v>
      </c>
      <c r="U25" s="1504">
        <f>H25</f>
        <v>100</v>
      </c>
      <c r="V25" s="1503" t="s">
        <v>8</v>
      </c>
      <c r="W25" s="1504">
        <f>J25</f>
        <v>100</v>
      </c>
      <c r="X25" s="1505"/>
      <c r="Y25" s="3491"/>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91"/>
      <c r="Q26" s="1134"/>
      <c r="R26" s="1503"/>
      <c r="S26" s="1504"/>
      <c r="T26" s="1503"/>
      <c r="U26" s="1504"/>
      <c r="V26" s="1503"/>
      <c r="W26" s="1504"/>
      <c r="X26" s="1505"/>
      <c r="Y26" s="3491"/>
      <c r="Z26" s="1133"/>
      <c r="AA26" s="1506">
        <v>1</v>
      </c>
      <c r="AB26" s="1506">
        <v>1</v>
      </c>
      <c r="AC26" s="1506">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1"/>
      <c r="Q27" s="2428" t="str">
        <f t="shared" ref="Q27" si="9">B27</f>
        <v>基础设施水平</v>
      </c>
      <c r="R27" s="1503" t="s">
        <v>8</v>
      </c>
      <c r="S27" s="1504">
        <f>F27</f>
        <v>100</v>
      </c>
      <c r="T27" s="1503" t="s">
        <v>8</v>
      </c>
      <c r="U27" s="1504">
        <f>H27</f>
        <v>100</v>
      </c>
      <c r="V27" s="1503" t="s">
        <v>8</v>
      </c>
      <c r="W27" s="1504">
        <f>J27</f>
        <v>100</v>
      </c>
      <c r="X27" s="1505"/>
      <c r="Y27" s="3491"/>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91"/>
      <c r="Q28" s="2428"/>
      <c r="R28" s="1503"/>
      <c r="S28" s="1504"/>
      <c r="T28" s="1503"/>
      <c r="U28" s="1504"/>
      <c r="V28" s="1503"/>
      <c r="W28" s="1504"/>
      <c r="X28" s="1505"/>
      <c r="Y28" s="3491"/>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1"/>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1"/>
      <c r="Q30" s="1507" t="str">
        <f t="shared" si="8"/>
        <v>毗邻道路的类型与等级</v>
      </c>
      <c r="R30" s="1508" t="s">
        <v>8</v>
      </c>
      <c r="S30" s="1509">
        <f t="shared" si="10"/>
        <v>100</v>
      </c>
      <c r="T30" s="1508" t="s">
        <v>8</v>
      </c>
      <c r="U30" s="1509">
        <f t="shared" si="11"/>
        <v>100</v>
      </c>
      <c r="V30" s="1508" t="s">
        <v>8</v>
      </c>
      <c r="W30" s="1509">
        <f t="shared" si="12"/>
        <v>100</v>
      </c>
      <c r="X30" s="1502"/>
      <c r="Y30" s="349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91"/>
      <c r="Q31" s="1507"/>
      <c r="R31" s="1508"/>
      <c r="S31" s="1509"/>
      <c r="T31" s="1508"/>
      <c r="U31" s="1509"/>
      <c r="V31" s="1508"/>
      <c r="W31" s="1509"/>
      <c r="X31" s="1502"/>
      <c r="Y31" s="3491"/>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1"/>
      <c r="Q32" s="1507" t="str">
        <f t="shared" si="8"/>
        <v>土地级别</v>
      </c>
      <c r="R32" s="1508" t="s">
        <v>8</v>
      </c>
      <c r="S32" s="1509">
        <f t="shared" si="10"/>
        <v>100</v>
      </c>
      <c r="T32" s="1508" t="s">
        <v>8</v>
      </c>
      <c r="U32" s="1509">
        <f t="shared" si="11"/>
        <v>100</v>
      </c>
      <c r="V32" s="1508" t="s">
        <v>8</v>
      </c>
      <c r="W32" s="1509">
        <f t="shared" si="12"/>
        <v>100</v>
      </c>
      <c r="X32" s="1502"/>
      <c r="Y32" s="349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1"/>
      <c r="Q33" s="1507">
        <f t="shared" si="8"/>
        <v>111</v>
      </c>
      <c r="R33" s="1508" t="s">
        <v>8</v>
      </c>
      <c r="S33" s="1509">
        <f t="shared" si="10"/>
        <v>100</v>
      </c>
      <c r="T33" s="1508" t="s">
        <v>8</v>
      </c>
      <c r="U33" s="1509">
        <f t="shared" si="11"/>
        <v>100</v>
      </c>
      <c r="V33" s="1508" t="s">
        <v>8</v>
      </c>
      <c r="W33" s="1509">
        <f t="shared" si="12"/>
        <v>100</v>
      </c>
      <c r="X33" s="1502"/>
      <c r="Y33" s="349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2" t="s">
        <v>544</v>
      </c>
      <c r="Q34" s="1507">
        <f t="shared" si="8"/>
        <v>111</v>
      </c>
      <c r="R34" s="1508" t="s">
        <v>8</v>
      </c>
      <c r="S34" s="1509">
        <f t="shared" si="10"/>
        <v>100</v>
      </c>
      <c r="T34" s="1508" t="s">
        <v>8</v>
      </c>
      <c r="U34" s="1509">
        <f t="shared" si="11"/>
        <v>100</v>
      </c>
      <c r="V34" s="1508" t="s">
        <v>8</v>
      </c>
      <c r="W34" s="1509">
        <f t="shared" si="12"/>
        <v>100</v>
      </c>
      <c r="X34" s="1502"/>
      <c r="Y34" s="3493"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3"/>
      <c r="Q35" s="1507">
        <f t="shared" si="8"/>
        <v>111</v>
      </c>
      <c r="R35" s="1512" t="s">
        <v>8</v>
      </c>
      <c r="S35" s="1513">
        <f t="shared" si="10"/>
        <v>100</v>
      </c>
      <c r="T35" s="1512" t="s">
        <v>8</v>
      </c>
      <c r="U35" s="1513">
        <f t="shared" si="11"/>
        <v>100</v>
      </c>
      <c r="V35" s="1512" t="s">
        <v>8</v>
      </c>
      <c r="W35" s="1513">
        <f t="shared" si="12"/>
        <v>100</v>
      </c>
      <c r="X35" s="1514"/>
      <c r="Y35" s="3493"/>
      <c r="Z35" s="1515">
        <f t="shared" si="13"/>
        <v>111</v>
      </c>
      <c r="AA35" s="1511">
        <f t="shared" si="3"/>
        <v>1</v>
      </c>
      <c r="AB35" s="1511">
        <f t="shared" si="4"/>
        <v>1</v>
      </c>
      <c r="AC35" s="1511">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3"/>
      <c r="Q36" s="1507" t="str">
        <f>B36</f>
        <v>宗地面积</v>
      </c>
      <c r="R36" s="1508" t="s">
        <v>8</v>
      </c>
      <c r="S36" s="1509" t="e">
        <f t="shared" si="10"/>
        <v>#N/A</v>
      </c>
      <c r="T36" s="1508" t="s">
        <v>8</v>
      </c>
      <c r="U36" s="1509" t="e">
        <f t="shared" si="11"/>
        <v>#N/A</v>
      </c>
      <c r="V36" s="1508" t="s">
        <v>8</v>
      </c>
      <c r="W36" s="1509" t="e">
        <f t="shared" si="12"/>
        <v>#N/A</v>
      </c>
      <c r="X36" s="1502"/>
      <c r="Y36" s="349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3"/>
      <c r="Q37" s="1507" t="str">
        <f t="shared" ref="Q37:Q42" si="14">B37</f>
        <v>宗地形状</v>
      </c>
      <c r="R37" s="1508" t="s">
        <v>8</v>
      </c>
      <c r="S37" s="1509">
        <f t="shared" si="10"/>
        <v>100</v>
      </c>
      <c r="T37" s="1508" t="s">
        <v>8</v>
      </c>
      <c r="U37" s="1509">
        <f t="shared" si="11"/>
        <v>100</v>
      </c>
      <c r="V37" s="1508" t="s">
        <v>8</v>
      </c>
      <c r="W37" s="1509">
        <f t="shared" si="12"/>
        <v>100</v>
      </c>
      <c r="X37" s="1502"/>
      <c r="Y37" s="3493"/>
      <c r="Z37" s="1510" t="str">
        <f t="shared" si="13"/>
        <v>宗地形状</v>
      </c>
      <c r="AA37" s="1511">
        <f t="shared" si="3"/>
        <v>1</v>
      </c>
      <c r="AB37" s="1511">
        <f t="shared" si="4"/>
        <v>1</v>
      </c>
      <c r="AC37" s="1511">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3"/>
      <c r="Q38" s="1507" t="str">
        <f t="shared" si="14"/>
        <v>宗地开发程度</v>
      </c>
      <c r="R38" s="1503" t="s">
        <v>8</v>
      </c>
      <c r="S38" s="1504">
        <f t="shared" si="10"/>
        <v>100</v>
      </c>
      <c r="T38" s="1503" t="s">
        <v>8</v>
      </c>
      <c r="U38" s="1504">
        <f t="shared" si="11"/>
        <v>100</v>
      </c>
      <c r="V38" s="1503" t="s">
        <v>8</v>
      </c>
      <c r="W38" s="1504">
        <f t="shared" si="12"/>
        <v>100</v>
      </c>
      <c r="X38" s="1505"/>
      <c r="Y38" s="349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3" t="s">
        <v>595</v>
      </c>
      <c r="Q39" s="1507" t="str">
        <f t="shared" si="14"/>
        <v>工程地质条件</v>
      </c>
      <c r="R39" s="1508" t="s">
        <v>8</v>
      </c>
      <c r="S39" s="1509">
        <f t="shared" si="10"/>
        <v>100</v>
      </c>
      <c r="T39" s="1508" t="s">
        <v>8</v>
      </c>
      <c r="U39" s="1509">
        <f t="shared" si="11"/>
        <v>100</v>
      </c>
      <c r="V39" s="1508" t="s">
        <v>8</v>
      </c>
      <c r="W39" s="1509">
        <f t="shared" si="12"/>
        <v>100</v>
      </c>
      <c r="X39" s="1502"/>
      <c r="Y39" s="349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3"/>
      <c r="Q40" s="1507">
        <f t="shared" si="14"/>
        <v>111</v>
      </c>
      <c r="R40" s="1508" t="s">
        <v>8</v>
      </c>
      <c r="S40" s="1509">
        <f t="shared" si="10"/>
        <v>100</v>
      </c>
      <c r="T40" s="1508" t="s">
        <v>8</v>
      </c>
      <c r="U40" s="1509">
        <f t="shared" si="11"/>
        <v>100</v>
      </c>
      <c r="V40" s="1508" t="s">
        <v>8</v>
      </c>
      <c r="W40" s="1509">
        <f t="shared" si="12"/>
        <v>100</v>
      </c>
      <c r="X40" s="1502"/>
      <c r="Y40" s="349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3"/>
      <c r="Q41" s="1507">
        <f t="shared" si="14"/>
        <v>111</v>
      </c>
      <c r="R41" s="1508" t="s">
        <v>8</v>
      </c>
      <c r="S41" s="1509">
        <f t="shared" si="10"/>
        <v>100</v>
      </c>
      <c r="T41" s="1508" t="s">
        <v>8</v>
      </c>
      <c r="U41" s="1509">
        <f t="shared" si="11"/>
        <v>100</v>
      </c>
      <c r="V41" s="1508" t="s">
        <v>8</v>
      </c>
      <c r="W41" s="1509">
        <f t="shared" si="12"/>
        <v>100</v>
      </c>
      <c r="X41" s="1502"/>
      <c r="Y41" s="349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3"/>
      <c r="Q42" s="1507">
        <f t="shared" si="14"/>
        <v>111</v>
      </c>
      <c r="R42" s="1512" t="s">
        <v>8</v>
      </c>
      <c r="S42" s="1513">
        <f t="shared" si="10"/>
        <v>100</v>
      </c>
      <c r="T42" s="1512" t="s">
        <v>8</v>
      </c>
      <c r="U42" s="1513">
        <f t="shared" si="11"/>
        <v>100</v>
      </c>
      <c r="V42" s="1512" t="s">
        <v>8</v>
      </c>
      <c r="W42" s="1513">
        <f t="shared" si="12"/>
        <v>100</v>
      </c>
      <c r="X42" s="1514"/>
      <c r="Y42" s="3493"/>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456" t="str">
        <f>A43</f>
        <v>成交单价</v>
      </c>
      <c r="Q43" s="3456"/>
      <c r="R43" s="3457">
        <f>E43</f>
        <v>0</v>
      </c>
      <c r="S43" s="3457"/>
      <c r="T43" s="3457">
        <f>G43</f>
        <v>0</v>
      </c>
      <c r="U43" s="3457"/>
      <c r="V43" s="3457">
        <f>I43</f>
        <v>0</v>
      </c>
      <c r="W43" s="3457"/>
      <c r="X43" s="1497"/>
      <c r="Y43" s="1516"/>
      <c r="Z43" s="1497"/>
      <c r="AA43" s="1497"/>
      <c r="AB43" s="1497"/>
      <c r="AC43" s="1497"/>
    </row>
    <row r="44" spans="1:29" ht="15.75" thickBot="1">
      <c r="A44" s="609" t="s">
        <v>2673</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56" t="str">
        <f>A44</f>
        <v>比较价格（元/平方米）</v>
      </c>
      <c r="Q44" s="3456"/>
      <c r="R44" s="3458" t="e">
        <f>ROUND(PRODUCT(R43,AA9:AA42),0)</f>
        <v>#DIV/0!</v>
      </c>
      <c r="S44" s="3458"/>
      <c r="T44" s="3458" t="e">
        <f>ROUND(PRODUCT(T43,AB9:AB42),0)</f>
        <v>#DIV/0!</v>
      </c>
      <c r="U44" s="3458"/>
      <c r="V44" s="3458" t="e">
        <f>ROUND(PRODUCT(V43,AC9:AC42),0)</f>
        <v>#DIV/0!</v>
      </c>
      <c r="W44" s="3458"/>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453" t="str">
        <f>A45</f>
        <v>估价对象XX用房的比较价格（楼面单价，元/平方米）</v>
      </c>
      <c r="Q45" s="3454"/>
      <c r="R45" s="3505" t="e">
        <f>ROUND(IF(D44="简单平均",AVERAGE(R44:W44),R44*F44+T44*H44+V44*J44),0)</f>
        <v>#DIV/0!</v>
      </c>
      <c r="S45" s="3505"/>
      <c r="T45" s="3505"/>
      <c r="U45" s="3505"/>
      <c r="V45" s="3505"/>
      <c r="W45" s="3505"/>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1714</v>
      </c>
      <c r="D52" s="2107" t="s">
        <v>2280</v>
      </c>
      <c r="E52" s="623" t="s">
        <v>556</v>
      </c>
      <c r="F52" s="1865" t="s">
        <v>557</v>
      </c>
      <c r="G52" s="3500" t="s">
        <v>2271</v>
      </c>
      <c r="H52" s="3501"/>
      <c r="I52" s="1866" t="s">
        <v>1933</v>
      </c>
      <c r="J52" s="1494" t="str">
        <f>项目基本情况!F41</f>
        <v>吉林省延吉市</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198.07</v>
      </c>
      <c r="F53" s="1864" t="e">
        <f t="shared" ref="F53:F62" si="15">ROUND(B53*E53/10000,0)</f>
        <v>#DIV/0!</v>
      </c>
      <c r="G53" s="3502"/>
      <c r="H53" s="3503"/>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04" t="s">
        <v>2272</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04"/>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04"/>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04"/>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1442.46</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2021-6-1</v>
      </c>
      <c r="D65" s="2516">
        <f>EDATE(C65,-3)</f>
        <v>44256</v>
      </c>
      <c r="E65" s="2516">
        <f t="shared" ref="E65:N65" si="18">EDATE(D65,-3)</f>
        <v>44166</v>
      </c>
      <c r="F65" s="2516">
        <f t="shared" si="18"/>
        <v>44075</v>
      </c>
      <c r="G65" s="2516">
        <f t="shared" si="18"/>
        <v>43983</v>
      </c>
      <c r="H65" s="2516">
        <f t="shared" si="18"/>
        <v>43891</v>
      </c>
      <c r="I65" s="2516">
        <f t="shared" si="18"/>
        <v>43800</v>
      </c>
      <c r="J65" s="2516">
        <f t="shared" si="18"/>
        <v>43709</v>
      </c>
      <c r="K65" s="2516">
        <f t="shared" si="18"/>
        <v>43617</v>
      </c>
      <c r="L65" s="2516">
        <f t="shared" si="18"/>
        <v>43525</v>
      </c>
      <c r="M65" s="2516">
        <f t="shared" si="18"/>
        <v>43435</v>
      </c>
      <c r="N65" s="2516">
        <f t="shared" si="18"/>
        <v>43344</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2629</v>
      </c>
      <c r="B68" s="473" t="str">
        <f>"北京市平均增长率"&amp;TEXT(基准地价!P24,"0.00%")</f>
        <v>北京市平均增长率1.25%</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abSelected="1" topLeftCell="E1" workbookViewId="0">
      <selection activeCell="E23" sqref="A23:XFD23"/>
    </sheetView>
  </sheetViews>
  <sheetFormatPr defaultRowHeight="12.75"/>
  <cols>
    <col min="1" max="1" width="25.375" style="3586" customWidth="1"/>
    <col min="2" max="2" width="14.5" style="3586" customWidth="1"/>
    <col min="3" max="3" width="11.75" style="3586" customWidth="1"/>
    <col min="4" max="4" width="13.875" style="3586" customWidth="1"/>
    <col min="5" max="5" width="7.75" style="3586" customWidth="1"/>
    <col min="6" max="6" width="19" style="3586" customWidth="1"/>
    <col min="7" max="7" width="6.375" style="3586" customWidth="1"/>
    <col min="8" max="8" width="11.25" style="3586" customWidth="1"/>
    <col min="9" max="9" width="7.875" style="3586" hidden="1" customWidth="1"/>
    <col min="10" max="11" width="9" style="3586" customWidth="1"/>
    <col min="12" max="13" width="10.625" style="3586" customWidth="1"/>
    <col min="14" max="14" width="14.375" style="3586" customWidth="1"/>
    <col min="15" max="15" width="9.75" style="3586" customWidth="1"/>
    <col min="16" max="16" width="6.25" style="3586" customWidth="1"/>
    <col min="17" max="17" width="32.625" style="3586" customWidth="1"/>
    <col min="18" max="18" width="7.875" style="3586" customWidth="1"/>
    <col min="19" max="19" width="9" style="3596"/>
    <col min="20" max="256" width="9" style="3586"/>
    <col min="257" max="257" width="25.375" style="3586" customWidth="1"/>
    <col min="258" max="258" width="14.5" style="3586" customWidth="1"/>
    <col min="259" max="259" width="11.75" style="3586" customWidth="1"/>
    <col min="260" max="261" width="13.875" style="3586" customWidth="1"/>
    <col min="262" max="262" width="10.5" style="3586" customWidth="1"/>
    <col min="263" max="263" width="6.375" style="3586" customWidth="1"/>
    <col min="264" max="264" width="11.25" style="3586" customWidth="1"/>
    <col min="265" max="265" width="0" style="3586" hidden="1" customWidth="1"/>
    <col min="266" max="267" width="9" style="3586" customWidth="1"/>
    <col min="268" max="269" width="10.625" style="3586" customWidth="1"/>
    <col min="270" max="270" width="14.375" style="3586" customWidth="1"/>
    <col min="271" max="271" width="9.75" style="3586" customWidth="1"/>
    <col min="272" max="272" width="6.25" style="3586" customWidth="1"/>
    <col min="273" max="273" width="32.625" style="3586" customWidth="1"/>
    <col min="274" max="274" width="7.875" style="3586" customWidth="1"/>
    <col min="275" max="512" width="9" style="3586"/>
    <col min="513" max="513" width="25.375" style="3586" customWidth="1"/>
    <col min="514" max="514" width="14.5" style="3586" customWidth="1"/>
    <col min="515" max="515" width="11.75" style="3586" customWidth="1"/>
    <col min="516" max="517" width="13.875" style="3586" customWidth="1"/>
    <col min="518" max="518" width="10.5" style="3586" customWidth="1"/>
    <col min="519" max="519" width="6.375" style="3586" customWidth="1"/>
    <col min="520" max="520" width="11.25" style="3586" customWidth="1"/>
    <col min="521" max="521" width="0" style="3586" hidden="1" customWidth="1"/>
    <col min="522" max="523" width="9" style="3586" customWidth="1"/>
    <col min="524" max="525" width="10.625" style="3586" customWidth="1"/>
    <col min="526" max="526" width="14.375" style="3586" customWidth="1"/>
    <col min="527" max="527" width="9.75" style="3586" customWidth="1"/>
    <col min="528" max="528" width="6.25" style="3586" customWidth="1"/>
    <col min="529" max="529" width="32.625" style="3586" customWidth="1"/>
    <col min="530" max="530" width="7.875" style="3586" customWidth="1"/>
    <col min="531" max="768" width="9" style="3586"/>
    <col min="769" max="769" width="25.375" style="3586" customWidth="1"/>
    <col min="770" max="770" width="14.5" style="3586" customWidth="1"/>
    <col min="771" max="771" width="11.75" style="3586" customWidth="1"/>
    <col min="772" max="773" width="13.875" style="3586" customWidth="1"/>
    <col min="774" max="774" width="10.5" style="3586" customWidth="1"/>
    <col min="775" max="775" width="6.375" style="3586" customWidth="1"/>
    <col min="776" max="776" width="11.25" style="3586" customWidth="1"/>
    <col min="777" max="777" width="0" style="3586" hidden="1" customWidth="1"/>
    <col min="778" max="779" width="9" style="3586" customWidth="1"/>
    <col min="780" max="781" width="10.625" style="3586" customWidth="1"/>
    <col min="782" max="782" width="14.375" style="3586" customWidth="1"/>
    <col min="783" max="783" width="9.75" style="3586" customWidth="1"/>
    <col min="784" max="784" width="6.25" style="3586" customWidth="1"/>
    <col min="785" max="785" width="32.625" style="3586" customWidth="1"/>
    <col min="786" max="786" width="7.875" style="3586" customWidth="1"/>
    <col min="787" max="1024" width="9" style="3586"/>
    <col min="1025" max="1025" width="25.375" style="3586" customWidth="1"/>
    <col min="1026" max="1026" width="14.5" style="3586" customWidth="1"/>
    <col min="1027" max="1027" width="11.75" style="3586" customWidth="1"/>
    <col min="1028" max="1029" width="13.875" style="3586" customWidth="1"/>
    <col min="1030" max="1030" width="10.5" style="3586" customWidth="1"/>
    <col min="1031" max="1031" width="6.375" style="3586" customWidth="1"/>
    <col min="1032" max="1032" width="11.25" style="3586" customWidth="1"/>
    <col min="1033" max="1033" width="0" style="3586" hidden="1" customWidth="1"/>
    <col min="1034" max="1035" width="9" style="3586" customWidth="1"/>
    <col min="1036" max="1037" width="10.625" style="3586" customWidth="1"/>
    <col min="1038" max="1038" width="14.375" style="3586" customWidth="1"/>
    <col min="1039" max="1039" width="9.75" style="3586" customWidth="1"/>
    <col min="1040" max="1040" width="6.25" style="3586" customWidth="1"/>
    <col min="1041" max="1041" width="32.625" style="3586" customWidth="1"/>
    <col min="1042" max="1042" width="7.875" style="3586" customWidth="1"/>
    <col min="1043" max="1280" width="9" style="3586"/>
    <col min="1281" max="1281" width="25.375" style="3586" customWidth="1"/>
    <col min="1282" max="1282" width="14.5" style="3586" customWidth="1"/>
    <col min="1283" max="1283" width="11.75" style="3586" customWidth="1"/>
    <col min="1284" max="1285" width="13.875" style="3586" customWidth="1"/>
    <col min="1286" max="1286" width="10.5" style="3586" customWidth="1"/>
    <col min="1287" max="1287" width="6.375" style="3586" customWidth="1"/>
    <col min="1288" max="1288" width="11.25" style="3586" customWidth="1"/>
    <col min="1289" max="1289" width="0" style="3586" hidden="1" customWidth="1"/>
    <col min="1290" max="1291" width="9" style="3586" customWidth="1"/>
    <col min="1292" max="1293" width="10.625" style="3586" customWidth="1"/>
    <col min="1294" max="1294" width="14.375" style="3586" customWidth="1"/>
    <col min="1295" max="1295" width="9.75" style="3586" customWidth="1"/>
    <col min="1296" max="1296" width="6.25" style="3586" customWidth="1"/>
    <col min="1297" max="1297" width="32.625" style="3586" customWidth="1"/>
    <col min="1298" max="1298" width="7.875" style="3586" customWidth="1"/>
    <col min="1299" max="1536" width="9" style="3586"/>
    <col min="1537" max="1537" width="25.375" style="3586" customWidth="1"/>
    <col min="1538" max="1538" width="14.5" style="3586" customWidth="1"/>
    <col min="1539" max="1539" width="11.75" style="3586" customWidth="1"/>
    <col min="1540" max="1541" width="13.875" style="3586" customWidth="1"/>
    <col min="1542" max="1542" width="10.5" style="3586" customWidth="1"/>
    <col min="1543" max="1543" width="6.375" style="3586" customWidth="1"/>
    <col min="1544" max="1544" width="11.25" style="3586" customWidth="1"/>
    <col min="1545" max="1545" width="0" style="3586" hidden="1" customWidth="1"/>
    <col min="1546" max="1547" width="9" style="3586" customWidth="1"/>
    <col min="1548" max="1549" width="10.625" style="3586" customWidth="1"/>
    <col min="1550" max="1550" width="14.375" style="3586" customWidth="1"/>
    <col min="1551" max="1551" width="9.75" style="3586" customWidth="1"/>
    <col min="1552" max="1552" width="6.25" style="3586" customWidth="1"/>
    <col min="1553" max="1553" width="32.625" style="3586" customWidth="1"/>
    <col min="1554" max="1554" width="7.875" style="3586" customWidth="1"/>
    <col min="1555" max="1792" width="9" style="3586"/>
    <col min="1793" max="1793" width="25.375" style="3586" customWidth="1"/>
    <col min="1794" max="1794" width="14.5" style="3586" customWidth="1"/>
    <col min="1795" max="1795" width="11.75" style="3586" customWidth="1"/>
    <col min="1796" max="1797" width="13.875" style="3586" customWidth="1"/>
    <col min="1798" max="1798" width="10.5" style="3586" customWidth="1"/>
    <col min="1799" max="1799" width="6.375" style="3586" customWidth="1"/>
    <col min="1800" max="1800" width="11.25" style="3586" customWidth="1"/>
    <col min="1801" max="1801" width="0" style="3586" hidden="1" customWidth="1"/>
    <col min="1802" max="1803" width="9" style="3586" customWidth="1"/>
    <col min="1804" max="1805" width="10.625" style="3586" customWidth="1"/>
    <col min="1806" max="1806" width="14.375" style="3586" customWidth="1"/>
    <col min="1807" max="1807" width="9.75" style="3586" customWidth="1"/>
    <col min="1808" max="1808" width="6.25" style="3586" customWidth="1"/>
    <col min="1809" max="1809" width="32.625" style="3586" customWidth="1"/>
    <col min="1810" max="1810" width="7.875" style="3586" customWidth="1"/>
    <col min="1811" max="2048" width="9" style="3586"/>
    <col min="2049" max="2049" width="25.375" style="3586" customWidth="1"/>
    <col min="2050" max="2050" width="14.5" style="3586" customWidth="1"/>
    <col min="2051" max="2051" width="11.75" style="3586" customWidth="1"/>
    <col min="2052" max="2053" width="13.875" style="3586" customWidth="1"/>
    <col min="2054" max="2054" width="10.5" style="3586" customWidth="1"/>
    <col min="2055" max="2055" width="6.375" style="3586" customWidth="1"/>
    <col min="2056" max="2056" width="11.25" style="3586" customWidth="1"/>
    <col min="2057" max="2057" width="0" style="3586" hidden="1" customWidth="1"/>
    <col min="2058" max="2059" width="9" style="3586" customWidth="1"/>
    <col min="2060" max="2061" width="10.625" style="3586" customWidth="1"/>
    <col min="2062" max="2062" width="14.375" style="3586" customWidth="1"/>
    <col min="2063" max="2063" width="9.75" style="3586" customWidth="1"/>
    <col min="2064" max="2064" width="6.25" style="3586" customWidth="1"/>
    <col min="2065" max="2065" width="32.625" style="3586" customWidth="1"/>
    <col min="2066" max="2066" width="7.875" style="3586" customWidth="1"/>
    <col min="2067" max="2304" width="9" style="3586"/>
    <col min="2305" max="2305" width="25.375" style="3586" customWidth="1"/>
    <col min="2306" max="2306" width="14.5" style="3586" customWidth="1"/>
    <col min="2307" max="2307" width="11.75" style="3586" customWidth="1"/>
    <col min="2308" max="2309" width="13.875" style="3586" customWidth="1"/>
    <col min="2310" max="2310" width="10.5" style="3586" customWidth="1"/>
    <col min="2311" max="2311" width="6.375" style="3586" customWidth="1"/>
    <col min="2312" max="2312" width="11.25" style="3586" customWidth="1"/>
    <col min="2313" max="2313" width="0" style="3586" hidden="1" customWidth="1"/>
    <col min="2314" max="2315" width="9" style="3586" customWidth="1"/>
    <col min="2316" max="2317" width="10.625" style="3586" customWidth="1"/>
    <col min="2318" max="2318" width="14.375" style="3586" customWidth="1"/>
    <col min="2319" max="2319" width="9.75" style="3586" customWidth="1"/>
    <col min="2320" max="2320" width="6.25" style="3586" customWidth="1"/>
    <col min="2321" max="2321" width="32.625" style="3586" customWidth="1"/>
    <col min="2322" max="2322" width="7.875" style="3586" customWidth="1"/>
    <col min="2323" max="2560" width="9" style="3586"/>
    <col min="2561" max="2561" width="25.375" style="3586" customWidth="1"/>
    <col min="2562" max="2562" width="14.5" style="3586" customWidth="1"/>
    <col min="2563" max="2563" width="11.75" style="3586" customWidth="1"/>
    <col min="2564" max="2565" width="13.875" style="3586" customWidth="1"/>
    <col min="2566" max="2566" width="10.5" style="3586" customWidth="1"/>
    <col min="2567" max="2567" width="6.375" style="3586" customWidth="1"/>
    <col min="2568" max="2568" width="11.25" style="3586" customWidth="1"/>
    <col min="2569" max="2569" width="0" style="3586" hidden="1" customWidth="1"/>
    <col min="2570" max="2571" width="9" style="3586" customWidth="1"/>
    <col min="2572" max="2573" width="10.625" style="3586" customWidth="1"/>
    <col min="2574" max="2574" width="14.375" style="3586" customWidth="1"/>
    <col min="2575" max="2575" width="9.75" style="3586" customWidth="1"/>
    <col min="2576" max="2576" width="6.25" style="3586" customWidth="1"/>
    <col min="2577" max="2577" width="32.625" style="3586" customWidth="1"/>
    <col min="2578" max="2578" width="7.875" style="3586" customWidth="1"/>
    <col min="2579" max="2816" width="9" style="3586"/>
    <col min="2817" max="2817" width="25.375" style="3586" customWidth="1"/>
    <col min="2818" max="2818" width="14.5" style="3586" customWidth="1"/>
    <col min="2819" max="2819" width="11.75" style="3586" customWidth="1"/>
    <col min="2820" max="2821" width="13.875" style="3586" customWidth="1"/>
    <col min="2822" max="2822" width="10.5" style="3586" customWidth="1"/>
    <col min="2823" max="2823" width="6.375" style="3586" customWidth="1"/>
    <col min="2824" max="2824" width="11.25" style="3586" customWidth="1"/>
    <col min="2825" max="2825" width="0" style="3586" hidden="1" customWidth="1"/>
    <col min="2826" max="2827" width="9" style="3586" customWidth="1"/>
    <col min="2828" max="2829" width="10.625" style="3586" customWidth="1"/>
    <col min="2830" max="2830" width="14.375" style="3586" customWidth="1"/>
    <col min="2831" max="2831" width="9.75" style="3586" customWidth="1"/>
    <col min="2832" max="2832" width="6.25" style="3586" customWidth="1"/>
    <col min="2833" max="2833" width="32.625" style="3586" customWidth="1"/>
    <col min="2834" max="2834" width="7.875" style="3586" customWidth="1"/>
    <col min="2835" max="3072" width="9" style="3586"/>
    <col min="3073" max="3073" width="25.375" style="3586" customWidth="1"/>
    <col min="3074" max="3074" width="14.5" style="3586" customWidth="1"/>
    <col min="3075" max="3075" width="11.75" style="3586" customWidth="1"/>
    <col min="3076" max="3077" width="13.875" style="3586" customWidth="1"/>
    <col min="3078" max="3078" width="10.5" style="3586" customWidth="1"/>
    <col min="3079" max="3079" width="6.375" style="3586" customWidth="1"/>
    <col min="3080" max="3080" width="11.25" style="3586" customWidth="1"/>
    <col min="3081" max="3081" width="0" style="3586" hidden="1" customWidth="1"/>
    <col min="3082" max="3083" width="9" style="3586" customWidth="1"/>
    <col min="3084" max="3085" width="10.625" style="3586" customWidth="1"/>
    <col min="3086" max="3086" width="14.375" style="3586" customWidth="1"/>
    <col min="3087" max="3087" width="9.75" style="3586" customWidth="1"/>
    <col min="3088" max="3088" width="6.25" style="3586" customWidth="1"/>
    <col min="3089" max="3089" width="32.625" style="3586" customWidth="1"/>
    <col min="3090" max="3090" width="7.875" style="3586" customWidth="1"/>
    <col min="3091" max="3328" width="9" style="3586"/>
    <col min="3329" max="3329" width="25.375" style="3586" customWidth="1"/>
    <col min="3330" max="3330" width="14.5" style="3586" customWidth="1"/>
    <col min="3331" max="3331" width="11.75" style="3586" customWidth="1"/>
    <col min="3332" max="3333" width="13.875" style="3586" customWidth="1"/>
    <col min="3334" max="3334" width="10.5" style="3586" customWidth="1"/>
    <col min="3335" max="3335" width="6.375" style="3586" customWidth="1"/>
    <col min="3336" max="3336" width="11.25" style="3586" customWidth="1"/>
    <col min="3337" max="3337" width="0" style="3586" hidden="1" customWidth="1"/>
    <col min="3338" max="3339" width="9" style="3586" customWidth="1"/>
    <col min="3340" max="3341" width="10.625" style="3586" customWidth="1"/>
    <col min="3342" max="3342" width="14.375" style="3586" customWidth="1"/>
    <col min="3343" max="3343" width="9.75" style="3586" customWidth="1"/>
    <col min="3344" max="3344" width="6.25" style="3586" customWidth="1"/>
    <col min="3345" max="3345" width="32.625" style="3586" customWidth="1"/>
    <col min="3346" max="3346" width="7.875" style="3586" customWidth="1"/>
    <col min="3347" max="3584" width="9" style="3586"/>
    <col min="3585" max="3585" width="25.375" style="3586" customWidth="1"/>
    <col min="3586" max="3586" width="14.5" style="3586" customWidth="1"/>
    <col min="3587" max="3587" width="11.75" style="3586" customWidth="1"/>
    <col min="3588" max="3589" width="13.875" style="3586" customWidth="1"/>
    <col min="3590" max="3590" width="10.5" style="3586" customWidth="1"/>
    <col min="3591" max="3591" width="6.375" style="3586" customWidth="1"/>
    <col min="3592" max="3592" width="11.25" style="3586" customWidth="1"/>
    <col min="3593" max="3593" width="0" style="3586" hidden="1" customWidth="1"/>
    <col min="3594" max="3595" width="9" style="3586" customWidth="1"/>
    <col min="3596" max="3597" width="10.625" style="3586" customWidth="1"/>
    <col min="3598" max="3598" width="14.375" style="3586" customWidth="1"/>
    <col min="3599" max="3599" width="9.75" style="3586" customWidth="1"/>
    <col min="3600" max="3600" width="6.25" style="3586" customWidth="1"/>
    <col min="3601" max="3601" width="32.625" style="3586" customWidth="1"/>
    <col min="3602" max="3602" width="7.875" style="3586" customWidth="1"/>
    <col min="3603" max="3840" width="9" style="3586"/>
    <col min="3841" max="3841" width="25.375" style="3586" customWidth="1"/>
    <col min="3842" max="3842" width="14.5" style="3586" customWidth="1"/>
    <col min="3843" max="3843" width="11.75" style="3586" customWidth="1"/>
    <col min="3844" max="3845" width="13.875" style="3586" customWidth="1"/>
    <col min="3846" max="3846" width="10.5" style="3586" customWidth="1"/>
    <col min="3847" max="3847" width="6.375" style="3586" customWidth="1"/>
    <col min="3848" max="3848" width="11.25" style="3586" customWidth="1"/>
    <col min="3849" max="3849" width="0" style="3586" hidden="1" customWidth="1"/>
    <col min="3850" max="3851" width="9" style="3586" customWidth="1"/>
    <col min="3852" max="3853" width="10.625" style="3586" customWidth="1"/>
    <col min="3854" max="3854" width="14.375" style="3586" customWidth="1"/>
    <col min="3855" max="3855" width="9.75" style="3586" customWidth="1"/>
    <col min="3856" max="3856" width="6.25" style="3586" customWidth="1"/>
    <col min="3857" max="3857" width="32.625" style="3586" customWidth="1"/>
    <col min="3858" max="3858" width="7.875" style="3586" customWidth="1"/>
    <col min="3859" max="4096" width="9" style="3586"/>
    <col min="4097" max="4097" width="25.375" style="3586" customWidth="1"/>
    <col min="4098" max="4098" width="14.5" style="3586" customWidth="1"/>
    <col min="4099" max="4099" width="11.75" style="3586" customWidth="1"/>
    <col min="4100" max="4101" width="13.875" style="3586" customWidth="1"/>
    <col min="4102" max="4102" width="10.5" style="3586" customWidth="1"/>
    <col min="4103" max="4103" width="6.375" style="3586" customWidth="1"/>
    <col min="4104" max="4104" width="11.25" style="3586" customWidth="1"/>
    <col min="4105" max="4105" width="0" style="3586" hidden="1" customWidth="1"/>
    <col min="4106" max="4107" width="9" style="3586" customWidth="1"/>
    <col min="4108" max="4109" width="10.625" style="3586" customWidth="1"/>
    <col min="4110" max="4110" width="14.375" style="3586" customWidth="1"/>
    <col min="4111" max="4111" width="9.75" style="3586" customWidth="1"/>
    <col min="4112" max="4112" width="6.25" style="3586" customWidth="1"/>
    <col min="4113" max="4113" width="32.625" style="3586" customWidth="1"/>
    <col min="4114" max="4114" width="7.875" style="3586" customWidth="1"/>
    <col min="4115" max="4352" width="9" style="3586"/>
    <col min="4353" max="4353" width="25.375" style="3586" customWidth="1"/>
    <col min="4354" max="4354" width="14.5" style="3586" customWidth="1"/>
    <col min="4355" max="4355" width="11.75" style="3586" customWidth="1"/>
    <col min="4356" max="4357" width="13.875" style="3586" customWidth="1"/>
    <col min="4358" max="4358" width="10.5" style="3586" customWidth="1"/>
    <col min="4359" max="4359" width="6.375" style="3586" customWidth="1"/>
    <col min="4360" max="4360" width="11.25" style="3586" customWidth="1"/>
    <col min="4361" max="4361" width="0" style="3586" hidden="1" customWidth="1"/>
    <col min="4362" max="4363" width="9" style="3586" customWidth="1"/>
    <col min="4364" max="4365" width="10.625" style="3586" customWidth="1"/>
    <col min="4366" max="4366" width="14.375" style="3586" customWidth="1"/>
    <col min="4367" max="4367" width="9.75" style="3586" customWidth="1"/>
    <col min="4368" max="4368" width="6.25" style="3586" customWidth="1"/>
    <col min="4369" max="4369" width="32.625" style="3586" customWidth="1"/>
    <col min="4370" max="4370" width="7.875" style="3586" customWidth="1"/>
    <col min="4371" max="4608" width="9" style="3586"/>
    <col min="4609" max="4609" width="25.375" style="3586" customWidth="1"/>
    <col min="4610" max="4610" width="14.5" style="3586" customWidth="1"/>
    <col min="4611" max="4611" width="11.75" style="3586" customWidth="1"/>
    <col min="4612" max="4613" width="13.875" style="3586" customWidth="1"/>
    <col min="4614" max="4614" width="10.5" style="3586" customWidth="1"/>
    <col min="4615" max="4615" width="6.375" style="3586" customWidth="1"/>
    <col min="4616" max="4616" width="11.25" style="3586" customWidth="1"/>
    <col min="4617" max="4617" width="0" style="3586" hidden="1" customWidth="1"/>
    <col min="4618" max="4619" width="9" style="3586" customWidth="1"/>
    <col min="4620" max="4621" width="10.625" style="3586" customWidth="1"/>
    <col min="4622" max="4622" width="14.375" style="3586" customWidth="1"/>
    <col min="4623" max="4623" width="9.75" style="3586" customWidth="1"/>
    <col min="4624" max="4624" width="6.25" style="3586" customWidth="1"/>
    <col min="4625" max="4625" width="32.625" style="3586" customWidth="1"/>
    <col min="4626" max="4626" width="7.875" style="3586" customWidth="1"/>
    <col min="4627" max="4864" width="9" style="3586"/>
    <col min="4865" max="4865" width="25.375" style="3586" customWidth="1"/>
    <col min="4866" max="4866" width="14.5" style="3586" customWidth="1"/>
    <col min="4867" max="4867" width="11.75" style="3586" customWidth="1"/>
    <col min="4868" max="4869" width="13.875" style="3586" customWidth="1"/>
    <col min="4870" max="4870" width="10.5" style="3586" customWidth="1"/>
    <col min="4871" max="4871" width="6.375" style="3586" customWidth="1"/>
    <col min="4872" max="4872" width="11.25" style="3586" customWidth="1"/>
    <col min="4873" max="4873" width="0" style="3586" hidden="1" customWidth="1"/>
    <col min="4874" max="4875" width="9" style="3586" customWidth="1"/>
    <col min="4876" max="4877" width="10.625" style="3586" customWidth="1"/>
    <col min="4878" max="4878" width="14.375" style="3586" customWidth="1"/>
    <col min="4879" max="4879" width="9.75" style="3586" customWidth="1"/>
    <col min="4880" max="4880" width="6.25" style="3586" customWidth="1"/>
    <col min="4881" max="4881" width="32.625" style="3586" customWidth="1"/>
    <col min="4882" max="4882" width="7.875" style="3586" customWidth="1"/>
    <col min="4883" max="5120" width="9" style="3586"/>
    <col min="5121" max="5121" width="25.375" style="3586" customWidth="1"/>
    <col min="5122" max="5122" width="14.5" style="3586" customWidth="1"/>
    <col min="5123" max="5123" width="11.75" style="3586" customWidth="1"/>
    <col min="5124" max="5125" width="13.875" style="3586" customWidth="1"/>
    <col min="5126" max="5126" width="10.5" style="3586" customWidth="1"/>
    <col min="5127" max="5127" width="6.375" style="3586" customWidth="1"/>
    <col min="5128" max="5128" width="11.25" style="3586" customWidth="1"/>
    <col min="5129" max="5129" width="0" style="3586" hidden="1" customWidth="1"/>
    <col min="5130" max="5131" width="9" style="3586" customWidth="1"/>
    <col min="5132" max="5133" width="10.625" style="3586" customWidth="1"/>
    <col min="5134" max="5134" width="14.375" style="3586" customWidth="1"/>
    <col min="5135" max="5135" width="9.75" style="3586" customWidth="1"/>
    <col min="5136" max="5136" width="6.25" style="3586" customWidth="1"/>
    <col min="5137" max="5137" width="32.625" style="3586" customWidth="1"/>
    <col min="5138" max="5138" width="7.875" style="3586" customWidth="1"/>
    <col min="5139" max="5376" width="9" style="3586"/>
    <col min="5377" max="5377" width="25.375" style="3586" customWidth="1"/>
    <col min="5378" max="5378" width="14.5" style="3586" customWidth="1"/>
    <col min="5379" max="5379" width="11.75" style="3586" customWidth="1"/>
    <col min="5380" max="5381" width="13.875" style="3586" customWidth="1"/>
    <col min="5382" max="5382" width="10.5" style="3586" customWidth="1"/>
    <col min="5383" max="5383" width="6.375" style="3586" customWidth="1"/>
    <col min="5384" max="5384" width="11.25" style="3586" customWidth="1"/>
    <col min="5385" max="5385" width="0" style="3586" hidden="1" customWidth="1"/>
    <col min="5386" max="5387" width="9" style="3586" customWidth="1"/>
    <col min="5388" max="5389" width="10.625" style="3586" customWidth="1"/>
    <col min="5390" max="5390" width="14.375" style="3586" customWidth="1"/>
    <col min="5391" max="5391" width="9.75" style="3586" customWidth="1"/>
    <col min="5392" max="5392" width="6.25" style="3586" customWidth="1"/>
    <col min="5393" max="5393" width="32.625" style="3586" customWidth="1"/>
    <col min="5394" max="5394" width="7.875" style="3586" customWidth="1"/>
    <col min="5395" max="5632" width="9" style="3586"/>
    <col min="5633" max="5633" width="25.375" style="3586" customWidth="1"/>
    <col min="5634" max="5634" width="14.5" style="3586" customWidth="1"/>
    <col min="5635" max="5635" width="11.75" style="3586" customWidth="1"/>
    <col min="5636" max="5637" width="13.875" style="3586" customWidth="1"/>
    <col min="5638" max="5638" width="10.5" style="3586" customWidth="1"/>
    <col min="5639" max="5639" width="6.375" style="3586" customWidth="1"/>
    <col min="5640" max="5640" width="11.25" style="3586" customWidth="1"/>
    <col min="5641" max="5641" width="0" style="3586" hidden="1" customWidth="1"/>
    <col min="5642" max="5643" width="9" style="3586" customWidth="1"/>
    <col min="5644" max="5645" width="10.625" style="3586" customWidth="1"/>
    <col min="5646" max="5646" width="14.375" style="3586" customWidth="1"/>
    <col min="5647" max="5647" width="9.75" style="3586" customWidth="1"/>
    <col min="5648" max="5648" width="6.25" style="3586" customWidth="1"/>
    <col min="5649" max="5649" width="32.625" style="3586" customWidth="1"/>
    <col min="5650" max="5650" width="7.875" style="3586" customWidth="1"/>
    <col min="5651" max="5888" width="9" style="3586"/>
    <col min="5889" max="5889" width="25.375" style="3586" customWidth="1"/>
    <col min="5890" max="5890" width="14.5" style="3586" customWidth="1"/>
    <col min="5891" max="5891" width="11.75" style="3586" customWidth="1"/>
    <col min="5892" max="5893" width="13.875" style="3586" customWidth="1"/>
    <col min="5894" max="5894" width="10.5" style="3586" customWidth="1"/>
    <col min="5895" max="5895" width="6.375" style="3586" customWidth="1"/>
    <col min="5896" max="5896" width="11.25" style="3586" customWidth="1"/>
    <col min="5897" max="5897" width="0" style="3586" hidden="1" customWidth="1"/>
    <col min="5898" max="5899" width="9" style="3586" customWidth="1"/>
    <col min="5900" max="5901" width="10.625" style="3586" customWidth="1"/>
    <col min="5902" max="5902" width="14.375" style="3586" customWidth="1"/>
    <col min="5903" max="5903" width="9.75" style="3586" customWidth="1"/>
    <col min="5904" max="5904" width="6.25" style="3586" customWidth="1"/>
    <col min="5905" max="5905" width="32.625" style="3586" customWidth="1"/>
    <col min="5906" max="5906" width="7.875" style="3586" customWidth="1"/>
    <col min="5907" max="6144" width="9" style="3586"/>
    <col min="6145" max="6145" width="25.375" style="3586" customWidth="1"/>
    <col min="6146" max="6146" width="14.5" style="3586" customWidth="1"/>
    <col min="6147" max="6147" width="11.75" style="3586" customWidth="1"/>
    <col min="6148" max="6149" width="13.875" style="3586" customWidth="1"/>
    <col min="6150" max="6150" width="10.5" style="3586" customWidth="1"/>
    <col min="6151" max="6151" width="6.375" style="3586" customWidth="1"/>
    <col min="6152" max="6152" width="11.25" style="3586" customWidth="1"/>
    <col min="6153" max="6153" width="0" style="3586" hidden="1" customWidth="1"/>
    <col min="6154" max="6155" width="9" style="3586" customWidth="1"/>
    <col min="6156" max="6157" width="10.625" style="3586" customWidth="1"/>
    <col min="6158" max="6158" width="14.375" style="3586" customWidth="1"/>
    <col min="6159" max="6159" width="9.75" style="3586" customWidth="1"/>
    <col min="6160" max="6160" width="6.25" style="3586" customWidth="1"/>
    <col min="6161" max="6161" width="32.625" style="3586" customWidth="1"/>
    <col min="6162" max="6162" width="7.875" style="3586" customWidth="1"/>
    <col min="6163" max="6400" width="9" style="3586"/>
    <col min="6401" max="6401" width="25.375" style="3586" customWidth="1"/>
    <col min="6402" max="6402" width="14.5" style="3586" customWidth="1"/>
    <col min="6403" max="6403" width="11.75" style="3586" customWidth="1"/>
    <col min="6404" max="6405" width="13.875" style="3586" customWidth="1"/>
    <col min="6406" max="6406" width="10.5" style="3586" customWidth="1"/>
    <col min="6407" max="6407" width="6.375" style="3586" customWidth="1"/>
    <col min="6408" max="6408" width="11.25" style="3586" customWidth="1"/>
    <col min="6409" max="6409" width="0" style="3586" hidden="1" customWidth="1"/>
    <col min="6410" max="6411" width="9" style="3586" customWidth="1"/>
    <col min="6412" max="6413" width="10.625" style="3586" customWidth="1"/>
    <col min="6414" max="6414" width="14.375" style="3586" customWidth="1"/>
    <col min="6415" max="6415" width="9.75" style="3586" customWidth="1"/>
    <col min="6416" max="6416" width="6.25" style="3586" customWidth="1"/>
    <col min="6417" max="6417" width="32.625" style="3586" customWidth="1"/>
    <col min="6418" max="6418" width="7.875" style="3586" customWidth="1"/>
    <col min="6419" max="6656" width="9" style="3586"/>
    <col min="6657" max="6657" width="25.375" style="3586" customWidth="1"/>
    <col min="6658" max="6658" width="14.5" style="3586" customWidth="1"/>
    <col min="6659" max="6659" width="11.75" style="3586" customWidth="1"/>
    <col min="6660" max="6661" width="13.875" style="3586" customWidth="1"/>
    <col min="6662" max="6662" width="10.5" style="3586" customWidth="1"/>
    <col min="6663" max="6663" width="6.375" style="3586" customWidth="1"/>
    <col min="6664" max="6664" width="11.25" style="3586" customWidth="1"/>
    <col min="6665" max="6665" width="0" style="3586" hidden="1" customWidth="1"/>
    <col min="6666" max="6667" width="9" style="3586" customWidth="1"/>
    <col min="6668" max="6669" width="10.625" style="3586" customWidth="1"/>
    <col min="6670" max="6670" width="14.375" style="3586" customWidth="1"/>
    <col min="6671" max="6671" width="9.75" style="3586" customWidth="1"/>
    <col min="6672" max="6672" width="6.25" style="3586" customWidth="1"/>
    <col min="6673" max="6673" width="32.625" style="3586" customWidth="1"/>
    <col min="6674" max="6674" width="7.875" style="3586" customWidth="1"/>
    <col min="6675" max="6912" width="9" style="3586"/>
    <col min="6913" max="6913" width="25.375" style="3586" customWidth="1"/>
    <col min="6914" max="6914" width="14.5" style="3586" customWidth="1"/>
    <col min="6915" max="6915" width="11.75" style="3586" customWidth="1"/>
    <col min="6916" max="6917" width="13.875" style="3586" customWidth="1"/>
    <col min="6918" max="6918" width="10.5" style="3586" customWidth="1"/>
    <col min="6919" max="6919" width="6.375" style="3586" customWidth="1"/>
    <col min="6920" max="6920" width="11.25" style="3586" customWidth="1"/>
    <col min="6921" max="6921" width="0" style="3586" hidden="1" customWidth="1"/>
    <col min="6922" max="6923" width="9" style="3586" customWidth="1"/>
    <col min="6924" max="6925" width="10.625" style="3586" customWidth="1"/>
    <col min="6926" max="6926" width="14.375" style="3586" customWidth="1"/>
    <col min="6927" max="6927" width="9.75" style="3586" customWidth="1"/>
    <col min="6928" max="6928" width="6.25" style="3586" customWidth="1"/>
    <col min="6929" max="6929" width="32.625" style="3586" customWidth="1"/>
    <col min="6930" max="6930" width="7.875" style="3586" customWidth="1"/>
    <col min="6931" max="7168" width="9" style="3586"/>
    <col min="7169" max="7169" width="25.375" style="3586" customWidth="1"/>
    <col min="7170" max="7170" width="14.5" style="3586" customWidth="1"/>
    <col min="7171" max="7171" width="11.75" style="3586" customWidth="1"/>
    <col min="7172" max="7173" width="13.875" style="3586" customWidth="1"/>
    <col min="7174" max="7174" width="10.5" style="3586" customWidth="1"/>
    <col min="7175" max="7175" width="6.375" style="3586" customWidth="1"/>
    <col min="7176" max="7176" width="11.25" style="3586" customWidth="1"/>
    <col min="7177" max="7177" width="0" style="3586" hidden="1" customWidth="1"/>
    <col min="7178" max="7179" width="9" style="3586" customWidth="1"/>
    <col min="7180" max="7181" width="10.625" style="3586" customWidth="1"/>
    <col min="7182" max="7182" width="14.375" style="3586" customWidth="1"/>
    <col min="7183" max="7183" width="9.75" style="3586" customWidth="1"/>
    <col min="7184" max="7184" width="6.25" style="3586" customWidth="1"/>
    <col min="7185" max="7185" width="32.625" style="3586" customWidth="1"/>
    <col min="7186" max="7186" width="7.875" style="3586" customWidth="1"/>
    <col min="7187" max="7424" width="9" style="3586"/>
    <col min="7425" max="7425" width="25.375" style="3586" customWidth="1"/>
    <col min="7426" max="7426" width="14.5" style="3586" customWidth="1"/>
    <col min="7427" max="7427" width="11.75" style="3586" customWidth="1"/>
    <col min="7428" max="7429" width="13.875" style="3586" customWidth="1"/>
    <col min="7430" max="7430" width="10.5" style="3586" customWidth="1"/>
    <col min="7431" max="7431" width="6.375" style="3586" customWidth="1"/>
    <col min="7432" max="7432" width="11.25" style="3586" customWidth="1"/>
    <col min="7433" max="7433" width="0" style="3586" hidden="1" customWidth="1"/>
    <col min="7434" max="7435" width="9" style="3586" customWidth="1"/>
    <col min="7436" max="7437" width="10.625" style="3586" customWidth="1"/>
    <col min="7438" max="7438" width="14.375" style="3586" customWidth="1"/>
    <col min="7439" max="7439" width="9.75" style="3586" customWidth="1"/>
    <col min="7440" max="7440" width="6.25" style="3586" customWidth="1"/>
    <col min="7441" max="7441" width="32.625" style="3586" customWidth="1"/>
    <col min="7442" max="7442" width="7.875" style="3586" customWidth="1"/>
    <col min="7443" max="7680" width="9" style="3586"/>
    <col min="7681" max="7681" width="25.375" style="3586" customWidth="1"/>
    <col min="7682" max="7682" width="14.5" style="3586" customWidth="1"/>
    <col min="7683" max="7683" width="11.75" style="3586" customWidth="1"/>
    <col min="7684" max="7685" width="13.875" style="3586" customWidth="1"/>
    <col min="7686" max="7686" width="10.5" style="3586" customWidth="1"/>
    <col min="7687" max="7687" width="6.375" style="3586" customWidth="1"/>
    <col min="7688" max="7688" width="11.25" style="3586" customWidth="1"/>
    <col min="7689" max="7689" width="0" style="3586" hidden="1" customWidth="1"/>
    <col min="7690" max="7691" width="9" style="3586" customWidth="1"/>
    <col min="7692" max="7693" width="10.625" style="3586" customWidth="1"/>
    <col min="7694" max="7694" width="14.375" style="3586" customWidth="1"/>
    <col min="7695" max="7695" width="9.75" style="3586" customWidth="1"/>
    <col min="7696" max="7696" width="6.25" style="3586" customWidth="1"/>
    <col min="7697" max="7697" width="32.625" style="3586" customWidth="1"/>
    <col min="7698" max="7698" width="7.875" style="3586" customWidth="1"/>
    <col min="7699" max="7936" width="9" style="3586"/>
    <col min="7937" max="7937" width="25.375" style="3586" customWidth="1"/>
    <col min="7938" max="7938" width="14.5" style="3586" customWidth="1"/>
    <col min="7939" max="7939" width="11.75" style="3586" customWidth="1"/>
    <col min="7940" max="7941" width="13.875" style="3586" customWidth="1"/>
    <col min="7942" max="7942" width="10.5" style="3586" customWidth="1"/>
    <col min="7943" max="7943" width="6.375" style="3586" customWidth="1"/>
    <col min="7944" max="7944" width="11.25" style="3586" customWidth="1"/>
    <col min="7945" max="7945" width="0" style="3586" hidden="1" customWidth="1"/>
    <col min="7946" max="7947" width="9" style="3586" customWidth="1"/>
    <col min="7948" max="7949" width="10.625" style="3586" customWidth="1"/>
    <col min="7950" max="7950" width="14.375" style="3586" customWidth="1"/>
    <col min="7951" max="7951" width="9.75" style="3586" customWidth="1"/>
    <col min="7952" max="7952" width="6.25" style="3586" customWidth="1"/>
    <col min="7953" max="7953" width="32.625" style="3586" customWidth="1"/>
    <col min="7954" max="7954" width="7.875" style="3586" customWidth="1"/>
    <col min="7955" max="8192" width="9" style="3586"/>
    <col min="8193" max="8193" width="25.375" style="3586" customWidth="1"/>
    <col min="8194" max="8194" width="14.5" style="3586" customWidth="1"/>
    <col min="8195" max="8195" width="11.75" style="3586" customWidth="1"/>
    <col min="8196" max="8197" width="13.875" style="3586" customWidth="1"/>
    <col min="8198" max="8198" width="10.5" style="3586" customWidth="1"/>
    <col min="8199" max="8199" width="6.375" style="3586" customWidth="1"/>
    <col min="8200" max="8200" width="11.25" style="3586" customWidth="1"/>
    <col min="8201" max="8201" width="0" style="3586" hidden="1" customWidth="1"/>
    <col min="8202" max="8203" width="9" style="3586" customWidth="1"/>
    <col min="8204" max="8205" width="10.625" style="3586" customWidth="1"/>
    <col min="8206" max="8206" width="14.375" style="3586" customWidth="1"/>
    <col min="8207" max="8207" width="9.75" style="3586" customWidth="1"/>
    <col min="8208" max="8208" width="6.25" style="3586" customWidth="1"/>
    <col min="8209" max="8209" width="32.625" style="3586" customWidth="1"/>
    <col min="8210" max="8210" width="7.875" style="3586" customWidth="1"/>
    <col min="8211" max="8448" width="9" style="3586"/>
    <col min="8449" max="8449" width="25.375" style="3586" customWidth="1"/>
    <col min="8450" max="8450" width="14.5" style="3586" customWidth="1"/>
    <col min="8451" max="8451" width="11.75" style="3586" customWidth="1"/>
    <col min="8452" max="8453" width="13.875" style="3586" customWidth="1"/>
    <col min="8454" max="8454" width="10.5" style="3586" customWidth="1"/>
    <col min="8455" max="8455" width="6.375" style="3586" customWidth="1"/>
    <col min="8456" max="8456" width="11.25" style="3586" customWidth="1"/>
    <col min="8457" max="8457" width="0" style="3586" hidden="1" customWidth="1"/>
    <col min="8458" max="8459" width="9" style="3586" customWidth="1"/>
    <col min="8460" max="8461" width="10.625" style="3586" customWidth="1"/>
    <col min="8462" max="8462" width="14.375" style="3586" customWidth="1"/>
    <col min="8463" max="8463" width="9.75" style="3586" customWidth="1"/>
    <col min="8464" max="8464" width="6.25" style="3586" customWidth="1"/>
    <col min="8465" max="8465" width="32.625" style="3586" customWidth="1"/>
    <col min="8466" max="8466" width="7.875" style="3586" customWidth="1"/>
    <col min="8467" max="8704" width="9" style="3586"/>
    <col min="8705" max="8705" width="25.375" style="3586" customWidth="1"/>
    <col min="8706" max="8706" width="14.5" style="3586" customWidth="1"/>
    <col min="8707" max="8707" width="11.75" style="3586" customWidth="1"/>
    <col min="8708" max="8709" width="13.875" style="3586" customWidth="1"/>
    <col min="8710" max="8710" width="10.5" style="3586" customWidth="1"/>
    <col min="8711" max="8711" width="6.375" style="3586" customWidth="1"/>
    <col min="8712" max="8712" width="11.25" style="3586" customWidth="1"/>
    <col min="8713" max="8713" width="0" style="3586" hidden="1" customWidth="1"/>
    <col min="8714" max="8715" width="9" style="3586" customWidth="1"/>
    <col min="8716" max="8717" width="10.625" style="3586" customWidth="1"/>
    <col min="8718" max="8718" width="14.375" style="3586" customWidth="1"/>
    <col min="8719" max="8719" width="9.75" style="3586" customWidth="1"/>
    <col min="8720" max="8720" width="6.25" style="3586" customWidth="1"/>
    <col min="8721" max="8721" width="32.625" style="3586" customWidth="1"/>
    <col min="8722" max="8722" width="7.875" style="3586" customWidth="1"/>
    <col min="8723" max="8960" width="9" style="3586"/>
    <col min="8961" max="8961" width="25.375" style="3586" customWidth="1"/>
    <col min="8962" max="8962" width="14.5" style="3586" customWidth="1"/>
    <col min="8963" max="8963" width="11.75" style="3586" customWidth="1"/>
    <col min="8964" max="8965" width="13.875" style="3586" customWidth="1"/>
    <col min="8966" max="8966" width="10.5" style="3586" customWidth="1"/>
    <col min="8967" max="8967" width="6.375" style="3586" customWidth="1"/>
    <col min="8968" max="8968" width="11.25" style="3586" customWidth="1"/>
    <col min="8969" max="8969" width="0" style="3586" hidden="1" customWidth="1"/>
    <col min="8970" max="8971" width="9" style="3586" customWidth="1"/>
    <col min="8972" max="8973" width="10.625" style="3586" customWidth="1"/>
    <col min="8974" max="8974" width="14.375" style="3586" customWidth="1"/>
    <col min="8975" max="8975" width="9.75" style="3586" customWidth="1"/>
    <col min="8976" max="8976" width="6.25" style="3586" customWidth="1"/>
    <col min="8977" max="8977" width="32.625" style="3586" customWidth="1"/>
    <col min="8978" max="8978" width="7.875" style="3586" customWidth="1"/>
    <col min="8979" max="9216" width="9" style="3586"/>
    <col min="9217" max="9217" width="25.375" style="3586" customWidth="1"/>
    <col min="9218" max="9218" width="14.5" style="3586" customWidth="1"/>
    <col min="9219" max="9219" width="11.75" style="3586" customWidth="1"/>
    <col min="9220" max="9221" width="13.875" style="3586" customWidth="1"/>
    <col min="9222" max="9222" width="10.5" style="3586" customWidth="1"/>
    <col min="9223" max="9223" width="6.375" style="3586" customWidth="1"/>
    <col min="9224" max="9224" width="11.25" style="3586" customWidth="1"/>
    <col min="9225" max="9225" width="0" style="3586" hidden="1" customWidth="1"/>
    <col min="9226" max="9227" width="9" style="3586" customWidth="1"/>
    <col min="9228" max="9229" width="10.625" style="3586" customWidth="1"/>
    <col min="9230" max="9230" width="14.375" style="3586" customWidth="1"/>
    <col min="9231" max="9231" width="9.75" style="3586" customWidth="1"/>
    <col min="9232" max="9232" width="6.25" style="3586" customWidth="1"/>
    <col min="9233" max="9233" width="32.625" style="3586" customWidth="1"/>
    <col min="9234" max="9234" width="7.875" style="3586" customWidth="1"/>
    <col min="9235" max="9472" width="9" style="3586"/>
    <col min="9473" max="9473" width="25.375" style="3586" customWidth="1"/>
    <col min="9474" max="9474" width="14.5" style="3586" customWidth="1"/>
    <col min="9475" max="9475" width="11.75" style="3586" customWidth="1"/>
    <col min="9476" max="9477" width="13.875" style="3586" customWidth="1"/>
    <col min="9478" max="9478" width="10.5" style="3586" customWidth="1"/>
    <col min="9479" max="9479" width="6.375" style="3586" customWidth="1"/>
    <col min="9480" max="9480" width="11.25" style="3586" customWidth="1"/>
    <col min="9481" max="9481" width="0" style="3586" hidden="1" customWidth="1"/>
    <col min="9482" max="9483" width="9" style="3586" customWidth="1"/>
    <col min="9484" max="9485" width="10.625" style="3586" customWidth="1"/>
    <col min="9486" max="9486" width="14.375" style="3586" customWidth="1"/>
    <col min="9487" max="9487" width="9.75" style="3586" customWidth="1"/>
    <col min="9488" max="9488" width="6.25" style="3586" customWidth="1"/>
    <col min="9489" max="9489" width="32.625" style="3586" customWidth="1"/>
    <col min="9490" max="9490" width="7.875" style="3586" customWidth="1"/>
    <col min="9491" max="9728" width="9" style="3586"/>
    <col min="9729" max="9729" width="25.375" style="3586" customWidth="1"/>
    <col min="9730" max="9730" width="14.5" style="3586" customWidth="1"/>
    <col min="9731" max="9731" width="11.75" style="3586" customWidth="1"/>
    <col min="9732" max="9733" width="13.875" style="3586" customWidth="1"/>
    <col min="9734" max="9734" width="10.5" style="3586" customWidth="1"/>
    <col min="9735" max="9735" width="6.375" style="3586" customWidth="1"/>
    <col min="9736" max="9736" width="11.25" style="3586" customWidth="1"/>
    <col min="9737" max="9737" width="0" style="3586" hidden="1" customWidth="1"/>
    <col min="9738" max="9739" width="9" style="3586" customWidth="1"/>
    <col min="9740" max="9741" width="10.625" style="3586" customWidth="1"/>
    <col min="9742" max="9742" width="14.375" style="3586" customWidth="1"/>
    <col min="9743" max="9743" width="9.75" style="3586" customWidth="1"/>
    <col min="9744" max="9744" width="6.25" style="3586" customWidth="1"/>
    <col min="9745" max="9745" width="32.625" style="3586" customWidth="1"/>
    <col min="9746" max="9746" width="7.875" style="3586" customWidth="1"/>
    <col min="9747" max="9984" width="9" style="3586"/>
    <col min="9985" max="9985" width="25.375" style="3586" customWidth="1"/>
    <col min="9986" max="9986" width="14.5" style="3586" customWidth="1"/>
    <col min="9987" max="9987" width="11.75" style="3586" customWidth="1"/>
    <col min="9988" max="9989" width="13.875" style="3586" customWidth="1"/>
    <col min="9990" max="9990" width="10.5" style="3586" customWidth="1"/>
    <col min="9991" max="9991" width="6.375" style="3586" customWidth="1"/>
    <col min="9992" max="9992" width="11.25" style="3586" customWidth="1"/>
    <col min="9993" max="9993" width="0" style="3586" hidden="1" customWidth="1"/>
    <col min="9994" max="9995" width="9" style="3586" customWidth="1"/>
    <col min="9996" max="9997" width="10.625" style="3586" customWidth="1"/>
    <col min="9998" max="9998" width="14.375" style="3586" customWidth="1"/>
    <col min="9999" max="9999" width="9.75" style="3586" customWidth="1"/>
    <col min="10000" max="10000" width="6.25" style="3586" customWidth="1"/>
    <col min="10001" max="10001" width="32.625" style="3586" customWidth="1"/>
    <col min="10002" max="10002" width="7.875" style="3586" customWidth="1"/>
    <col min="10003" max="10240" width="9" style="3586"/>
    <col min="10241" max="10241" width="25.375" style="3586" customWidth="1"/>
    <col min="10242" max="10242" width="14.5" style="3586" customWidth="1"/>
    <col min="10243" max="10243" width="11.75" style="3586" customWidth="1"/>
    <col min="10244" max="10245" width="13.875" style="3586" customWidth="1"/>
    <col min="10246" max="10246" width="10.5" style="3586" customWidth="1"/>
    <col min="10247" max="10247" width="6.375" style="3586" customWidth="1"/>
    <col min="10248" max="10248" width="11.25" style="3586" customWidth="1"/>
    <col min="10249" max="10249" width="0" style="3586" hidden="1" customWidth="1"/>
    <col min="10250" max="10251" width="9" style="3586" customWidth="1"/>
    <col min="10252" max="10253" width="10.625" style="3586" customWidth="1"/>
    <col min="10254" max="10254" width="14.375" style="3586" customWidth="1"/>
    <col min="10255" max="10255" width="9.75" style="3586" customWidth="1"/>
    <col min="10256" max="10256" width="6.25" style="3586" customWidth="1"/>
    <col min="10257" max="10257" width="32.625" style="3586" customWidth="1"/>
    <col min="10258" max="10258" width="7.875" style="3586" customWidth="1"/>
    <col min="10259" max="10496" width="9" style="3586"/>
    <col min="10497" max="10497" width="25.375" style="3586" customWidth="1"/>
    <col min="10498" max="10498" width="14.5" style="3586" customWidth="1"/>
    <col min="10499" max="10499" width="11.75" style="3586" customWidth="1"/>
    <col min="10500" max="10501" width="13.875" style="3586" customWidth="1"/>
    <col min="10502" max="10502" width="10.5" style="3586" customWidth="1"/>
    <col min="10503" max="10503" width="6.375" style="3586" customWidth="1"/>
    <col min="10504" max="10504" width="11.25" style="3586" customWidth="1"/>
    <col min="10505" max="10505" width="0" style="3586" hidden="1" customWidth="1"/>
    <col min="10506" max="10507" width="9" style="3586" customWidth="1"/>
    <col min="10508" max="10509" width="10.625" style="3586" customWidth="1"/>
    <col min="10510" max="10510" width="14.375" style="3586" customWidth="1"/>
    <col min="10511" max="10511" width="9.75" style="3586" customWidth="1"/>
    <col min="10512" max="10512" width="6.25" style="3586" customWidth="1"/>
    <col min="10513" max="10513" width="32.625" style="3586" customWidth="1"/>
    <col min="10514" max="10514" width="7.875" style="3586" customWidth="1"/>
    <col min="10515" max="10752" width="9" style="3586"/>
    <col min="10753" max="10753" width="25.375" style="3586" customWidth="1"/>
    <col min="10754" max="10754" width="14.5" style="3586" customWidth="1"/>
    <col min="10755" max="10755" width="11.75" style="3586" customWidth="1"/>
    <col min="10756" max="10757" width="13.875" style="3586" customWidth="1"/>
    <col min="10758" max="10758" width="10.5" style="3586" customWidth="1"/>
    <col min="10759" max="10759" width="6.375" style="3586" customWidth="1"/>
    <col min="10760" max="10760" width="11.25" style="3586" customWidth="1"/>
    <col min="10761" max="10761" width="0" style="3586" hidden="1" customWidth="1"/>
    <col min="10762" max="10763" width="9" style="3586" customWidth="1"/>
    <col min="10764" max="10765" width="10.625" style="3586" customWidth="1"/>
    <col min="10766" max="10766" width="14.375" style="3586" customWidth="1"/>
    <col min="10767" max="10767" width="9.75" style="3586" customWidth="1"/>
    <col min="10768" max="10768" width="6.25" style="3586" customWidth="1"/>
    <col min="10769" max="10769" width="32.625" style="3586" customWidth="1"/>
    <col min="10770" max="10770" width="7.875" style="3586" customWidth="1"/>
    <col min="10771" max="11008" width="9" style="3586"/>
    <col min="11009" max="11009" width="25.375" style="3586" customWidth="1"/>
    <col min="11010" max="11010" width="14.5" style="3586" customWidth="1"/>
    <col min="11011" max="11011" width="11.75" style="3586" customWidth="1"/>
    <col min="11012" max="11013" width="13.875" style="3586" customWidth="1"/>
    <col min="11014" max="11014" width="10.5" style="3586" customWidth="1"/>
    <col min="11015" max="11015" width="6.375" style="3586" customWidth="1"/>
    <col min="11016" max="11016" width="11.25" style="3586" customWidth="1"/>
    <col min="11017" max="11017" width="0" style="3586" hidden="1" customWidth="1"/>
    <col min="11018" max="11019" width="9" style="3586" customWidth="1"/>
    <col min="11020" max="11021" width="10.625" style="3586" customWidth="1"/>
    <col min="11022" max="11022" width="14.375" style="3586" customWidth="1"/>
    <col min="11023" max="11023" width="9.75" style="3586" customWidth="1"/>
    <col min="11024" max="11024" width="6.25" style="3586" customWidth="1"/>
    <col min="11025" max="11025" width="32.625" style="3586" customWidth="1"/>
    <col min="11026" max="11026" width="7.875" style="3586" customWidth="1"/>
    <col min="11027" max="11264" width="9" style="3586"/>
    <col min="11265" max="11265" width="25.375" style="3586" customWidth="1"/>
    <col min="11266" max="11266" width="14.5" style="3586" customWidth="1"/>
    <col min="11267" max="11267" width="11.75" style="3586" customWidth="1"/>
    <col min="11268" max="11269" width="13.875" style="3586" customWidth="1"/>
    <col min="11270" max="11270" width="10.5" style="3586" customWidth="1"/>
    <col min="11271" max="11271" width="6.375" style="3586" customWidth="1"/>
    <col min="11272" max="11272" width="11.25" style="3586" customWidth="1"/>
    <col min="11273" max="11273" width="0" style="3586" hidden="1" customWidth="1"/>
    <col min="11274" max="11275" width="9" style="3586" customWidth="1"/>
    <col min="11276" max="11277" width="10.625" style="3586" customWidth="1"/>
    <col min="11278" max="11278" width="14.375" style="3586" customWidth="1"/>
    <col min="11279" max="11279" width="9.75" style="3586" customWidth="1"/>
    <col min="11280" max="11280" width="6.25" style="3586" customWidth="1"/>
    <col min="11281" max="11281" width="32.625" style="3586" customWidth="1"/>
    <col min="11282" max="11282" width="7.875" style="3586" customWidth="1"/>
    <col min="11283" max="11520" width="9" style="3586"/>
    <col min="11521" max="11521" width="25.375" style="3586" customWidth="1"/>
    <col min="11522" max="11522" width="14.5" style="3586" customWidth="1"/>
    <col min="11523" max="11523" width="11.75" style="3586" customWidth="1"/>
    <col min="11524" max="11525" width="13.875" style="3586" customWidth="1"/>
    <col min="11526" max="11526" width="10.5" style="3586" customWidth="1"/>
    <col min="11527" max="11527" width="6.375" style="3586" customWidth="1"/>
    <col min="11528" max="11528" width="11.25" style="3586" customWidth="1"/>
    <col min="11529" max="11529" width="0" style="3586" hidden="1" customWidth="1"/>
    <col min="11530" max="11531" width="9" style="3586" customWidth="1"/>
    <col min="11532" max="11533" width="10.625" style="3586" customWidth="1"/>
    <col min="11534" max="11534" width="14.375" style="3586" customWidth="1"/>
    <col min="11535" max="11535" width="9.75" style="3586" customWidth="1"/>
    <col min="11536" max="11536" width="6.25" style="3586" customWidth="1"/>
    <col min="11537" max="11537" width="32.625" style="3586" customWidth="1"/>
    <col min="11538" max="11538" width="7.875" style="3586" customWidth="1"/>
    <col min="11539" max="11776" width="9" style="3586"/>
    <col min="11777" max="11777" width="25.375" style="3586" customWidth="1"/>
    <col min="11778" max="11778" width="14.5" style="3586" customWidth="1"/>
    <col min="11779" max="11779" width="11.75" style="3586" customWidth="1"/>
    <col min="11780" max="11781" width="13.875" style="3586" customWidth="1"/>
    <col min="11782" max="11782" width="10.5" style="3586" customWidth="1"/>
    <col min="11783" max="11783" width="6.375" style="3586" customWidth="1"/>
    <col min="11784" max="11784" width="11.25" style="3586" customWidth="1"/>
    <col min="11785" max="11785" width="0" style="3586" hidden="1" customWidth="1"/>
    <col min="11786" max="11787" width="9" style="3586" customWidth="1"/>
    <col min="11788" max="11789" width="10.625" style="3586" customWidth="1"/>
    <col min="11790" max="11790" width="14.375" style="3586" customWidth="1"/>
    <col min="11791" max="11791" width="9.75" style="3586" customWidth="1"/>
    <col min="11792" max="11792" width="6.25" style="3586" customWidth="1"/>
    <col min="11793" max="11793" width="32.625" style="3586" customWidth="1"/>
    <col min="11794" max="11794" width="7.875" style="3586" customWidth="1"/>
    <col min="11795" max="12032" width="9" style="3586"/>
    <col min="12033" max="12033" width="25.375" style="3586" customWidth="1"/>
    <col min="12034" max="12034" width="14.5" style="3586" customWidth="1"/>
    <col min="12035" max="12035" width="11.75" style="3586" customWidth="1"/>
    <col min="12036" max="12037" width="13.875" style="3586" customWidth="1"/>
    <col min="12038" max="12038" width="10.5" style="3586" customWidth="1"/>
    <col min="12039" max="12039" width="6.375" style="3586" customWidth="1"/>
    <col min="12040" max="12040" width="11.25" style="3586" customWidth="1"/>
    <col min="12041" max="12041" width="0" style="3586" hidden="1" customWidth="1"/>
    <col min="12042" max="12043" width="9" style="3586" customWidth="1"/>
    <col min="12044" max="12045" width="10.625" style="3586" customWidth="1"/>
    <col min="12046" max="12046" width="14.375" style="3586" customWidth="1"/>
    <col min="12047" max="12047" width="9.75" style="3586" customWidth="1"/>
    <col min="12048" max="12048" width="6.25" style="3586" customWidth="1"/>
    <col min="12049" max="12049" width="32.625" style="3586" customWidth="1"/>
    <col min="12050" max="12050" width="7.875" style="3586" customWidth="1"/>
    <col min="12051" max="12288" width="9" style="3586"/>
    <col min="12289" max="12289" width="25.375" style="3586" customWidth="1"/>
    <col min="12290" max="12290" width="14.5" style="3586" customWidth="1"/>
    <col min="12291" max="12291" width="11.75" style="3586" customWidth="1"/>
    <col min="12292" max="12293" width="13.875" style="3586" customWidth="1"/>
    <col min="12294" max="12294" width="10.5" style="3586" customWidth="1"/>
    <col min="12295" max="12295" width="6.375" style="3586" customWidth="1"/>
    <col min="12296" max="12296" width="11.25" style="3586" customWidth="1"/>
    <col min="12297" max="12297" width="0" style="3586" hidden="1" customWidth="1"/>
    <col min="12298" max="12299" width="9" style="3586" customWidth="1"/>
    <col min="12300" max="12301" width="10.625" style="3586" customWidth="1"/>
    <col min="12302" max="12302" width="14.375" style="3586" customWidth="1"/>
    <col min="12303" max="12303" width="9.75" style="3586" customWidth="1"/>
    <col min="12304" max="12304" width="6.25" style="3586" customWidth="1"/>
    <col min="12305" max="12305" width="32.625" style="3586" customWidth="1"/>
    <col min="12306" max="12306" width="7.875" style="3586" customWidth="1"/>
    <col min="12307" max="12544" width="9" style="3586"/>
    <col min="12545" max="12545" width="25.375" style="3586" customWidth="1"/>
    <col min="12546" max="12546" width="14.5" style="3586" customWidth="1"/>
    <col min="12547" max="12547" width="11.75" style="3586" customWidth="1"/>
    <col min="12548" max="12549" width="13.875" style="3586" customWidth="1"/>
    <col min="12550" max="12550" width="10.5" style="3586" customWidth="1"/>
    <col min="12551" max="12551" width="6.375" style="3586" customWidth="1"/>
    <col min="12552" max="12552" width="11.25" style="3586" customWidth="1"/>
    <col min="12553" max="12553" width="0" style="3586" hidden="1" customWidth="1"/>
    <col min="12554" max="12555" width="9" style="3586" customWidth="1"/>
    <col min="12556" max="12557" width="10.625" style="3586" customWidth="1"/>
    <col min="12558" max="12558" width="14.375" style="3586" customWidth="1"/>
    <col min="12559" max="12559" width="9.75" style="3586" customWidth="1"/>
    <col min="12560" max="12560" width="6.25" style="3586" customWidth="1"/>
    <col min="12561" max="12561" width="32.625" style="3586" customWidth="1"/>
    <col min="12562" max="12562" width="7.875" style="3586" customWidth="1"/>
    <col min="12563" max="12800" width="9" style="3586"/>
    <col min="12801" max="12801" width="25.375" style="3586" customWidth="1"/>
    <col min="12802" max="12802" width="14.5" style="3586" customWidth="1"/>
    <col min="12803" max="12803" width="11.75" style="3586" customWidth="1"/>
    <col min="12804" max="12805" width="13.875" style="3586" customWidth="1"/>
    <col min="12806" max="12806" width="10.5" style="3586" customWidth="1"/>
    <col min="12807" max="12807" width="6.375" style="3586" customWidth="1"/>
    <col min="12808" max="12808" width="11.25" style="3586" customWidth="1"/>
    <col min="12809" max="12809" width="0" style="3586" hidden="1" customWidth="1"/>
    <col min="12810" max="12811" width="9" style="3586" customWidth="1"/>
    <col min="12812" max="12813" width="10.625" style="3586" customWidth="1"/>
    <col min="12814" max="12814" width="14.375" style="3586" customWidth="1"/>
    <col min="12815" max="12815" width="9.75" style="3586" customWidth="1"/>
    <col min="12816" max="12816" width="6.25" style="3586" customWidth="1"/>
    <col min="12817" max="12817" width="32.625" style="3586" customWidth="1"/>
    <col min="12818" max="12818" width="7.875" style="3586" customWidth="1"/>
    <col min="12819" max="13056" width="9" style="3586"/>
    <col min="13057" max="13057" width="25.375" style="3586" customWidth="1"/>
    <col min="13058" max="13058" width="14.5" style="3586" customWidth="1"/>
    <col min="13059" max="13059" width="11.75" style="3586" customWidth="1"/>
    <col min="13060" max="13061" width="13.875" style="3586" customWidth="1"/>
    <col min="13062" max="13062" width="10.5" style="3586" customWidth="1"/>
    <col min="13063" max="13063" width="6.375" style="3586" customWidth="1"/>
    <col min="13064" max="13064" width="11.25" style="3586" customWidth="1"/>
    <col min="13065" max="13065" width="0" style="3586" hidden="1" customWidth="1"/>
    <col min="13066" max="13067" width="9" style="3586" customWidth="1"/>
    <col min="13068" max="13069" width="10.625" style="3586" customWidth="1"/>
    <col min="13070" max="13070" width="14.375" style="3586" customWidth="1"/>
    <col min="13071" max="13071" width="9.75" style="3586" customWidth="1"/>
    <col min="13072" max="13072" width="6.25" style="3586" customWidth="1"/>
    <col min="13073" max="13073" width="32.625" style="3586" customWidth="1"/>
    <col min="13074" max="13074" width="7.875" style="3586" customWidth="1"/>
    <col min="13075" max="13312" width="9" style="3586"/>
    <col min="13313" max="13313" width="25.375" style="3586" customWidth="1"/>
    <col min="13314" max="13314" width="14.5" style="3586" customWidth="1"/>
    <col min="13315" max="13315" width="11.75" style="3586" customWidth="1"/>
    <col min="13316" max="13317" width="13.875" style="3586" customWidth="1"/>
    <col min="13318" max="13318" width="10.5" style="3586" customWidth="1"/>
    <col min="13319" max="13319" width="6.375" style="3586" customWidth="1"/>
    <col min="13320" max="13320" width="11.25" style="3586" customWidth="1"/>
    <col min="13321" max="13321" width="0" style="3586" hidden="1" customWidth="1"/>
    <col min="13322" max="13323" width="9" style="3586" customWidth="1"/>
    <col min="13324" max="13325" width="10.625" style="3586" customWidth="1"/>
    <col min="13326" max="13326" width="14.375" style="3586" customWidth="1"/>
    <col min="13327" max="13327" width="9.75" style="3586" customWidth="1"/>
    <col min="13328" max="13328" width="6.25" style="3586" customWidth="1"/>
    <col min="13329" max="13329" width="32.625" style="3586" customWidth="1"/>
    <col min="13330" max="13330" width="7.875" style="3586" customWidth="1"/>
    <col min="13331" max="13568" width="9" style="3586"/>
    <col min="13569" max="13569" width="25.375" style="3586" customWidth="1"/>
    <col min="13570" max="13570" width="14.5" style="3586" customWidth="1"/>
    <col min="13571" max="13571" width="11.75" style="3586" customWidth="1"/>
    <col min="13572" max="13573" width="13.875" style="3586" customWidth="1"/>
    <col min="13574" max="13574" width="10.5" style="3586" customWidth="1"/>
    <col min="13575" max="13575" width="6.375" style="3586" customWidth="1"/>
    <col min="13576" max="13576" width="11.25" style="3586" customWidth="1"/>
    <col min="13577" max="13577" width="0" style="3586" hidden="1" customWidth="1"/>
    <col min="13578" max="13579" width="9" style="3586" customWidth="1"/>
    <col min="13580" max="13581" width="10.625" style="3586" customWidth="1"/>
    <col min="13582" max="13582" width="14.375" style="3586" customWidth="1"/>
    <col min="13583" max="13583" width="9.75" style="3586" customWidth="1"/>
    <col min="13584" max="13584" width="6.25" style="3586" customWidth="1"/>
    <col min="13585" max="13585" width="32.625" style="3586" customWidth="1"/>
    <col min="13586" max="13586" width="7.875" style="3586" customWidth="1"/>
    <col min="13587" max="13824" width="9" style="3586"/>
    <col min="13825" max="13825" width="25.375" style="3586" customWidth="1"/>
    <col min="13826" max="13826" width="14.5" style="3586" customWidth="1"/>
    <col min="13827" max="13827" width="11.75" style="3586" customWidth="1"/>
    <col min="13828" max="13829" width="13.875" style="3586" customWidth="1"/>
    <col min="13830" max="13830" width="10.5" style="3586" customWidth="1"/>
    <col min="13831" max="13831" width="6.375" style="3586" customWidth="1"/>
    <col min="13832" max="13832" width="11.25" style="3586" customWidth="1"/>
    <col min="13833" max="13833" width="0" style="3586" hidden="1" customWidth="1"/>
    <col min="13834" max="13835" width="9" style="3586" customWidth="1"/>
    <col min="13836" max="13837" width="10.625" style="3586" customWidth="1"/>
    <col min="13838" max="13838" width="14.375" style="3586" customWidth="1"/>
    <col min="13839" max="13839" width="9.75" style="3586" customWidth="1"/>
    <col min="13840" max="13840" width="6.25" style="3586" customWidth="1"/>
    <col min="13841" max="13841" width="32.625" style="3586" customWidth="1"/>
    <col min="13842" max="13842" width="7.875" style="3586" customWidth="1"/>
    <col min="13843" max="14080" width="9" style="3586"/>
    <col min="14081" max="14081" width="25.375" style="3586" customWidth="1"/>
    <col min="14082" max="14082" width="14.5" style="3586" customWidth="1"/>
    <col min="14083" max="14083" width="11.75" style="3586" customWidth="1"/>
    <col min="14084" max="14085" width="13.875" style="3586" customWidth="1"/>
    <col min="14086" max="14086" width="10.5" style="3586" customWidth="1"/>
    <col min="14087" max="14087" width="6.375" style="3586" customWidth="1"/>
    <col min="14088" max="14088" width="11.25" style="3586" customWidth="1"/>
    <col min="14089" max="14089" width="0" style="3586" hidden="1" customWidth="1"/>
    <col min="14090" max="14091" width="9" style="3586" customWidth="1"/>
    <col min="14092" max="14093" width="10.625" style="3586" customWidth="1"/>
    <col min="14094" max="14094" width="14.375" style="3586" customWidth="1"/>
    <col min="14095" max="14095" width="9.75" style="3586" customWidth="1"/>
    <col min="14096" max="14096" width="6.25" style="3586" customWidth="1"/>
    <col min="14097" max="14097" width="32.625" style="3586" customWidth="1"/>
    <col min="14098" max="14098" width="7.875" style="3586" customWidth="1"/>
    <col min="14099" max="14336" width="9" style="3586"/>
    <col min="14337" max="14337" width="25.375" style="3586" customWidth="1"/>
    <col min="14338" max="14338" width="14.5" style="3586" customWidth="1"/>
    <col min="14339" max="14339" width="11.75" style="3586" customWidth="1"/>
    <col min="14340" max="14341" width="13.875" style="3586" customWidth="1"/>
    <col min="14342" max="14342" width="10.5" style="3586" customWidth="1"/>
    <col min="14343" max="14343" width="6.375" style="3586" customWidth="1"/>
    <col min="14344" max="14344" width="11.25" style="3586" customWidth="1"/>
    <col min="14345" max="14345" width="0" style="3586" hidden="1" customWidth="1"/>
    <col min="14346" max="14347" width="9" style="3586" customWidth="1"/>
    <col min="14348" max="14349" width="10.625" style="3586" customWidth="1"/>
    <col min="14350" max="14350" width="14.375" style="3586" customWidth="1"/>
    <col min="14351" max="14351" width="9.75" style="3586" customWidth="1"/>
    <col min="14352" max="14352" width="6.25" style="3586" customWidth="1"/>
    <col min="14353" max="14353" width="32.625" style="3586" customWidth="1"/>
    <col min="14354" max="14354" width="7.875" style="3586" customWidth="1"/>
    <col min="14355" max="14592" width="9" style="3586"/>
    <col min="14593" max="14593" width="25.375" style="3586" customWidth="1"/>
    <col min="14594" max="14594" width="14.5" style="3586" customWidth="1"/>
    <col min="14595" max="14595" width="11.75" style="3586" customWidth="1"/>
    <col min="14596" max="14597" width="13.875" style="3586" customWidth="1"/>
    <col min="14598" max="14598" width="10.5" style="3586" customWidth="1"/>
    <col min="14599" max="14599" width="6.375" style="3586" customWidth="1"/>
    <col min="14600" max="14600" width="11.25" style="3586" customWidth="1"/>
    <col min="14601" max="14601" width="0" style="3586" hidden="1" customWidth="1"/>
    <col min="14602" max="14603" width="9" style="3586" customWidth="1"/>
    <col min="14604" max="14605" width="10.625" style="3586" customWidth="1"/>
    <col min="14606" max="14606" width="14.375" style="3586" customWidth="1"/>
    <col min="14607" max="14607" width="9.75" style="3586" customWidth="1"/>
    <col min="14608" max="14608" width="6.25" style="3586" customWidth="1"/>
    <col min="14609" max="14609" width="32.625" style="3586" customWidth="1"/>
    <col min="14610" max="14610" width="7.875" style="3586" customWidth="1"/>
    <col min="14611" max="14848" width="9" style="3586"/>
    <col min="14849" max="14849" width="25.375" style="3586" customWidth="1"/>
    <col min="14850" max="14850" width="14.5" style="3586" customWidth="1"/>
    <col min="14851" max="14851" width="11.75" style="3586" customWidth="1"/>
    <col min="14852" max="14853" width="13.875" style="3586" customWidth="1"/>
    <col min="14854" max="14854" width="10.5" style="3586" customWidth="1"/>
    <col min="14855" max="14855" width="6.375" style="3586" customWidth="1"/>
    <col min="14856" max="14856" width="11.25" style="3586" customWidth="1"/>
    <col min="14857" max="14857" width="0" style="3586" hidden="1" customWidth="1"/>
    <col min="14858" max="14859" width="9" style="3586" customWidth="1"/>
    <col min="14860" max="14861" width="10.625" style="3586" customWidth="1"/>
    <col min="14862" max="14862" width="14.375" style="3586" customWidth="1"/>
    <col min="14863" max="14863" width="9.75" style="3586" customWidth="1"/>
    <col min="14864" max="14864" width="6.25" style="3586" customWidth="1"/>
    <col min="14865" max="14865" width="32.625" style="3586" customWidth="1"/>
    <col min="14866" max="14866" width="7.875" style="3586" customWidth="1"/>
    <col min="14867" max="15104" width="9" style="3586"/>
    <col min="15105" max="15105" width="25.375" style="3586" customWidth="1"/>
    <col min="15106" max="15106" width="14.5" style="3586" customWidth="1"/>
    <col min="15107" max="15107" width="11.75" style="3586" customWidth="1"/>
    <col min="15108" max="15109" width="13.875" style="3586" customWidth="1"/>
    <col min="15110" max="15110" width="10.5" style="3586" customWidth="1"/>
    <col min="15111" max="15111" width="6.375" style="3586" customWidth="1"/>
    <col min="15112" max="15112" width="11.25" style="3586" customWidth="1"/>
    <col min="15113" max="15113" width="0" style="3586" hidden="1" customWidth="1"/>
    <col min="15114" max="15115" width="9" style="3586" customWidth="1"/>
    <col min="15116" max="15117" width="10.625" style="3586" customWidth="1"/>
    <col min="15118" max="15118" width="14.375" style="3586" customWidth="1"/>
    <col min="15119" max="15119" width="9.75" style="3586" customWidth="1"/>
    <col min="15120" max="15120" width="6.25" style="3586" customWidth="1"/>
    <col min="15121" max="15121" width="32.625" style="3586" customWidth="1"/>
    <col min="15122" max="15122" width="7.875" style="3586" customWidth="1"/>
    <col min="15123" max="15360" width="9" style="3586"/>
    <col min="15361" max="15361" width="25.375" style="3586" customWidth="1"/>
    <col min="15362" max="15362" width="14.5" style="3586" customWidth="1"/>
    <col min="15363" max="15363" width="11.75" style="3586" customWidth="1"/>
    <col min="15364" max="15365" width="13.875" style="3586" customWidth="1"/>
    <col min="15366" max="15366" width="10.5" style="3586" customWidth="1"/>
    <col min="15367" max="15367" width="6.375" style="3586" customWidth="1"/>
    <col min="15368" max="15368" width="11.25" style="3586" customWidth="1"/>
    <col min="15369" max="15369" width="0" style="3586" hidden="1" customWidth="1"/>
    <col min="15370" max="15371" width="9" style="3586" customWidth="1"/>
    <col min="15372" max="15373" width="10.625" style="3586" customWidth="1"/>
    <col min="15374" max="15374" width="14.375" style="3586" customWidth="1"/>
    <col min="15375" max="15375" width="9.75" style="3586" customWidth="1"/>
    <col min="15376" max="15376" width="6.25" style="3586" customWidth="1"/>
    <col min="15377" max="15377" width="32.625" style="3586" customWidth="1"/>
    <col min="15378" max="15378" width="7.875" style="3586" customWidth="1"/>
    <col min="15379" max="15616" width="9" style="3586"/>
    <col min="15617" max="15617" width="25.375" style="3586" customWidth="1"/>
    <col min="15618" max="15618" width="14.5" style="3586" customWidth="1"/>
    <col min="15619" max="15619" width="11.75" style="3586" customWidth="1"/>
    <col min="15620" max="15621" width="13.875" style="3586" customWidth="1"/>
    <col min="15622" max="15622" width="10.5" style="3586" customWidth="1"/>
    <col min="15623" max="15623" width="6.375" style="3586" customWidth="1"/>
    <col min="15624" max="15624" width="11.25" style="3586" customWidth="1"/>
    <col min="15625" max="15625" width="0" style="3586" hidden="1" customWidth="1"/>
    <col min="15626" max="15627" width="9" style="3586" customWidth="1"/>
    <col min="15628" max="15629" width="10.625" style="3586" customWidth="1"/>
    <col min="15630" max="15630" width="14.375" style="3586" customWidth="1"/>
    <col min="15631" max="15631" width="9.75" style="3586" customWidth="1"/>
    <col min="15632" max="15632" width="6.25" style="3586" customWidth="1"/>
    <col min="15633" max="15633" width="32.625" style="3586" customWidth="1"/>
    <col min="15634" max="15634" width="7.875" style="3586" customWidth="1"/>
    <col min="15635" max="15872" width="9" style="3586"/>
    <col min="15873" max="15873" width="25.375" style="3586" customWidth="1"/>
    <col min="15874" max="15874" width="14.5" style="3586" customWidth="1"/>
    <col min="15875" max="15875" width="11.75" style="3586" customWidth="1"/>
    <col min="15876" max="15877" width="13.875" style="3586" customWidth="1"/>
    <col min="15878" max="15878" width="10.5" style="3586" customWidth="1"/>
    <col min="15879" max="15879" width="6.375" style="3586" customWidth="1"/>
    <col min="15880" max="15880" width="11.25" style="3586" customWidth="1"/>
    <col min="15881" max="15881" width="0" style="3586" hidden="1" customWidth="1"/>
    <col min="15882" max="15883" width="9" style="3586" customWidth="1"/>
    <col min="15884" max="15885" width="10.625" style="3586" customWidth="1"/>
    <col min="15886" max="15886" width="14.375" style="3586" customWidth="1"/>
    <col min="15887" max="15887" width="9.75" style="3586" customWidth="1"/>
    <col min="15888" max="15888" width="6.25" style="3586" customWidth="1"/>
    <col min="15889" max="15889" width="32.625" style="3586" customWidth="1"/>
    <col min="15890" max="15890" width="7.875" style="3586" customWidth="1"/>
    <col min="15891" max="16128" width="9" style="3586"/>
    <col min="16129" max="16129" width="25.375" style="3586" customWidth="1"/>
    <col min="16130" max="16130" width="14.5" style="3586" customWidth="1"/>
    <col min="16131" max="16131" width="11.75" style="3586" customWidth="1"/>
    <col min="16132" max="16133" width="13.875" style="3586" customWidth="1"/>
    <col min="16134" max="16134" width="10.5" style="3586" customWidth="1"/>
    <col min="16135" max="16135" width="6.375" style="3586" customWidth="1"/>
    <col min="16136" max="16136" width="11.25" style="3586" customWidth="1"/>
    <col min="16137" max="16137" width="0" style="3586" hidden="1" customWidth="1"/>
    <col min="16138" max="16139" width="9" style="3586" customWidth="1"/>
    <col min="16140" max="16141" width="10.625" style="3586" customWidth="1"/>
    <col min="16142" max="16142" width="14.375" style="3586" customWidth="1"/>
    <col min="16143" max="16143" width="9.75" style="3586" customWidth="1"/>
    <col min="16144" max="16144" width="6.25" style="3586" customWidth="1"/>
    <col min="16145" max="16145" width="32.625" style="3586" customWidth="1"/>
    <col min="16146" max="16146" width="7.875" style="3586" customWidth="1"/>
    <col min="16147" max="16384" width="9" style="3586"/>
  </cols>
  <sheetData>
    <row r="1" spans="1:19" ht="14.25">
      <c r="A1" s="3586" t="s">
        <v>3011</v>
      </c>
      <c r="B1" s="3586" t="s">
        <v>3012</v>
      </c>
      <c r="C1" s="3586" t="s">
        <v>3013</v>
      </c>
      <c r="D1" s="3586" t="s">
        <v>3014</v>
      </c>
      <c r="E1" s="3586" t="s">
        <v>3015</v>
      </c>
      <c r="F1" s="3586" t="s">
        <v>2020</v>
      </c>
      <c r="G1" s="3586" t="s">
        <v>3016</v>
      </c>
      <c r="H1" s="3586" t="s">
        <v>3017</v>
      </c>
      <c r="I1" s="3586" t="s">
        <v>3018</v>
      </c>
      <c r="J1" s="3586" t="s">
        <v>3019</v>
      </c>
      <c r="K1" s="3586" t="s">
        <v>3020</v>
      </c>
      <c r="L1" s="3586" t="s">
        <v>3021</v>
      </c>
      <c r="M1" s="3586" t="s">
        <v>3022</v>
      </c>
      <c r="N1" s="3592" t="s">
        <v>3190</v>
      </c>
      <c r="O1" s="3593" t="s">
        <v>3191</v>
      </c>
      <c r="P1" s="3586" t="s">
        <v>3024</v>
      </c>
      <c r="Q1" s="3586" t="s">
        <v>3025</v>
      </c>
      <c r="R1" s="3586" t="s">
        <v>3026</v>
      </c>
    </row>
    <row r="2" spans="1:19">
      <c r="A2" s="3586" t="s">
        <v>3192</v>
      </c>
      <c r="B2" s="3586" t="s">
        <v>3193</v>
      </c>
      <c r="C2" s="3586" t="s">
        <v>3029</v>
      </c>
      <c r="D2" s="3586">
        <v>2692.88</v>
      </c>
      <c r="E2" s="3586">
        <v>807.86</v>
      </c>
      <c r="F2" s="3586" t="s">
        <v>3194</v>
      </c>
      <c r="G2" s="3586" t="s">
        <v>3031</v>
      </c>
      <c r="H2" s="3586" t="s">
        <v>3032</v>
      </c>
      <c r="I2" s="3586">
        <v>0</v>
      </c>
      <c r="J2" s="3586" t="s">
        <v>3195</v>
      </c>
      <c r="K2" s="3586" t="s">
        <v>3195</v>
      </c>
      <c r="L2" s="3586">
        <v>102.84</v>
      </c>
      <c r="M2" s="3586">
        <v>102.84</v>
      </c>
      <c r="N2" s="3586">
        <v>1272.99</v>
      </c>
      <c r="O2" s="3586">
        <f>N2*0.3</f>
        <v>381.89699999999999</v>
      </c>
      <c r="P2" s="3586">
        <v>0</v>
      </c>
      <c r="Q2" s="3586" t="s">
        <v>3196</v>
      </c>
      <c r="R2" s="3586" t="s">
        <v>3034</v>
      </c>
      <c r="S2" s="3596">
        <f>M2/(D2/666.67)</f>
        <v>25.459858144440151</v>
      </c>
    </row>
    <row r="3" spans="1:19">
      <c r="A3" s="3586" t="s">
        <v>3197</v>
      </c>
      <c r="B3" s="3586" t="s">
        <v>3193</v>
      </c>
      <c r="C3" s="3586" t="s">
        <v>3126</v>
      </c>
      <c r="D3" s="3586">
        <v>3480.09</v>
      </c>
      <c r="E3" s="3586">
        <v>2505.66</v>
      </c>
      <c r="F3" s="3586" t="s">
        <v>3198</v>
      </c>
      <c r="G3" s="3586" t="s">
        <v>3031</v>
      </c>
      <c r="H3" s="3586" t="s">
        <v>3148</v>
      </c>
      <c r="I3" s="3586">
        <v>0</v>
      </c>
      <c r="J3" s="3586" t="s">
        <v>3199</v>
      </c>
      <c r="K3" s="3586" t="s">
        <v>3199</v>
      </c>
      <c r="L3" s="3586">
        <v>655.39</v>
      </c>
      <c r="M3" s="3586">
        <v>655.39</v>
      </c>
      <c r="N3" s="3586">
        <v>2615.67</v>
      </c>
      <c r="O3" s="3586">
        <f>N3*0.72</f>
        <v>1883.2824000000001</v>
      </c>
      <c r="P3" s="3586">
        <v>0</v>
      </c>
      <c r="Q3" s="3586" t="s">
        <v>3200</v>
      </c>
      <c r="R3" s="3586" t="s">
        <v>3034</v>
      </c>
      <c r="S3" s="3596">
        <f t="shared" ref="S3:S33" si="0">M3/(D3/666.67)</f>
        <v>125.55102060578891</v>
      </c>
    </row>
    <row r="4" spans="1:19">
      <c r="A4" s="3586" t="s">
        <v>3201</v>
      </c>
      <c r="B4" s="3586" t="s">
        <v>3193</v>
      </c>
      <c r="C4" s="3586" t="s">
        <v>3029</v>
      </c>
      <c r="D4" s="3586">
        <v>4484.38</v>
      </c>
      <c r="E4" s="3586">
        <v>807.19</v>
      </c>
      <c r="F4" s="3586" t="s">
        <v>3202</v>
      </c>
      <c r="G4" s="3586" t="s">
        <v>3031</v>
      </c>
      <c r="H4" s="3586" t="s">
        <v>3032</v>
      </c>
      <c r="I4" s="3586">
        <v>0</v>
      </c>
      <c r="J4" s="3586" t="s">
        <v>3203</v>
      </c>
      <c r="K4" s="3586" t="s">
        <v>3203</v>
      </c>
      <c r="L4" s="3586">
        <v>590.52</v>
      </c>
      <c r="M4" s="3586">
        <v>590.52</v>
      </c>
      <c r="N4" s="3586">
        <v>7315.86</v>
      </c>
      <c r="O4" s="3586">
        <f>N4*0.18</f>
        <v>1316.8547999999998</v>
      </c>
      <c r="P4" s="3586">
        <v>0</v>
      </c>
      <c r="Q4" s="3586" t="s">
        <v>3204</v>
      </c>
      <c r="R4" s="3586" t="s">
        <v>3111</v>
      </c>
      <c r="S4" s="3596">
        <f t="shared" si="0"/>
        <v>87.78960935513939</v>
      </c>
    </row>
    <row r="5" spans="1:19">
      <c r="A5" s="3586" t="s">
        <v>3205</v>
      </c>
      <c r="B5" s="3586" t="s">
        <v>3193</v>
      </c>
      <c r="C5" s="3586" t="s">
        <v>3029</v>
      </c>
      <c r="D5" s="3586">
        <v>95194.2</v>
      </c>
      <c r="E5" s="3586">
        <v>47597.1</v>
      </c>
      <c r="F5" s="3586" t="s">
        <v>3206</v>
      </c>
      <c r="G5" s="3586" t="s">
        <v>3031</v>
      </c>
      <c r="H5" s="3586" t="s">
        <v>3073</v>
      </c>
      <c r="I5" s="3586">
        <v>0</v>
      </c>
      <c r="J5" s="3586" t="s">
        <v>3207</v>
      </c>
      <c r="K5" s="3586" t="s">
        <v>3208</v>
      </c>
      <c r="L5" s="3586" t="s">
        <v>2797</v>
      </c>
      <c r="M5" s="3586">
        <v>10992.21</v>
      </c>
      <c r="N5" s="3586">
        <v>2309.42</v>
      </c>
      <c r="O5" s="3586">
        <f>N5*0.5</f>
        <v>1154.71</v>
      </c>
      <c r="P5" s="3586" t="s">
        <v>2797</v>
      </c>
      <c r="Q5" s="3586" t="s">
        <v>3209</v>
      </c>
      <c r="R5" s="3586" t="s">
        <v>3210</v>
      </c>
      <c r="S5" s="3596">
        <f t="shared" si="0"/>
        <v>76.981335424847302</v>
      </c>
    </row>
    <row r="6" spans="1:19">
      <c r="A6" s="3586" t="s">
        <v>3205</v>
      </c>
      <c r="B6" s="3586" t="s">
        <v>3193</v>
      </c>
      <c r="C6" s="3586" t="s">
        <v>3029</v>
      </c>
      <c r="D6" s="3586">
        <v>107515.29</v>
      </c>
      <c r="E6" s="3586">
        <v>53757.65</v>
      </c>
      <c r="F6" s="3586" t="s">
        <v>3206</v>
      </c>
      <c r="G6" s="3586" t="s">
        <v>3031</v>
      </c>
      <c r="H6" s="3586" t="s">
        <v>3073</v>
      </c>
      <c r="I6" s="3586">
        <v>0</v>
      </c>
      <c r="J6" s="3586" t="s">
        <v>3211</v>
      </c>
      <c r="K6" s="3586" t="s">
        <v>3211</v>
      </c>
      <c r="L6" s="3586" t="s">
        <v>2797</v>
      </c>
      <c r="M6" s="3586">
        <v>12407.26</v>
      </c>
      <c r="N6" s="3586">
        <v>2308</v>
      </c>
      <c r="O6" s="3586">
        <f>N6*0.5</f>
        <v>1154</v>
      </c>
      <c r="P6" s="3586" t="s">
        <v>2797</v>
      </c>
      <c r="Q6" s="3586" t="s">
        <v>3209</v>
      </c>
      <c r="R6" s="3586" t="s">
        <v>3210</v>
      </c>
      <c r="S6" s="3596">
        <f t="shared" si="0"/>
        <v>76.933690307676244</v>
      </c>
    </row>
    <row r="7" spans="1:19">
      <c r="A7" s="3586" t="s">
        <v>3212</v>
      </c>
      <c r="B7" s="3586" t="s">
        <v>3193</v>
      </c>
      <c r="C7" s="3586" t="s">
        <v>3029</v>
      </c>
      <c r="D7" s="3586">
        <v>78166.28</v>
      </c>
      <c r="E7" s="3586">
        <v>109432.79</v>
      </c>
      <c r="F7" s="3586" t="s">
        <v>3213</v>
      </c>
      <c r="G7" s="3586" t="s">
        <v>3031</v>
      </c>
      <c r="H7" s="3586" t="s">
        <v>3073</v>
      </c>
      <c r="I7" s="3586">
        <v>0</v>
      </c>
      <c r="J7" s="3586" t="s">
        <v>3211</v>
      </c>
      <c r="K7" s="3586" t="s">
        <v>3211</v>
      </c>
      <c r="L7" s="3586" t="s">
        <v>2797</v>
      </c>
      <c r="M7" s="3586">
        <v>9125.7900000000009</v>
      </c>
      <c r="N7" s="3586">
        <v>833.91</v>
      </c>
      <c r="O7" s="3586">
        <f>N7*1.4</f>
        <v>1167.4739999999999</v>
      </c>
      <c r="P7" s="3586" t="s">
        <v>2797</v>
      </c>
      <c r="Q7" s="3586" t="s">
        <v>3209</v>
      </c>
      <c r="R7" s="3586" t="s">
        <v>3210</v>
      </c>
      <c r="S7" s="3596">
        <f t="shared" si="0"/>
        <v>77.832671828568536</v>
      </c>
    </row>
    <row r="8" spans="1:19">
      <c r="A8" s="3586" t="s">
        <v>3214</v>
      </c>
      <c r="B8" s="3586" t="s">
        <v>3193</v>
      </c>
      <c r="C8" s="3586" t="s">
        <v>3029</v>
      </c>
      <c r="D8" s="3586">
        <v>95788.6</v>
      </c>
      <c r="E8" s="3586">
        <v>47894.3</v>
      </c>
      <c r="F8" s="3586" t="s">
        <v>3206</v>
      </c>
      <c r="G8" s="3586" t="s">
        <v>3031</v>
      </c>
      <c r="H8" s="3586" t="s">
        <v>3073</v>
      </c>
      <c r="I8" s="3586">
        <v>0</v>
      </c>
      <c r="J8" s="3586" t="s">
        <v>3211</v>
      </c>
      <c r="K8" s="3586" t="s">
        <v>3211</v>
      </c>
      <c r="L8" s="3586" t="s">
        <v>2797</v>
      </c>
      <c r="M8" s="3586">
        <v>11060.79</v>
      </c>
      <c r="N8" s="3586">
        <v>2309.42</v>
      </c>
      <c r="O8" s="3586">
        <f>N8*0.5</f>
        <v>1154.71</v>
      </c>
      <c r="P8" s="3586" t="s">
        <v>2797</v>
      </c>
      <c r="Q8" s="3586" t="s">
        <v>3209</v>
      </c>
      <c r="R8" s="3586" t="s">
        <v>3210</v>
      </c>
      <c r="S8" s="3596">
        <f t="shared" si="0"/>
        <v>76.980944176029297</v>
      </c>
    </row>
    <row r="9" spans="1:19">
      <c r="A9" s="3586" t="s">
        <v>3215</v>
      </c>
      <c r="B9" s="3586" t="s">
        <v>3193</v>
      </c>
      <c r="C9" s="3586" t="s">
        <v>3029</v>
      </c>
      <c r="D9" s="3586">
        <v>1538.17</v>
      </c>
      <c r="E9" s="3586">
        <v>1707.37</v>
      </c>
      <c r="F9" s="3586" t="s">
        <v>3216</v>
      </c>
      <c r="G9" s="3586" t="s">
        <v>3031</v>
      </c>
      <c r="H9" s="3586" t="s">
        <v>3032</v>
      </c>
      <c r="I9" s="3586">
        <v>0</v>
      </c>
      <c r="J9" s="3586" t="s">
        <v>3217</v>
      </c>
      <c r="K9" s="3586" t="s">
        <v>3217</v>
      </c>
      <c r="L9" s="3586">
        <v>485.89</v>
      </c>
      <c r="M9" s="3586">
        <v>485.89</v>
      </c>
      <c r="N9" s="3586">
        <v>2845.9</v>
      </c>
      <c r="O9" s="3586">
        <f>N9*1.11</f>
        <v>3158.9490000000005</v>
      </c>
      <c r="P9" s="3586">
        <v>0</v>
      </c>
      <c r="Q9" s="3586" t="s">
        <v>3218</v>
      </c>
      <c r="R9" s="3586" t="s">
        <v>3210</v>
      </c>
      <c r="S9" s="3596">
        <f t="shared" si="0"/>
        <v>210.5932935241228</v>
      </c>
    </row>
    <row r="10" spans="1:19">
      <c r="A10" s="3586" t="s">
        <v>3219</v>
      </c>
      <c r="B10" s="3586" t="s">
        <v>3193</v>
      </c>
      <c r="C10" s="3586" t="s">
        <v>3029</v>
      </c>
      <c r="D10" s="3586">
        <v>20173.48</v>
      </c>
      <c r="E10" s="3586">
        <v>46399</v>
      </c>
      <c r="F10" s="3586" t="s">
        <v>3220</v>
      </c>
      <c r="G10" s="3586" t="s">
        <v>3031</v>
      </c>
      <c r="H10" s="3586" t="s">
        <v>3032</v>
      </c>
      <c r="I10" s="3586">
        <v>0</v>
      </c>
      <c r="J10" s="3586" t="s">
        <v>3221</v>
      </c>
      <c r="K10" s="3586" t="s">
        <v>3221</v>
      </c>
      <c r="L10" s="3586">
        <v>486.23</v>
      </c>
      <c r="M10" s="3586">
        <v>486.23</v>
      </c>
      <c r="N10" s="3586">
        <v>104.79</v>
      </c>
      <c r="O10" s="3586">
        <f>N10*2.3</f>
        <v>241.017</v>
      </c>
      <c r="P10" s="3586">
        <v>0</v>
      </c>
      <c r="Q10" s="3586" t="s">
        <v>3218</v>
      </c>
      <c r="R10" s="3586" t="s">
        <v>3210</v>
      </c>
      <c r="S10" s="3596">
        <f t="shared" si="0"/>
        <v>16.06837065791326</v>
      </c>
    </row>
    <row r="11" spans="1:19" s="3588" customFormat="1">
      <c r="A11" s="3590" t="s">
        <v>3222</v>
      </c>
      <c r="B11" s="3588" t="s">
        <v>3193</v>
      </c>
      <c r="C11" s="3588" t="s">
        <v>3029</v>
      </c>
      <c r="D11" s="3588">
        <v>4215</v>
      </c>
      <c r="E11" s="3588">
        <v>421.5</v>
      </c>
      <c r="F11" s="3588" t="s">
        <v>3223</v>
      </c>
      <c r="G11" s="3588" t="s">
        <v>3031</v>
      </c>
      <c r="H11" s="3588" t="s">
        <v>3045</v>
      </c>
      <c r="I11" s="3588">
        <v>0</v>
      </c>
      <c r="J11" s="3588" t="s">
        <v>3224</v>
      </c>
      <c r="K11" s="3588" t="s">
        <v>3224</v>
      </c>
      <c r="L11" s="3588">
        <v>494.1</v>
      </c>
      <c r="M11" s="3588">
        <v>494.1</v>
      </c>
      <c r="N11" s="3588">
        <v>11722.42</v>
      </c>
      <c r="O11" s="3588">
        <f>N11*0.1</f>
        <v>1172.242</v>
      </c>
      <c r="P11" s="3588">
        <v>0</v>
      </c>
      <c r="Q11" s="3588" t="s">
        <v>3225</v>
      </c>
      <c r="R11" s="3588" t="s">
        <v>3034</v>
      </c>
      <c r="S11" s="3597">
        <f t="shared" si="0"/>
        <v>78.149856939501788</v>
      </c>
    </row>
    <row r="12" spans="1:19">
      <c r="A12" s="3586" t="s">
        <v>3226</v>
      </c>
      <c r="B12" s="3586" t="s">
        <v>3193</v>
      </c>
      <c r="C12" s="3586" t="s">
        <v>3029</v>
      </c>
      <c r="D12" s="3586">
        <v>790.89</v>
      </c>
      <c r="E12" s="3586">
        <v>237.27</v>
      </c>
      <c r="F12" s="3586" t="s">
        <v>3194</v>
      </c>
      <c r="G12" s="3586" t="s">
        <v>3031</v>
      </c>
      <c r="H12" s="3586" t="s">
        <v>3073</v>
      </c>
      <c r="I12" s="3586">
        <v>0</v>
      </c>
      <c r="J12" s="3586" t="s">
        <v>3224</v>
      </c>
      <c r="K12" s="3586" t="s">
        <v>3224</v>
      </c>
      <c r="L12" s="3586" t="s">
        <v>2797</v>
      </c>
      <c r="M12" s="3586">
        <v>40.28</v>
      </c>
      <c r="N12" s="3586">
        <v>1697.64</v>
      </c>
      <c r="P12" s="3586" t="s">
        <v>2797</v>
      </c>
      <c r="Q12" s="3586" t="s">
        <v>3227</v>
      </c>
      <c r="R12" s="3586" t="s">
        <v>3034</v>
      </c>
      <c r="S12" s="3596">
        <f t="shared" si="0"/>
        <v>33.953479750660648</v>
      </c>
    </row>
    <row r="13" spans="1:19">
      <c r="A13" s="3586" t="s">
        <v>3226</v>
      </c>
      <c r="B13" s="3586" t="s">
        <v>3193</v>
      </c>
      <c r="C13" s="3586" t="s">
        <v>3029</v>
      </c>
      <c r="D13" s="3586">
        <v>22590.99</v>
      </c>
      <c r="E13" s="3586">
        <v>6777.3</v>
      </c>
      <c r="F13" s="3586" t="s">
        <v>3194</v>
      </c>
      <c r="G13" s="3586" t="s">
        <v>3031</v>
      </c>
      <c r="H13" s="3586" t="s">
        <v>3032</v>
      </c>
      <c r="I13" s="3586">
        <v>0</v>
      </c>
      <c r="J13" s="3586" t="s">
        <v>3228</v>
      </c>
      <c r="K13" s="3586" t="s">
        <v>3228</v>
      </c>
      <c r="L13" s="3586" t="s">
        <v>2797</v>
      </c>
      <c r="M13" s="3586">
        <v>1147.72</v>
      </c>
      <c r="N13" s="3586">
        <v>1693.48</v>
      </c>
      <c r="P13" s="3586" t="s">
        <v>2797</v>
      </c>
      <c r="Q13" s="3586" t="s">
        <v>3229</v>
      </c>
      <c r="R13" s="3586" t="s">
        <v>3124</v>
      </c>
      <c r="S13" s="3596">
        <f t="shared" si="0"/>
        <v>33.869719405833912</v>
      </c>
    </row>
    <row r="14" spans="1:19">
      <c r="A14" s="3586" t="s">
        <v>3226</v>
      </c>
      <c r="B14" s="3586" t="s">
        <v>3193</v>
      </c>
      <c r="C14" s="3586" t="s">
        <v>3029</v>
      </c>
      <c r="D14" s="3586">
        <v>3402.02</v>
      </c>
      <c r="E14" s="3586">
        <v>1020.61</v>
      </c>
      <c r="F14" s="3586" t="s">
        <v>3194</v>
      </c>
      <c r="G14" s="3586" t="s">
        <v>3031</v>
      </c>
      <c r="H14" s="3586" t="s">
        <v>3032</v>
      </c>
      <c r="I14" s="3586">
        <v>0</v>
      </c>
      <c r="J14" s="3586" t="s">
        <v>3228</v>
      </c>
      <c r="K14" s="3586" t="s">
        <v>3228</v>
      </c>
      <c r="L14" s="3586" t="s">
        <v>2797</v>
      </c>
      <c r="M14" s="3586">
        <v>172.91</v>
      </c>
      <c r="N14" s="3586">
        <v>1694.27</v>
      </c>
      <c r="P14" s="3586" t="s">
        <v>2797</v>
      </c>
      <c r="Q14" s="3586" t="s">
        <v>3229</v>
      </c>
      <c r="R14" s="3586" t="s">
        <v>3124</v>
      </c>
      <c r="S14" s="3596">
        <f t="shared" si="0"/>
        <v>33.883960029629449</v>
      </c>
    </row>
    <row r="15" spans="1:19">
      <c r="A15" s="3586" t="s">
        <v>3230</v>
      </c>
      <c r="B15" s="3586" t="s">
        <v>3193</v>
      </c>
      <c r="C15" s="3586" t="s">
        <v>3029</v>
      </c>
      <c r="D15" s="3586">
        <v>3987.97</v>
      </c>
      <c r="E15" s="3586">
        <v>8733.65</v>
      </c>
      <c r="F15" s="3586" t="s">
        <v>3231</v>
      </c>
      <c r="G15" s="3586" t="s">
        <v>3031</v>
      </c>
      <c r="H15" s="3586" t="s">
        <v>3032</v>
      </c>
      <c r="I15" s="3586">
        <v>0</v>
      </c>
      <c r="J15" s="3586" t="s">
        <v>3232</v>
      </c>
      <c r="K15" s="3586" t="s">
        <v>3232</v>
      </c>
      <c r="L15" s="3586">
        <v>575.79999999999995</v>
      </c>
      <c r="M15" s="3586">
        <v>575.79999999999995</v>
      </c>
      <c r="N15" s="3586">
        <v>659.29</v>
      </c>
      <c r="P15" s="3586">
        <v>0</v>
      </c>
      <c r="Q15" s="3586" t="s">
        <v>3218</v>
      </c>
      <c r="R15" s="3586" t="s">
        <v>3111</v>
      </c>
      <c r="S15" s="3596">
        <f t="shared" si="0"/>
        <v>96.256638339806955</v>
      </c>
    </row>
    <row r="16" spans="1:19">
      <c r="A16" s="3586" t="s">
        <v>3233</v>
      </c>
      <c r="B16" s="3586" t="s">
        <v>3193</v>
      </c>
      <c r="C16" s="3586" t="s">
        <v>3029</v>
      </c>
      <c r="D16" s="3586">
        <v>66617.83</v>
      </c>
      <c r="E16" s="3586">
        <v>33308.92</v>
      </c>
      <c r="F16" s="3586" t="s">
        <v>3206</v>
      </c>
      <c r="G16" s="3586" t="s">
        <v>3031</v>
      </c>
      <c r="H16" s="3586" t="s">
        <v>3073</v>
      </c>
      <c r="I16" s="3586">
        <v>0</v>
      </c>
      <c r="J16" s="3586" t="s">
        <v>3234</v>
      </c>
      <c r="K16" s="3586" t="s">
        <v>3234</v>
      </c>
      <c r="L16" s="3586" t="s">
        <v>2797</v>
      </c>
      <c r="M16" s="3586">
        <v>7661.14</v>
      </c>
      <c r="N16" s="3586">
        <v>2300.0300000000002</v>
      </c>
      <c r="P16" s="3586" t="s">
        <v>2797</v>
      </c>
      <c r="Q16" s="3586" t="s">
        <v>3209</v>
      </c>
      <c r="R16" s="3586" t="s">
        <v>3034</v>
      </c>
      <c r="S16" s="3596">
        <f t="shared" si="0"/>
        <v>76.667946160960213</v>
      </c>
    </row>
    <row r="17" spans="1:19">
      <c r="A17" s="3586" t="s">
        <v>3233</v>
      </c>
      <c r="B17" s="3586" t="s">
        <v>3193</v>
      </c>
      <c r="C17" s="3586" t="s">
        <v>3029</v>
      </c>
      <c r="D17" s="3586">
        <v>68025.56</v>
      </c>
      <c r="E17" s="3586">
        <v>34012.78</v>
      </c>
      <c r="F17" s="3586" t="s">
        <v>3206</v>
      </c>
      <c r="G17" s="3586" t="s">
        <v>3031</v>
      </c>
      <c r="H17" s="3586" t="s">
        <v>3073</v>
      </c>
      <c r="I17" s="3586">
        <v>0</v>
      </c>
      <c r="J17" s="3586" t="s">
        <v>3235</v>
      </c>
      <c r="K17" s="3586" t="s">
        <v>3235</v>
      </c>
      <c r="L17" s="3586" t="s">
        <v>2797</v>
      </c>
      <c r="M17" s="3586">
        <v>7823.03</v>
      </c>
      <c r="N17" s="3586">
        <v>2300.0300000000002</v>
      </c>
      <c r="P17" s="3586" t="s">
        <v>2797</v>
      </c>
      <c r="Q17" s="3586" t="s">
        <v>3209</v>
      </c>
      <c r="R17" s="3586" t="s">
        <v>3034</v>
      </c>
      <c r="S17" s="3596">
        <f t="shared" si="0"/>
        <v>76.667937905987102</v>
      </c>
    </row>
    <row r="18" spans="1:19" s="3588" customFormat="1">
      <c r="A18" s="3588" t="s">
        <v>3360</v>
      </c>
      <c r="B18" s="3588" t="s">
        <v>3193</v>
      </c>
      <c r="C18" s="3588" t="s">
        <v>3029</v>
      </c>
      <c r="D18" s="3588">
        <v>4485.03</v>
      </c>
      <c r="E18" s="3588">
        <v>1121.26</v>
      </c>
      <c r="F18" s="3588" t="s">
        <v>3236</v>
      </c>
      <c r="G18" s="3588" t="s">
        <v>3031</v>
      </c>
      <c r="H18" s="3588" t="s">
        <v>3045</v>
      </c>
      <c r="I18" s="3588">
        <v>0</v>
      </c>
      <c r="J18" s="3588" t="s">
        <v>3237</v>
      </c>
      <c r="K18" s="3588" t="s">
        <v>3237</v>
      </c>
      <c r="L18" s="3588">
        <v>559.37</v>
      </c>
      <c r="M18" s="3588">
        <v>559.37</v>
      </c>
      <c r="N18" s="3588">
        <v>4988.8500000000004</v>
      </c>
      <c r="O18" s="3588">
        <f>N18*0.25</f>
        <v>1247.2125000000001</v>
      </c>
      <c r="P18" s="3588">
        <v>0</v>
      </c>
      <c r="Q18" s="3588" t="s">
        <v>3238</v>
      </c>
      <c r="R18" s="3588" t="s">
        <v>3034</v>
      </c>
      <c r="S18" s="3597">
        <f t="shared" si="0"/>
        <v>83.146645150645583</v>
      </c>
    </row>
    <row r="19" spans="1:19">
      <c r="A19" s="3586" t="s">
        <v>3239</v>
      </c>
      <c r="B19" s="3586" t="s">
        <v>3193</v>
      </c>
      <c r="C19" s="3586" t="s">
        <v>3029</v>
      </c>
      <c r="D19" s="3586">
        <v>5003.05</v>
      </c>
      <c r="E19" s="3586">
        <v>3001.83</v>
      </c>
      <c r="F19" s="3586" t="s">
        <v>3240</v>
      </c>
      <c r="G19" s="3586" t="s">
        <v>3031</v>
      </c>
      <c r="H19" s="3586" t="s">
        <v>3032</v>
      </c>
      <c r="I19" s="3586">
        <v>0</v>
      </c>
      <c r="J19" s="3586" t="s">
        <v>3241</v>
      </c>
      <c r="K19" s="3586" t="s">
        <v>3241</v>
      </c>
      <c r="L19" s="3586">
        <v>548.41999999999996</v>
      </c>
      <c r="M19" s="3586">
        <v>548.41999999999996</v>
      </c>
      <c r="N19" s="3586">
        <v>1826.99</v>
      </c>
      <c r="P19" s="3586">
        <v>0</v>
      </c>
      <c r="Q19" s="3586" t="s">
        <v>3242</v>
      </c>
      <c r="R19" s="3586" t="s">
        <v>3124</v>
      </c>
      <c r="S19" s="3596">
        <f t="shared" si="0"/>
        <v>73.078454422802082</v>
      </c>
    </row>
    <row r="20" spans="1:19">
      <c r="A20" s="3586" t="s">
        <v>3243</v>
      </c>
      <c r="B20" s="3586" t="s">
        <v>3193</v>
      </c>
      <c r="C20" s="3586" t="s">
        <v>3029</v>
      </c>
      <c r="D20" s="3586">
        <v>2798.66</v>
      </c>
      <c r="E20" s="3586">
        <v>5177.5200000000004</v>
      </c>
      <c r="F20" s="3586" t="s">
        <v>3244</v>
      </c>
      <c r="G20" s="3586" t="s">
        <v>3031</v>
      </c>
      <c r="H20" s="3586" t="s">
        <v>3032</v>
      </c>
      <c r="I20" s="3586">
        <v>0</v>
      </c>
      <c r="J20" s="3586" t="s">
        <v>3245</v>
      </c>
      <c r="K20" s="3586" t="s">
        <v>3245</v>
      </c>
      <c r="L20" s="3586">
        <v>348.87</v>
      </c>
      <c r="M20" s="3586">
        <v>348.87</v>
      </c>
      <c r="N20" s="3586">
        <v>673.82</v>
      </c>
      <c r="P20" s="3586">
        <v>0</v>
      </c>
      <c r="Q20" s="3586" t="s">
        <v>3218</v>
      </c>
      <c r="R20" s="3586" t="s">
        <v>3210</v>
      </c>
      <c r="S20" s="3596">
        <f t="shared" si="0"/>
        <v>83.104472461821018</v>
      </c>
    </row>
    <row r="21" spans="1:19">
      <c r="A21" s="3586" t="s">
        <v>3246</v>
      </c>
      <c r="B21" s="3586" t="s">
        <v>3193</v>
      </c>
      <c r="C21" s="3586" t="s">
        <v>3029</v>
      </c>
      <c r="D21" s="3586">
        <v>2400.4699999999998</v>
      </c>
      <c r="E21" s="3586">
        <v>2664.52</v>
      </c>
      <c r="F21" s="3586" t="s">
        <v>3247</v>
      </c>
      <c r="G21" s="3586" t="s">
        <v>3031</v>
      </c>
      <c r="H21" s="3586" t="s">
        <v>3032</v>
      </c>
      <c r="I21" s="3586">
        <v>0</v>
      </c>
      <c r="J21" s="3586" t="s">
        <v>3248</v>
      </c>
      <c r="K21" s="3586" t="s">
        <v>3248</v>
      </c>
      <c r="L21" s="3586">
        <v>482.82</v>
      </c>
      <c r="M21" s="3586">
        <v>482.82</v>
      </c>
      <c r="N21" s="3586">
        <v>1812.06</v>
      </c>
      <c r="P21" s="3586">
        <v>0</v>
      </c>
      <c r="Q21" s="3586" t="s">
        <v>3249</v>
      </c>
      <c r="R21" s="3586" t="s">
        <v>3210</v>
      </c>
      <c r="S21" s="3596">
        <f t="shared" si="0"/>
        <v>134.09107774727448</v>
      </c>
    </row>
    <row r="22" spans="1:19">
      <c r="A22" s="3586" t="s">
        <v>3250</v>
      </c>
      <c r="B22" s="3586" t="s">
        <v>3193</v>
      </c>
      <c r="C22" s="3586" t="s">
        <v>3029</v>
      </c>
      <c r="D22" s="3586">
        <v>4258.54</v>
      </c>
      <c r="E22" s="3586">
        <v>4514.05</v>
      </c>
      <c r="F22" s="3586" t="s">
        <v>3251</v>
      </c>
      <c r="G22" s="3586" t="s">
        <v>3031</v>
      </c>
      <c r="H22" s="3586" t="s">
        <v>3032</v>
      </c>
      <c r="I22" s="3586">
        <v>0</v>
      </c>
      <c r="J22" s="3586" t="s">
        <v>3252</v>
      </c>
      <c r="K22" s="3586" t="s">
        <v>3252</v>
      </c>
      <c r="L22" s="3586">
        <v>486.43</v>
      </c>
      <c r="M22" s="3586">
        <v>486.43</v>
      </c>
      <c r="N22" s="3586">
        <v>1077.58</v>
      </c>
      <c r="P22" s="3586">
        <v>0</v>
      </c>
      <c r="Q22" s="3586" t="s">
        <v>3253</v>
      </c>
      <c r="R22" s="3586" t="s">
        <v>3210</v>
      </c>
      <c r="S22" s="3596">
        <f t="shared" si="0"/>
        <v>76.150109685479052</v>
      </c>
    </row>
    <row r="23" spans="1:19">
      <c r="A23" s="3586" t="s">
        <v>3226</v>
      </c>
      <c r="B23" s="3586" t="s">
        <v>3193</v>
      </c>
      <c r="C23" s="3586" t="s">
        <v>3029</v>
      </c>
      <c r="D23" s="3586">
        <v>2891.07</v>
      </c>
      <c r="E23" s="3586">
        <v>2457.41</v>
      </c>
      <c r="F23" s="3586" t="s">
        <v>3254</v>
      </c>
      <c r="G23" s="3586" t="s">
        <v>3031</v>
      </c>
      <c r="H23" s="3586" t="s">
        <v>3032</v>
      </c>
      <c r="I23" s="3586">
        <v>0</v>
      </c>
      <c r="J23" s="3586" t="s">
        <v>3255</v>
      </c>
      <c r="K23" s="3586" t="s">
        <v>3255</v>
      </c>
      <c r="L23" s="3586">
        <v>146.96</v>
      </c>
      <c r="M23" s="3586">
        <v>146.96</v>
      </c>
      <c r="N23" s="3586">
        <v>598.07000000000005</v>
      </c>
      <c r="P23" s="3586">
        <v>0</v>
      </c>
      <c r="Q23" s="3586" t="s">
        <v>3256</v>
      </c>
      <c r="R23" s="3586" t="s">
        <v>3124</v>
      </c>
      <c r="S23" s="3596">
        <f t="shared" si="0"/>
        <v>33.888429958458289</v>
      </c>
    </row>
    <row r="24" spans="1:19">
      <c r="A24" s="3586" t="s">
        <v>3257</v>
      </c>
      <c r="B24" s="3586" t="s">
        <v>3193</v>
      </c>
      <c r="C24" s="3586" t="s">
        <v>3029</v>
      </c>
      <c r="D24" s="3586">
        <v>26856.73</v>
      </c>
      <c r="E24" s="3586">
        <v>120855.29</v>
      </c>
      <c r="F24" s="3586" t="s">
        <v>3258</v>
      </c>
      <c r="G24" s="3586" t="s">
        <v>3031</v>
      </c>
      <c r="H24" s="3586" t="s">
        <v>3032</v>
      </c>
      <c r="I24" s="3586">
        <v>0</v>
      </c>
      <c r="J24" s="3586" t="s">
        <v>3259</v>
      </c>
      <c r="K24" s="3586" t="s">
        <v>3259</v>
      </c>
      <c r="L24" s="3586">
        <v>3828.61</v>
      </c>
      <c r="M24" s="3586">
        <v>3828.61</v>
      </c>
      <c r="N24" s="3586">
        <v>316.79000000000002</v>
      </c>
      <c r="P24" s="3586">
        <v>0</v>
      </c>
      <c r="Q24" s="3586" t="s">
        <v>3260</v>
      </c>
      <c r="R24" s="3586" t="s">
        <v>3106</v>
      </c>
      <c r="S24" s="3596">
        <f t="shared" si="0"/>
        <v>95.038354583748657</v>
      </c>
    </row>
    <row r="25" spans="1:19">
      <c r="A25" s="3586" t="s">
        <v>3261</v>
      </c>
      <c r="B25" s="3586" t="s">
        <v>3193</v>
      </c>
      <c r="C25" s="3586" t="s">
        <v>3029</v>
      </c>
      <c r="D25" s="3586">
        <v>2459.9499999999998</v>
      </c>
      <c r="E25" s="3586">
        <v>2459.9499999999998</v>
      </c>
      <c r="F25" s="3586" t="s">
        <v>3041</v>
      </c>
      <c r="G25" s="3586" t="s">
        <v>3031</v>
      </c>
      <c r="H25" s="3586" t="s">
        <v>3032</v>
      </c>
      <c r="I25" s="3586">
        <v>0</v>
      </c>
      <c r="J25" s="3586" t="s">
        <v>3262</v>
      </c>
      <c r="K25" s="3586" t="s">
        <v>3262</v>
      </c>
      <c r="L25" s="3586">
        <v>29.87</v>
      </c>
      <c r="M25" s="3586">
        <v>29.87</v>
      </c>
      <c r="N25" s="3586">
        <v>121.43</v>
      </c>
      <c r="P25" s="3586">
        <v>0</v>
      </c>
      <c r="Q25" s="3586" t="s">
        <v>3263</v>
      </c>
      <c r="R25" s="3586" t="s">
        <v>3210</v>
      </c>
      <c r="S25" s="3596">
        <f t="shared" si="0"/>
        <v>8.0950559564218789</v>
      </c>
    </row>
    <row r="26" spans="1:19" s="3588" customFormat="1">
      <c r="A26" s="3588" t="s">
        <v>3361</v>
      </c>
      <c r="B26" s="3588" t="s">
        <v>3193</v>
      </c>
      <c r="C26" s="3588" t="s">
        <v>3029</v>
      </c>
      <c r="D26" s="3588">
        <v>3989.14</v>
      </c>
      <c r="E26" s="3588">
        <v>1436.09</v>
      </c>
      <c r="F26" s="3588" t="s">
        <v>3264</v>
      </c>
      <c r="G26" s="3588" t="s">
        <v>3031</v>
      </c>
      <c r="H26" s="3588" t="s">
        <v>3032</v>
      </c>
      <c r="I26" s="3588">
        <v>0</v>
      </c>
      <c r="J26" s="3588" t="s">
        <v>3265</v>
      </c>
      <c r="K26" s="3588" t="s">
        <v>3265</v>
      </c>
      <c r="L26" s="3588">
        <v>455.66</v>
      </c>
      <c r="M26" s="3588">
        <v>455.66</v>
      </c>
      <c r="N26" s="3588">
        <v>3172.92</v>
      </c>
      <c r="O26" s="3588">
        <f>N26*0.36</f>
        <v>1142.2511999999999</v>
      </c>
      <c r="P26" s="3588">
        <v>0</v>
      </c>
      <c r="Q26" s="3588" t="s">
        <v>3266</v>
      </c>
      <c r="R26" s="3588" t="s">
        <v>3210</v>
      </c>
      <c r="S26" s="3597">
        <f t="shared" si="0"/>
        <v>76.150461553116713</v>
      </c>
    </row>
    <row r="27" spans="1:19">
      <c r="A27" s="3586" t="s">
        <v>3267</v>
      </c>
      <c r="B27" s="3586" t="s">
        <v>3193</v>
      </c>
      <c r="C27" s="3586" t="s">
        <v>3029</v>
      </c>
      <c r="D27" s="3586">
        <v>7014.12</v>
      </c>
      <c r="E27" s="3586">
        <v>41032.6</v>
      </c>
      <c r="F27" s="3586" t="s">
        <v>3268</v>
      </c>
      <c r="G27" s="3586" t="s">
        <v>3031</v>
      </c>
      <c r="H27" s="3586" t="s">
        <v>3032</v>
      </c>
      <c r="I27" s="3586">
        <v>0</v>
      </c>
      <c r="J27" s="3586" t="s">
        <v>3269</v>
      </c>
      <c r="K27" s="3586" t="s">
        <v>3269</v>
      </c>
      <c r="L27" s="3586">
        <v>6517.4</v>
      </c>
      <c r="M27" s="3586">
        <v>6517.4</v>
      </c>
      <c r="N27" s="3586">
        <v>1588.34</v>
      </c>
      <c r="P27" s="3586">
        <v>0</v>
      </c>
      <c r="Q27" s="3586" t="s">
        <v>3270</v>
      </c>
      <c r="R27" s="3586" t="s">
        <v>3210</v>
      </c>
      <c r="S27" s="3596">
        <f t="shared" si="0"/>
        <v>619.45832948395514</v>
      </c>
    </row>
    <row r="28" spans="1:19">
      <c r="A28" s="3586" t="s">
        <v>3271</v>
      </c>
      <c r="B28" s="3586" t="s">
        <v>3193</v>
      </c>
      <c r="C28" s="3586" t="s">
        <v>3029</v>
      </c>
      <c r="D28" s="3586">
        <v>2718.58</v>
      </c>
      <c r="E28" s="3586">
        <v>2772.95</v>
      </c>
      <c r="F28" s="3586" t="s">
        <v>3272</v>
      </c>
      <c r="G28" s="3586" t="s">
        <v>3031</v>
      </c>
      <c r="H28" s="3586" t="s">
        <v>3032</v>
      </c>
      <c r="I28" s="3586">
        <v>0</v>
      </c>
      <c r="J28" s="3586" t="s">
        <v>3273</v>
      </c>
      <c r="K28" s="3586" t="s">
        <v>3273</v>
      </c>
      <c r="L28" s="3586">
        <v>332.85</v>
      </c>
      <c r="M28" s="3586">
        <v>332.85</v>
      </c>
      <c r="N28" s="3586">
        <v>1200.3399999999999</v>
      </c>
      <c r="P28" s="3586">
        <v>0</v>
      </c>
      <c r="Q28" s="3586" t="s">
        <v>3274</v>
      </c>
      <c r="R28" s="3586" t="s">
        <v>3111</v>
      </c>
      <c r="S28" s="3596">
        <f t="shared" si="0"/>
        <v>81.623902735987173</v>
      </c>
    </row>
    <row r="29" spans="1:19">
      <c r="A29" s="3586" t="s">
        <v>3275</v>
      </c>
      <c r="B29" s="3586" t="s">
        <v>3193</v>
      </c>
      <c r="C29" s="3586" t="s">
        <v>3029</v>
      </c>
      <c r="D29" s="3586">
        <v>67236.600000000006</v>
      </c>
      <c r="E29" s="3586">
        <v>108923.3</v>
      </c>
      <c r="F29" s="3586" t="s">
        <v>3276</v>
      </c>
      <c r="G29" s="3586" t="s">
        <v>3031</v>
      </c>
      <c r="H29" s="3586" t="s">
        <v>3032</v>
      </c>
      <c r="I29" s="3586">
        <v>0</v>
      </c>
      <c r="J29" s="3586" t="s">
        <v>3277</v>
      </c>
      <c r="K29" s="3586" t="s">
        <v>3277</v>
      </c>
      <c r="L29" s="3586">
        <v>3713.88</v>
      </c>
      <c r="M29" s="3586">
        <v>3713.88</v>
      </c>
      <c r="N29" s="3586">
        <v>340.95</v>
      </c>
      <c r="P29" s="3586">
        <v>0</v>
      </c>
      <c r="Q29" s="3586" t="s">
        <v>3278</v>
      </c>
      <c r="R29" s="3586" t="s">
        <v>3124</v>
      </c>
      <c r="S29" s="3596">
        <f t="shared" si="0"/>
        <v>36.824175814957918</v>
      </c>
    </row>
    <row r="30" spans="1:19">
      <c r="A30" s="3586" t="s">
        <v>3279</v>
      </c>
      <c r="B30" s="3586" t="s">
        <v>3193</v>
      </c>
      <c r="C30" s="3586" t="s">
        <v>3029</v>
      </c>
      <c r="D30" s="3586">
        <v>14296.58</v>
      </c>
      <c r="E30" s="3586">
        <v>36599.24</v>
      </c>
      <c r="F30" s="3586" t="s">
        <v>3280</v>
      </c>
      <c r="G30" s="3586" t="s">
        <v>3031</v>
      </c>
      <c r="H30" s="3586" t="s">
        <v>3032</v>
      </c>
      <c r="I30" s="3586">
        <v>0</v>
      </c>
      <c r="J30" s="3586" t="s">
        <v>3281</v>
      </c>
      <c r="K30" s="3586" t="s">
        <v>3281</v>
      </c>
      <c r="L30" s="3586">
        <v>1181.45</v>
      </c>
      <c r="M30" s="3586">
        <v>1181.45</v>
      </c>
      <c r="N30" s="3586">
        <v>322.81</v>
      </c>
      <c r="P30" s="3586">
        <v>0</v>
      </c>
      <c r="Q30" s="3586" t="s">
        <v>3282</v>
      </c>
      <c r="R30" s="3586" t="s">
        <v>3210</v>
      </c>
      <c r="S30" s="3596">
        <f t="shared" si="0"/>
        <v>55.092705493201869</v>
      </c>
    </row>
    <row r="31" spans="1:19">
      <c r="A31" s="3586" t="s">
        <v>3283</v>
      </c>
      <c r="B31" s="3586" t="s">
        <v>3193</v>
      </c>
      <c r="C31" s="3586" t="s">
        <v>3029</v>
      </c>
      <c r="D31" s="3586">
        <v>3634.32</v>
      </c>
      <c r="E31" s="3586">
        <v>1090.3</v>
      </c>
      <c r="F31" s="3586" t="s">
        <v>3194</v>
      </c>
      <c r="G31" s="3586" t="s">
        <v>3031</v>
      </c>
      <c r="H31" s="3586" t="s">
        <v>3186</v>
      </c>
      <c r="I31" s="3586">
        <v>0</v>
      </c>
      <c r="J31" s="3586" t="s">
        <v>3284</v>
      </c>
      <c r="K31" s="3586" t="s">
        <v>3284</v>
      </c>
      <c r="L31" s="3586">
        <v>410.05</v>
      </c>
      <c r="M31" s="3586">
        <v>410.05</v>
      </c>
      <c r="N31" s="3586">
        <v>3760.88</v>
      </c>
      <c r="O31" s="3586">
        <f>N31*0.3</f>
        <v>1128.2639999999999</v>
      </c>
      <c r="P31" s="3586">
        <v>0</v>
      </c>
      <c r="Q31" s="3586" t="s">
        <v>3285</v>
      </c>
      <c r="R31" s="3586" t="s">
        <v>3106</v>
      </c>
      <c r="S31" s="3596">
        <f t="shared" si="0"/>
        <v>75.218481999383641</v>
      </c>
    </row>
    <row r="32" spans="1:19">
      <c r="A32" s="3586" t="s">
        <v>3286</v>
      </c>
      <c r="B32" s="3586" t="s">
        <v>3193</v>
      </c>
      <c r="C32" s="3586" t="s">
        <v>3029</v>
      </c>
      <c r="D32" s="3586">
        <v>32250.07</v>
      </c>
      <c r="E32" s="3586">
        <v>88687.69</v>
      </c>
      <c r="F32" s="3586" t="s">
        <v>3287</v>
      </c>
      <c r="G32" s="3586" t="s">
        <v>3031</v>
      </c>
      <c r="H32" s="3586" t="s">
        <v>3032</v>
      </c>
      <c r="I32" s="3586">
        <v>0</v>
      </c>
      <c r="J32" s="3586" t="s">
        <v>3288</v>
      </c>
      <c r="K32" s="3586" t="s">
        <v>3288</v>
      </c>
      <c r="L32" s="3586">
        <v>2261.8000000000002</v>
      </c>
      <c r="M32" s="3586">
        <v>2261.8000000000002</v>
      </c>
      <c r="N32" s="3586">
        <v>255.03</v>
      </c>
      <c r="P32" s="3586">
        <v>0</v>
      </c>
      <c r="Q32" s="3586" t="s">
        <v>3289</v>
      </c>
      <c r="R32" s="3586" t="s">
        <v>3106</v>
      </c>
      <c r="S32" s="3596">
        <f t="shared" si="0"/>
        <v>46.7556878481194</v>
      </c>
    </row>
    <row r="33" spans="1:19">
      <c r="A33" s="3586" t="s">
        <v>3290</v>
      </c>
      <c r="B33" s="3586" t="s">
        <v>3193</v>
      </c>
      <c r="C33" s="3586" t="s">
        <v>3029</v>
      </c>
      <c r="D33" s="3586">
        <v>5899.19</v>
      </c>
      <c r="E33" s="3586">
        <v>5309.27</v>
      </c>
      <c r="F33" s="3586" t="s">
        <v>3291</v>
      </c>
      <c r="G33" s="3586" t="s">
        <v>3031</v>
      </c>
      <c r="H33" s="3586" t="s">
        <v>3032</v>
      </c>
      <c r="I33" s="3586">
        <v>0</v>
      </c>
      <c r="J33" s="3586" t="s">
        <v>3292</v>
      </c>
      <c r="K33" s="3586" t="s">
        <v>3292</v>
      </c>
      <c r="L33" s="3586">
        <v>252.52</v>
      </c>
      <c r="M33" s="3586">
        <v>252.52</v>
      </c>
      <c r="N33" s="3586">
        <v>475.62</v>
      </c>
      <c r="P33" s="3586">
        <v>0</v>
      </c>
      <c r="Q33" s="3586" t="s">
        <v>3293</v>
      </c>
      <c r="R33" s="3586" t="s">
        <v>3124</v>
      </c>
      <c r="S33" s="3596">
        <f t="shared" si="0"/>
        <v>28.537393845595755</v>
      </c>
    </row>
    <row r="34" spans="1:19">
      <c r="A34" s="3586" t="s">
        <v>3294</v>
      </c>
      <c r="B34" s="3586" t="s">
        <v>3193</v>
      </c>
      <c r="C34" s="3586" t="s">
        <v>3029</v>
      </c>
      <c r="D34" s="3586">
        <v>4080.32</v>
      </c>
      <c r="E34" s="3586">
        <v>4080.32</v>
      </c>
      <c r="F34" s="3586" t="s">
        <v>3295</v>
      </c>
      <c r="G34" s="3586" t="s">
        <v>3031</v>
      </c>
      <c r="H34" s="3586" t="s">
        <v>3032</v>
      </c>
      <c r="I34" s="3586">
        <v>0</v>
      </c>
      <c r="J34" s="3586" t="s">
        <v>3296</v>
      </c>
      <c r="K34" s="3586" t="s">
        <v>3296</v>
      </c>
      <c r="L34" s="3586">
        <v>415.48</v>
      </c>
      <c r="M34" s="3586">
        <v>415.48</v>
      </c>
      <c r="N34" s="3586">
        <v>1018.25</v>
      </c>
      <c r="O34" s="3586">
        <f>N34</f>
        <v>1018.25</v>
      </c>
      <c r="P34" s="3586">
        <v>0</v>
      </c>
      <c r="Q34" s="3586" t="s">
        <v>3297</v>
      </c>
      <c r="R34" s="3586" t="s">
        <v>3210</v>
      </c>
    </row>
    <row r="35" spans="1:19">
      <c r="A35" s="3586" t="s">
        <v>3298</v>
      </c>
      <c r="B35" s="3586" t="s">
        <v>3193</v>
      </c>
      <c r="C35" s="3586" t="s">
        <v>3029</v>
      </c>
      <c r="D35" s="3586">
        <v>10176.67</v>
      </c>
      <c r="E35" s="3586">
        <v>55971.69</v>
      </c>
      <c r="F35" s="3586" t="s">
        <v>3299</v>
      </c>
      <c r="G35" s="3586" t="s">
        <v>3031</v>
      </c>
      <c r="H35" s="3586" t="s">
        <v>3186</v>
      </c>
      <c r="I35" s="3586">
        <v>0</v>
      </c>
      <c r="J35" s="3586" t="s">
        <v>3300</v>
      </c>
      <c r="K35" s="3586" t="s">
        <v>3300</v>
      </c>
      <c r="L35" s="3586">
        <v>10288.700000000001</v>
      </c>
      <c r="M35" s="3586">
        <v>10288.700000000001</v>
      </c>
      <c r="N35" s="3586">
        <v>1838.2</v>
      </c>
      <c r="P35" s="3586">
        <v>0</v>
      </c>
      <c r="Q35" s="3586" t="s">
        <v>3301</v>
      </c>
      <c r="R35" s="3586" t="s">
        <v>3210</v>
      </c>
    </row>
    <row r="36" spans="1:19">
      <c r="A36" s="3586" t="s">
        <v>3302</v>
      </c>
      <c r="B36" s="3586" t="s">
        <v>3193</v>
      </c>
      <c r="C36" s="3586" t="s">
        <v>3029</v>
      </c>
      <c r="D36" s="3586">
        <v>3341.37</v>
      </c>
      <c r="E36" s="3586">
        <v>8019.29</v>
      </c>
      <c r="F36" s="3586" t="s">
        <v>3303</v>
      </c>
      <c r="G36" s="3586" t="s">
        <v>3031</v>
      </c>
      <c r="H36" s="3586" t="s">
        <v>3304</v>
      </c>
      <c r="I36" s="3586">
        <v>0</v>
      </c>
      <c r="J36" s="3586" t="s">
        <v>3305</v>
      </c>
      <c r="K36" s="3586" t="s">
        <v>3305</v>
      </c>
      <c r="L36" s="3586">
        <v>684.71</v>
      </c>
      <c r="M36" s="3586">
        <v>684.71</v>
      </c>
      <c r="N36" s="3586">
        <v>853.83</v>
      </c>
      <c r="P36" s="3586">
        <v>0</v>
      </c>
      <c r="Q36" s="3586" t="s">
        <v>3306</v>
      </c>
      <c r="R36" s="3586" t="s">
        <v>3210</v>
      </c>
    </row>
    <row r="37" spans="1:19">
      <c r="A37" s="3586" t="s">
        <v>3226</v>
      </c>
      <c r="B37" s="3586" t="s">
        <v>3193</v>
      </c>
      <c r="C37" s="3586" t="s">
        <v>3029</v>
      </c>
      <c r="D37" s="3586">
        <v>13996</v>
      </c>
      <c r="E37" s="3586">
        <v>15955.44</v>
      </c>
      <c r="F37" s="3586" t="s">
        <v>3307</v>
      </c>
      <c r="G37" s="3586" t="s">
        <v>3031</v>
      </c>
      <c r="H37" s="3586" t="s">
        <v>3304</v>
      </c>
      <c r="I37" s="3586">
        <v>0</v>
      </c>
      <c r="J37" s="3586" t="s">
        <v>3308</v>
      </c>
      <c r="K37" s="3586" t="s">
        <v>3308</v>
      </c>
      <c r="L37" s="3586">
        <v>711.1</v>
      </c>
      <c r="M37" s="3586">
        <v>711.1</v>
      </c>
      <c r="N37" s="3586">
        <v>445.68</v>
      </c>
      <c r="P37" s="3586">
        <v>0</v>
      </c>
      <c r="Q37" s="3586" t="s">
        <v>3227</v>
      </c>
      <c r="R37" s="3586" t="s">
        <v>3124</v>
      </c>
    </row>
    <row r="38" spans="1:19">
      <c r="A38" s="3586" t="s">
        <v>3309</v>
      </c>
      <c r="B38" s="3586" t="s">
        <v>3193</v>
      </c>
      <c r="C38" s="3586" t="s">
        <v>3029</v>
      </c>
      <c r="D38" s="3586">
        <v>8845.14</v>
      </c>
      <c r="E38" s="3586">
        <v>33965.339999999997</v>
      </c>
      <c r="F38" s="3586" t="s">
        <v>3310</v>
      </c>
      <c r="G38" s="3586" t="s">
        <v>3031</v>
      </c>
      <c r="H38" s="3586" t="s">
        <v>3032</v>
      </c>
      <c r="I38" s="3586">
        <v>0</v>
      </c>
      <c r="J38" s="3586" t="s">
        <v>3311</v>
      </c>
      <c r="K38" s="3586" t="s">
        <v>3311</v>
      </c>
      <c r="L38" s="3586">
        <v>5758.18</v>
      </c>
      <c r="M38" s="3586">
        <v>5758.18</v>
      </c>
      <c r="N38" s="3586">
        <v>1695.3</v>
      </c>
      <c r="P38" s="3586">
        <v>0</v>
      </c>
      <c r="Q38" s="3586" t="s">
        <v>3312</v>
      </c>
      <c r="R38" s="3586" t="s">
        <v>3124</v>
      </c>
    </row>
    <row r="39" spans="1:19">
      <c r="A39" s="3586" t="s">
        <v>3309</v>
      </c>
      <c r="B39" s="3586" t="s">
        <v>3193</v>
      </c>
      <c r="C39" s="3586" t="s">
        <v>3029</v>
      </c>
      <c r="D39" s="3586">
        <v>8845.14</v>
      </c>
      <c r="E39" s="3586">
        <v>33965.339999999997</v>
      </c>
      <c r="F39" s="3586" t="s">
        <v>3310</v>
      </c>
      <c r="G39" s="3586" t="s">
        <v>3031</v>
      </c>
      <c r="H39" s="3586" t="s">
        <v>3304</v>
      </c>
      <c r="I39" s="3586">
        <v>0</v>
      </c>
      <c r="J39" s="3586" t="s">
        <v>3313</v>
      </c>
      <c r="K39" s="3586" t="s">
        <v>3311</v>
      </c>
      <c r="L39" s="3586">
        <v>5758.18</v>
      </c>
      <c r="M39" s="3586">
        <v>5758.18</v>
      </c>
      <c r="N39" s="3586">
        <v>1695.3</v>
      </c>
      <c r="P39" s="3586">
        <v>0</v>
      </c>
      <c r="Q39" s="3586" t="s">
        <v>3312</v>
      </c>
      <c r="R39" s="3586" t="s">
        <v>3124</v>
      </c>
    </row>
    <row r="40" spans="1:19">
      <c r="A40" s="3586" t="s">
        <v>3314</v>
      </c>
      <c r="B40" s="3586" t="s">
        <v>3193</v>
      </c>
      <c r="C40" s="3586" t="s">
        <v>3029</v>
      </c>
      <c r="D40" s="3586">
        <v>4215</v>
      </c>
      <c r="E40" s="3586">
        <v>843</v>
      </c>
      <c r="F40" s="3586" t="s">
        <v>3315</v>
      </c>
      <c r="G40" s="3586" t="s">
        <v>3031</v>
      </c>
      <c r="H40" s="3586" t="s">
        <v>3186</v>
      </c>
      <c r="I40" s="3586">
        <v>0</v>
      </c>
      <c r="J40" s="3586" t="s">
        <v>3316</v>
      </c>
      <c r="K40" s="3586" t="s">
        <v>3316</v>
      </c>
      <c r="L40" s="3586">
        <v>416.8</v>
      </c>
      <c r="M40" s="3586">
        <v>416.8</v>
      </c>
      <c r="N40" s="3586">
        <v>4944.25</v>
      </c>
      <c r="P40" s="3586">
        <v>0</v>
      </c>
      <c r="Q40" s="3586" t="s">
        <v>3225</v>
      </c>
      <c r="R40" s="3586" t="s">
        <v>3124</v>
      </c>
    </row>
    <row r="41" spans="1:19">
      <c r="A41" s="3586" t="s">
        <v>3317</v>
      </c>
      <c r="B41" s="3586" t="s">
        <v>3193</v>
      </c>
      <c r="C41" s="3586" t="s">
        <v>3029</v>
      </c>
      <c r="D41" s="3586">
        <v>4362.32</v>
      </c>
      <c r="E41" s="3586">
        <v>6499.86</v>
      </c>
      <c r="F41" s="3586" t="s">
        <v>3318</v>
      </c>
      <c r="G41" s="3586" t="s">
        <v>3031</v>
      </c>
      <c r="H41" s="3586" t="s">
        <v>3304</v>
      </c>
      <c r="I41" s="3586">
        <v>0</v>
      </c>
      <c r="J41" s="3586" t="s">
        <v>3319</v>
      </c>
      <c r="K41" s="3586" t="s">
        <v>3319</v>
      </c>
      <c r="L41" s="3586">
        <v>222.8</v>
      </c>
      <c r="M41" s="3586">
        <v>222.8</v>
      </c>
      <c r="N41" s="3586">
        <v>342.77</v>
      </c>
      <c r="P41" s="3586">
        <v>0</v>
      </c>
      <c r="Q41" s="3586" t="s">
        <v>3227</v>
      </c>
      <c r="R41" s="3586" t="s">
        <v>3124</v>
      </c>
    </row>
    <row r="42" spans="1:19">
      <c r="A42" s="3586" t="s">
        <v>3320</v>
      </c>
      <c r="B42" s="3586" t="s">
        <v>3193</v>
      </c>
      <c r="C42" s="3586" t="s">
        <v>3029</v>
      </c>
      <c r="D42" s="3586">
        <v>15301.36</v>
      </c>
      <c r="E42" s="3586">
        <v>44832.98</v>
      </c>
      <c r="F42" s="3586" t="s">
        <v>3321</v>
      </c>
      <c r="G42" s="3586" t="s">
        <v>3031</v>
      </c>
      <c r="H42" s="3586" t="s">
        <v>3186</v>
      </c>
      <c r="I42" s="3586">
        <v>0</v>
      </c>
      <c r="J42" s="3586" t="s">
        <v>3322</v>
      </c>
      <c r="K42" s="3586" t="s">
        <v>3323</v>
      </c>
      <c r="L42" s="3586">
        <v>5304.3</v>
      </c>
      <c r="M42" s="3586">
        <v>5304.3</v>
      </c>
      <c r="N42" s="3586">
        <v>1183.1099999999999</v>
      </c>
      <c r="P42" s="3586">
        <v>0</v>
      </c>
      <c r="Q42" s="3586" t="s">
        <v>3218</v>
      </c>
      <c r="R42" s="3586" t="s">
        <v>3210</v>
      </c>
    </row>
    <row r="43" spans="1:19">
      <c r="A43" s="3586" t="s">
        <v>3324</v>
      </c>
      <c r="B43" s="3586" t="s">
        <v>3193</v>
      </c>
      <c r="C43" s="3586" t="s">
        <v>3029</v>
      </c>
      <c r="D43" s="3586">
        <v>3113.66</v>
      </c>
      <c r="E43" s="3586">
        <v>311.37</v>
      </c>
      <c r="F43" s="3586" t="s">
        <v>3325</v>
      </c>
      <c r="G43" s="3586" t="s">
        <v>3031</v>
      </c>
      <c r="H43" s="3586" t="s">
        <v>3186</v>
      </c>
      <c r="I43" s="3586">
        <v>0</v>
      </c>
      <c r="J43" s="3586" t="s">
        <v>3326</v>
      </c>
      <c r="K43" s="3586" t="s">
        <v>3326</v>
      </c>
      <c r="L43" s="3586">
        <v>446.19</v>
      </c>
      <c r="M43" s="3586">
        <v>446.19</v>
      </c>
      <c r="N43" s="3586">
        <v>14330.21</v>
      </c>
      <c r="P43" s="3586">
        <v>0</v>
      </c>
      <c r="Q43" s="3586" t="s">
        <v>3238</v>
      </c>
      <c r="R43" s="3586" t="s">
        <v>3111</v>
      </c>
    </row>
    <row r="44" spans="1:19">
      <c r="A44" s="3586" t="s">
        <v>3327</v>
      </c>
      <c r="B44" s="3586" t="s">
        <v>3193</v>
      </c>
      <c r="C44" s="3586" t="s">
        <v>3029</v>
      </c>
      <c r="D44" s="3586">
        <v>2812.08</v>
      </c>
      <c r="E44" s="3586">
        <v>9561.07</v>
      </c>
      <c r="F44" s="3586" t="s">
        <v>3328</v>
      </c>
      <c r="G44" s="3586" t="s">
        <v>3031</v>
      </c>
      <c r="H44" s="3586" t="s">
        <v>3032</v>
      </c>
      <c r="I44" s="3586">
        <v>0</v>
      </c>
      <c r="J44" s="3586" t="s">
        <v>3329</v>
      </c>
      <c r="K44" s="3586" t="s">
        <v>3329</v>
      </c>
      <c r="L44" s="3586" t="s">
        <v>2797</v>
      </c>
      <c r="M44" s="3586">
        <v>1343.09</v>
      </c>
      <c r="N44" s="3586">
        <v>1404.75</v>
      </c>
      <c r="P44" s="3586" t="s">
        <v>2797</v>
      </c>
      <c r="Q44" s="3586" t="s">
        <v>3330</v>
      </c>
      <c r="R44" s="3586" t="s">
        <v>3210</v>
      </c>
    </row>
    <row r="45" spans="1:19">
      <c r="A45" s="3586" t="s">
        <v>3331</v>
      </c>
      <c r="B45" s="3586" t="s">
        <v>3193</v>
      </c>
      <c r="C45" s="3586" t="s">
        <v>3029</v>
      </c>
      <c r="D45" s="3586">
        <v>4726.33</v>
      </c>
      <c r="E45" s="3586">
        <v>945.27</v>
      </c>
      <c r="F45" s="3586" t="s">
        <v>3332</v>
      </c>
      <c r="G45" s="3586" t="s">
        <v>3031</v>
      </c>
      <c r="H45" s="3586" t="s">
        <v>3032</v>
      </c>
      <c r="I45" s="3586">
        <v>0</v>
      </c>
      <c r="J45" s="3586" t="s">
        <v>3333</v>
      </c>
      <c r="K45" s="3586" t="s">
        <v>3333</v>
      </c>
      <c r="L45" s="3586" t="s">
        <v>2797</v>
      </c>
      <c r="M45" s="3586">
        <v>263.60000000000002</v>
      </c>
      <c r="N45" s="3586">
        <v>2788.61</v>
      </c>
      <c r="P45" s="3586" t="s">
        <v>2797</v>
      </c>
      <c r="Q45" s="3586" t="s">
        <v>3334</v>
      </c>
      <c r="R45" s="3586" t="s">
        <v>3106</v>
      </c>
    </row>
    <row r="46" spans="1:19">
      <c r="A46" s="3586" t="s">
        <v>3335</v>
      </c>
      <c r="B46" s="3586" t="s">
        <v>3193</v>
      </c>
      <c r="C46" s="3586" t="s">
        <v>3126</v>
      </c>
      <c r="D46" s="3586">
        <v>94035.91</v>
      </c>
      <c r="E46" s="3586">
        <v>18807.18</v>
      </c>
      <c r="F46" s="3586" t="s">
        <v>3336</v>
      </c>
      <c r="G46" s="3586" t="s">
        <v>3031</v>
      </c>
      <c r="H46" s="3586" t="s">
        <v>3337</v>
      </c>
      <c r="I46" s="3586">
        <v>0</v>
      </c>
      <c r="J46" s="3586" t="s">
        <v>3338</v>
      </c>
      <c r="K46" s="3586" t="s">
        <v>3338</v>
      </c>
      <c r="L46" s="3586">
        <v>1950</v>
      </c>
      <c r="M46" s="3586">
        <v>3921.3</v>
      </c>
      <c r="N46" s="3586">
        <v>2085</v>
      </c>
      <c r="P46" s="3586">
        <v>101.09</v>
      </c>
      <c r="Q46" s="3586" t="s">
        <v>3339</v>
      </c>
      <c r="R46" s="3586" t="s">
        <v>3034</v>
      </c>
    </row>
    <row r="47" spans="1:19">
      <c r="A47" s="3586" t="s">
        <v>3335</v>
      </c>
      <c r="B47" s="3586" t="s">
        <v>3193</v>
      </c>
      <c r="C47" s="3586" t="s">
        <v>3126</v>
      </c>
      <c r="D47" s="3586">
        <v>82916.19</v>
      </c>
      <c r="E47" s="3586">
        <v>16583.240000000002</v>
      </c>
      <c r="F47" s="3586" t="s">
        <v>3336</v>
      </c>
      <c r="G47" s="3586" t="s">
        <v>3031</v>
      </c>
      <c r="H47" s="3586" t="s">
        <v>3337</v>
      </c>
      <c r="I47" s="3586">
        <v>0</v>
      </c>
      <c r="J47" s="3586" t="s">
        <v>3338</v>
      </c>
      <c r="K47" s="3586" t="s">
        <v>3338</v>
      </c>
      <c r="L47" s="3586">
        <v>3772.69</v>
      </c>
      <c r="M47" s="3586">
        <v>3772.69</v>
      </c>
      <c r="N47" s="3586">
        <v>2275</v>
      </c>
      <c r="P47" s="3586">
        <v>0</v>
      </c>
      <c r="Q47" s="3586" t="s">
        <v>3340</v>
      </c>
      <c r="R47" s="3586" t="s">
        <v>3034</v>
      </c>
    </row>
    <row r="48" spans="1:19">
      <c r="A48" s="3586" t="s">
        <v>3341</v>
      </c>
      <c r="B48" s="3586" t="s">
        <v>3193</v>
      </c>
      <c r="C48" s="3586" t="s">
        <v>3029</v>
      </c>
      <c r="D48" s="3586">
        <v>3653.01</v>
      </c>
      <c r="E48" s="3586">
        <v>7306.02</v>
      </c>
      <c r="F48" s="3586" t="s">
        <v>3072</v>
      </c>
      <c r="G48" s="3586" t="s">
        <v>3031</v>
      </c>
      <c r="H48" s="3586" t="s">
        <v>3032</v>
      </c>
      <c r="I48" s="3586">
        <v>0</v>
      </c>
      <c r="J48" s="3586" t="s">
        <v>3342</v>
      </c>
      <c r="K48" s="3586" t="s">
        <v>3342</v>
      </c>
      <c r="L48" s="3586">
        <v>184.09</v>
      </c>
      <c r="M48" s="3586">
        <v>184.09</v>
      </c>
      <c r="N48" s="3586">
        <v>251.97</v>
      </c>
      <c r="P48" s="3586">
        <v>0</v>
      </c>
      <c r="Q48" s="3586" t="s">
        <v>3227</v>
      </c>
      <c r="R48" s="3586" t="s">
        <v>3124</v>
      </c>
    </row>
    <row r="49" spans="1:18">
      <c r="A49" s="3586" t="s">
        <v>3343</v>
      </c>
      <c r="B49" s="3586" t="s">
        <v>3193</v>
      </c>
      <c r="C49" s="3586" t="s">
        <v>3029</v>
      </c>
      <c r="D49" s="3586">
        <v>981.32</v>
      </c>
      <c r="E49" s="3586">
        <v>1864.51</v>
      </c>
      <c r="F49" s="3586" t="s">
        <v>3344</v>
      </c>
      <c r="G49" s="3586" t="s">
        <v>3031</v>
      </c>
      <c r="H49" s="3586" t="s">
        <v>3032</v>
      </c>
      <c r="I49" s="3586">
        <v>0</v>
      </c>
      <c r="J49" s="3586" t="s">
        <v>3345</v>
      </c>
      <c r="K49" s="3586" t="s">
        <v>3345</v>
      </c>
      <c r="L49" s="3586" t="s">
        <v>2797</v>
      </c>
      <c r="M49" s="3586">
        <v>60.64</v>
      </c>
      <c r="N49" s="3586">
        <v>325.29000000000002</v>
      </c>
      <c r="P49" s="3586" t="s">
        <v>2797</v>
      </c>
      <c r="Q49" s="3586" t="s">
        <v>3346</v>
      </c>
      <c r="R49" s="3586" t="s">
        <v>3124</v>
      </c>
    </row>
    <row r="50" spans="1:18">
      <c r="A50" s="3586" t="s">
        <v>3347</v>
      </c>
      <c r="B50" s="3586" t="s">
        <v>3193</v>
      </c>
      <c r="C50" s="3586" t="s">
        <v>3029</v>
      </c>
      <c r="D50" s="3586">
        <v>3461.3</v>
      </c>
      <c r="E50" s="3586">
        <v>3807.43</v>
      </c>
      <c r="F50" s="3586" t="s">
        <v>3348</v>
      </c>
      <c r="G50" s="3586" t="s">
        <v>3031</v>
      </c>
      <c r="H50" s="3586" t="s">
        <v>3032</v>
      </c>
      <c r="I50" s="3586">
        <v>0</v>
      </c>
      <c r="J50" s="3586" t="s">
        <v>3349</v>
      </c>
      <c r="K50" s="3586" t="s">
        <v>3349</v>
      </c>
      <c r="L50" s="3586" t="s">
        <v>2797</v>
      </c>
      <c r="M50" s="3586">
        <v>523.70000000000005</v>
      </c>
      <c r="N50" s="3586">
        <v>1375.47</v>
      </c>
      <c r="P50" s="3586" t="s">
        <v>2797</v>
      </c>
      <c r="Q50" s="3586" t="s">
        <v>3350</v>
      </c>
      <c r="R50" s="3586" t="s">
        <v>3210</v>
      </c>
    </row>
    <row r="51" spans="1:18">
      <c r="A51" s="3586" t="s">
        <v>3351</v>
      </c>
      <c r="B51" s="3586" t="s">
        <v>3193</v>
      </c>
      <c r="C51" s="3586" t="s">
        <v>3029</v>
      </c>
      <c r="D51" s="3586">
        <v>10964.12</v>
      </c>
      <c r="E51" s="3586">
        <v>64688.31</v>
      </c>
      <c r="F51" s="3586" t="s">
        <v>3352</v>
      </c>
      <c r="G51" s="3586" t="s">
        <v>3031</v>
      </c>
      <c r="H51" s="3586" t="s">
        <v>3186</v>
      </c>
      <c r="I51" s="3586">
        <v>0</v>
      </c>
      <c r="J51" s="3586" t="s">
        <v>3353</v>
      </c>
      <c r="K51" s="3586" t="s">
        <v>3353</v>
      </c>
      <c r="L51" s="3586" t="s">
        <v>2797</v>
      </c>
      <c r="M51" s="3586">
        <v>1396.82</v>
      </c>
      <c r="N51" s="3586">
        <v>215.93</v>
      </c>
      <c r="P51" s="3586" t="s">
        <v>2797</v>
      </c>
      <c r="Q51" s="3586" t="s">
        <v>3354</v>
      </c>
      <c r="R51" s="3586" t="s">
        <v>3210</v>
      </c>
    </row>
  </sheetData>
  <phoneticPr fontId="228" type="noConversion"/>
  <pageMargins left="0.75" right="0.75" top="1" bottom="1" header="0.5" footer="0.5"/>
  <pageSetup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51"/>
  <sheetViews>
    <sheetView workbookViewId="0">
      <selection activeCell="P21" sqref="A21:P21"/>
    </sheetView>
  </sheetViews>
  <sheetFormatPr defaultRowHeight="12.75"/>
  <cols>
    <col min="1" max="1" width="34.125" style="3586" customWidth="1"/>
    <col min="2" max="2" width="6.25" style="3586" customWidth="1"/>
    <col min="3" max="3" width="11.75" style="3586" customWidth="1"/>
    <col min="4" max="4" width="8.625" style="3587" customWidth="1"/>
    <col min="5" max="5" width="10.5" style="3587" customWidth="1"/>
    <col min="6" max="6" width="21.75" style="3586" customWidth="1"/>
    <col min="7" max="7" width="7.875" style="3586" hidden="1" customWidth="1"/>
    <col min="8" max="8" width="11.25" style="3586" customWidth="1"/>
    <col min="9" max="9" width="7.875" style="3586" hidden="1" customWidth="1"/>
    <col min="10" max="11" width="9" style="3586" customWidth="1"/>
    <col min="12" max="12" width="10.625" style="3586" customWidth="1"/>
    <col min="13" max="13" width="8.25" style="3586" customWidth="1"/>
    <col min="14" max="14" width="8.875" style="3586" customWidth="1"/>
    <col min="15" max="15" width="6.25" style="3586" customWidth="1"/>
    <col min="16" max="16" width="48.5" style="3586" customWidth="1"/>
    <col min="17" max="17" width="7.875" style="3586" customWidth="1"/>
    <col min="18" max="256" width="9" style="3586"/>
    <col min="257" max="257" width="34.125" style="3586" customWidth="1"/>
    <col min="258" max="258" width="6.25" style="3586" customWidth="1"/>
    <col min="259" max="259" width="11.75" style="3586" customWidth="1"/>
    <col min="260" max="260" width="8.625" style="3586" customWidth="1"/>
    <col min="261" max="261" width="10.5" style="3586" customWidth="1"/>
    <col min="262" max="262" width="21.75" style="3586" customWidth="1"/>
    <col min="263" max="263" width="0" style="3586" hidden="1" customWidth="1"/>
    <col min="264" max="264" width="11.25" style="3586" customWidth="1"/>
    <col min="265" max="265" width="0" style="3586" hidden="1" customWidth="1"/>
    <col min="266" max="267" width="9" style="3586" customWidth="1"/>
    <col min="268" max="268" width="10.625" style="3586" customWidth="1"/>
    <col min="269" max="269" width="8.25" style="3586" customWidth="1"/>
    <col min="270" max="270" width="8.875" style="3586" customWidth="1"/>
    <col min="271" max="271" width="6.25" style="3586" customWidth="1"/>
    <col min="272" max="272" width="48.5" style="3586" customWidth="1"/>
    <col min="273" max="273" width="7.875" style="3586" customWidth="1"/>
    <col min="274" max="512" width="9" style="3586"/>
    <col min="513" max="513" width="34.125" style="3586" customWidth="1"/>
    <col min="514" max="514" width="6.25" style="3586" customWidth="1"/>
    <col min="515" max="515" width="11.75" style="3586" customWidth="1"/>
    <col min="516" max="516" width="8.625" style="3586" customWidth="1"/>
    <col min="517" max="517" width="10.5" style="3586" customWidth="1"/>
    <col min="518" max="518" width="21.75" style="3586" customWidth="1"/>
    <col min="519" max="519" width="0" style="3586" hidden="1" customWidth="1"/>
    <col min="520" max="520" width="11.25" style="3586" customWidth="1"/>
    <col min="521" max="521" width="0" style="3586" hidden="1" customWidth="1"/>
    <col min="522" max="523" width="9" style="3586" customWidth="1"/>
    <col min="524" max="524" width="10.625" style="3586" customWidth="1"/>
    <col min="525" max="525" width="8.25" style="3586" customWidth="1"/>
    <col min="526" max="526" width="8.875" style="3586" customWidth="1"/>
    <col min="527" max="527" width="6.25" style="3586" customWidth="1"/>
    <col min="528" max="528" width="48.5" style="3586" customWidth="1"/>
    <col min="529" max="529" width="7.875" style="3586" customWidth="1"/>
    <col min="530" max="768" width="9" style="3586"/>
    <col min="769" max="769" width="34.125" style="3586" customWidth="1"/>
    <col min="770" max="770" width="6.25" style="3586" customWidth="1"/>
    <col min="771" max="771" width="11.75" style="3586" customWidth="1"/>
    <col min="772" max="772" width="8.625" style="3586" customWidth="1"/>
    <col min="773" max="773" width="10.5" style="3586" customWidth="1"/>
    <col min="774" max="774" width="21.75" style="3586" customWidth="1"/>
    <col min="775" max="775" width="0" style="3586" hidden="1" customWidth="1"/>
    <col min="776" max="776" width="11.25" style="3586" customWidth="1"/>
    <col min="777" max="777" width="0" style="3586" hidden="1" customWidth="1"/>
    <col min="778" max="779" width="9" style="3586" customWidth="1"/>
    <col min="780" max="780" width="10.625" style="3586" customWidth="1"/>
    <col min="781" max="781" width="8.25" style="3586" customWidth="1"/>
    <col min="782" max="782" width="8.875" style="3586" customWidth="1"/>
    <col min="783" max="783" width="6.25" style="3586" customWidth="1"/>
    <col min="784" max="784" width="48.5" style="3586" customWidth="1"/>
    <col min="785" max="785" width="7.875" style="3586" customWidth="1"/>
    <col min="786" max="1024" width="9" style="3586"/>
    <col min="1025" max="1025" width="34.125" style="3586" customWidth="1"/>
    <col min="1026" max="1026" width="6.25" style="3586" customWidth="1"/>
    <col min="1027" max="1027" width="11.75" style="3586" customWidth="1"/>
    <col min="1028" max="1028" width="8.625" style="3586" customWidth="1"/>
    <col min="1029" max="1029" width="10.5" style="3586" customWidth="1"/>
    <col min="1030" max="1030" width="21.75" style="3586" customWidth="1"/>
    <col min="1031" max="1031" width="0" style="3586" hidden="1" customWidth="1"/>
    <col min="1032" max="1032" width="11.25" style="3586" customWidth="1"/>
    <col min="1033" max="1033" width="0" style="3586" hidden="1" customWidth="1"/>
    <col min="1034" max="1035" width="9" style="3586" customWidth="1"/>
    <col min="1036" max="1036" width="10.625" style="3586" customWidth="1"/>
    <col min="1037" max="1037" width="8.25" style="3586" customWidth="1"/>
    <col min="1038" max="1038" width="8.875" style="3586" customWidth="1"/>
    <col min="1039" max="1039" width="6.25" style="3586" customWidth="1"/>
    <col min="1040" max="1040" width="48.5" style="3586" customWidth="1"/>
    <col min="1041" max="1041" width="7.875" style="3586" customWidth="1"/>
    <col min="1042" max="1280" width="9" style="3586"/>
    <col min="1281" max="1281" width="34.125" style="3586" customWidth="1"/>
    <col min="1282" max="1282" width="6.25" style="3586" customWidth="1"/>
    <col min="1283" max="1283" width="11.75" style="3586" customWidth="1"/>
    <col min="1284" max="1284" width="8.625" style="3586" customWidth="1"/>
    <col min="1285" max="1285" width="10.5" style="3586" customWidth="1"/>
    <col min="1286" max="1286" width="21.75" style="3586" customWidth="1"/>
    <col min="1287" max="1287" width="0" style="3586" hidden="1" customWidth="1"/>
    <col min="1288" max="1288" width="11.25" style="3586" customWidth="1"/>
    <col min="1289" max="1289" width="0" style="3586" hidden="1" customWidth="1"/>
    <col min="1290" max="1291" width="9" style="3586" customWidth="1"/>
    <col min="1292" max="1292" width="10.625" style="3586" customWidth="1"/>
    <col min="1293" max="1293" width="8.25" style="3586" customWidth="1"/>
    <col min="1294" max="1294" width="8.875" style="3586" customWidth="1"/>
    <col min="1295" max="1295" width="6.25" style="3586" customWidth="1"/>
    <col min="1296" max="1296" width="48.5" style="3586" customWidth="1"/>
    <col min="1297" max="1297" width="7.875" style="3586" customWidth="1"/>
    <col min="1298" max="1536" width="9" style="3586"/>
    <col min="1537" max="1537" width="34.125" style="3586" customWidth="1"/>
    <col min="1538" max="1538" width="6.25" style="3586" customWidth="1"/>
    <col min="1539" max="1539" width="11.75" style="3586" customWidth="1"/>
    <col min="1540" max="1540" width="8.625" style="3586" customWidth="1"/>
    <col min="1541" max="1541" width="10.5" style="3586" customWidth="1"/>
    <col min="1542" max="1542" width="21.75" style="3586" customWidth="1"/>
    <col min="1543" max="1543" width="0" style="3586" hidden="1" customWidth="1"/>
    <col min="1544" max="1544" width="11.25" style="3586" customWidth="1"/>
    <col min="1545" max="1545" width="0" style="3586" hidden="1" customWidth="1"/>
    <col min="1546" max="1547" width="9" style="3586" customWidth="1"/>
    <col min="1548" max="1548" width="10.625" style="3586" customWidth="1"/>
    <col min="1549" max="1549" width="8.25" style="3586" customWidth="1"/>
    <col min="1550" max="1550" width="8.875" style="3586" customWidth="1"/>
    <col min="1551" max="1551" width="6.25" style="3586" customWidth="1"/>
    <col min="1552" max="1552" width="48.5" style="3586" customWidth="1"/>
    <col min="1553" max="1553" width="7.875" style="3586" customWidth="1"/>
    <col min="1554" max="1792" width="9" style="3586"/>
    <col min="1793" max="1793" width="34.125" style="3586" customWidth="1"/>
    <col min="1794" max="1794" width="6.25" style="3586" customWidth="1"/>
    <col min="1795" max="1795" width="11.75" style="3586" customWidth="1"/>
    <col min="1796" max="1796" width="8.625" style="3586" customWidth="1"/>
    <col min="1797" max="1797" width="10.5" style="3586" customWidth="1"/>
    <col min="1798" max="1798" width="21.75" style="3586" customWidth="1"/>
    <col min="1799" max="1799" width="0" style="3586" hidden="1" customWidth="1"/>
    <col min="1800" max="1800" width="11.25" style="3586" customWidth="1"/>
    <col min="1801" max="1801" width="0" style="3586" hidden="1" customWidth="1"/>
    <col min="1802" max="1803" width="9" style="3586" customWidth="1"/>
    <col min="1804" max="1804" width="10.625" style="3586" customWidth="1"/>
    <col min="1805" max="1805" width="8.25" style="3586" customWidth="1"/>
    <col min="1806" max="1806" width="8.875" style="3586" customWidth="1"/>
    <col min="1807" max="1807" width="6.25" style="3586" customWidth="1"/>
    <col min="1808" max="1808" width="48.5" style="3586" customWidth="1"/>
    <col min="1809" max="1809" width="7.875" style="3586" customWidth="1"/>
    <col min="1810" max="2048" width="9" style="3586"/>
    <col min="2049" max="2049" width="34.125" style="3586" customWidth="1"/>
    <col min="2050" max="2050" width="6.25" style="3586" customWidth="1"/>
    <col min="2051" max="2051" width="11.75" style="3586" customWidth="1"/>
    <col min="2052" max="2052" width="8.625" style="3586" customWidth="1"/>
    <col min="2053" max="2053" width="10.5" style="3586" customWidth="1"/>
    <col min="2054" max="2054" width="21.75" style="3586" customWidth="1"/>
    <col min="2055" max="2055" width="0" style="3586" hidden="1" customWidth="1"/>
    <col min="2056" max="2056" width="11.25" style="3586" customWidth="1"/>
    <col min="2057" max="2057" width="0" style="3586" hidden="1" customWidth="1"/>
    <col min="2058" max="2059" width="9" style="3586" customWidth="1"/>
    <col min="2060" max="2060" width="10.625" style="3586" customWidth="1"/>
    <col min="2061" max="2061" width="8.25" style="3586" customWidth="1"/>
    <col min="2062" max="2062" width="8.875" style="3586" customWidth="1"/>
    <col min="2063" max="2063" width="6.25" style="3586" customWidth="1"/>
    <col min="2064" max="2064" width="48.5" style="3586" customWidth="1"/>
    <col min="2065" max="2065" width="7.875" style="3586" customWidth="1"/>
    <col min="2066" max="2304" width="9" style="3586"/>
    <col min="2305" max="2305" width="34.125" style="3586" customWidth="1"/>
    <col min="2306" max="2306" width="6.25" style="3586" customWidth="1"/>
    <col min="2307" max="2307" width="11.75" style="3586" customWidth="1"/>
    <col min="2308" max="2308" width="8.625" style="3586" customWidth="1"/>
    <col min="2309" max="2309" width="10.5" style="3586" customWidth="1"/>
    <col min="2310" max="2310" width="21.75" style="3586" customWidth="1"/>
    <col min="2311" max="2311" width="0" style="3586" hidden="1" customWidth="1"/>
    <col min="2312" max="2312" width="11.25" style="3586" customWidth="1"/>
    <col min="2313" max="2313" width="0" style="3586" hidden="1" customWidth="1"/>
    <col min="2314" max="2315" width="9" style="3586" customWidth="1"/>
    <col min="2316" max="2316" width="10.625" style="3586" customWidth="1"/>
    <col min="2317" max="2317" width="8.25" style="3586" customWidth="1"/>
    <col min="2318" max="2318" width="8.875" style="3586" customWidth="1"/>
    <col min="2319" max="2319" width="6.25" style="3586" customWidth="1"/>
    <col min="2320" max="2320" width="48.5" style="3586" customWidth="1"/>
    <col min="2321" max="2321" width="7.875" style="3586" customWidth="1"/>
    <col min="2322" max="2560" width="9" style="3586"/>
    <col min="2561" max="2561" width="34.125" style="3586" customWidth="1"/>
    <col min="2562" max="2562" width="6.25" style="3586" customWidth="1"/>
    <col min="2563" max="2563" width="11.75" style="3586" customWidth="1"/>
    <col min="2564" max="2564" width="8.625" style="3586" customWidth="1"/>
    <col min="2565" max="2565" width="10.5" style="3586" customWidth="1"/>
    <col min="2566" max="2566" width="21.75" style="3586" customWidth="1"/>
    <col min="2567" max="2567" width="0" style="3586" hidden="1" customWidth="1"/>
    <col min="2568" max="2568" width="11.25" style="3586" customWidth="1"/>
    <col min="2569" max="2569" width="0" style="3586" hidden="1" customWidth="1"/>
    <col min="2570" max="2571" width="9" style="3586" customWidth="1"/>
    <col min="2572" max="2572" width="10.625" style="3586" customWidth="1"/>
    <col min="2573" max="2573" width="8.25" style="3586" customWidth="1"/>
    <col min="2574" max="2574" width="8.875" style="3586" customWidth="1"/>
    <col min="2575" max="2575" width="6.25" style="3586" customWidth="1"/>
    <col min="2576" max="2576" width="48.5" style="3586" customWidth="1"/>
    <col min="2577" max="2577" width="7.875" style="3586" customWidth="1"/>
    <col min="2578" max="2816" width="9" style="3586"/>
    <col min="2817" max="2817" width="34.125" style="3586" customWidth="1"/>
    <col min="2818" max="2818" width="6.25" style="3586" customWidth="1"/>
    <col min="2819" max="2819" width="11.75" style="3586" customWidth="1"/>
    <col min="2820" max="2820" width="8.625" style="3586" customWidth="1"/>
    <col min="2821" max="2821" width="10.5" style="3586" customWidth="1"/>
    <col min="2822" max="2822" width="21.75" style="3586" customWidth="1"/>
    <col min="2823" max="2823" width="0" style="3586" hidden="1" customWidth="1"/>
    <col min="2824" max="2824" width="11.25" style="3586" customWidth="1"/>
    <col min="2825" max="2825" width="0" style="3586" hidden="1" customWidth="1"/>
    <col min="2826" max="2827" width="9" style="3586" customWidth="1"/>
    <col min="2828" max="2828" width="10.625" style="3586" customWidth="1"/>
    <col min="2829" max="2829" width="8.25" style="3586" customWidth="1"/>
    <col min="2830" max="2830" width="8.875" style="3586" customWidth="1"/>
    <col min="2831" max="2831" width="6.25" style="3586" customWidth="1"/>
    <col min="2832" max="2832" width="48.5" style="3586" customWidth="1"/>
    <col min="2833" max="2833" width="7.875" style="3586" customWidth="1"/>
    <col min="2834" max="3072" width="9" style="3586"/>
    <col min="3073" max="3073" width="34.125" style="3586" customWidth="1"/>
    <col min="3074" max="3074" width="6.25" style="3586" customWidth="1"/>
    <col min="3075" max="3075" width="11.75" style="3586" customWidth="1"/>
    <col min="3076" max="3076" width="8.625" style="3586" customWidth="1"/>
    <col min="3077" max="3077" width="10.5" style="3586" customWidth="1"/>
    <col min="3078" max="3078" width="21.75" style="3586" customWidth="1"/>
    <col min="3079" max="3079" width="0" style="3586" hidden="1" customWidth="1"/>
    <col min="3080" max="3080" width="11.25" style="3586" customWidth="1"/>
    <col min="3081" max="3081" width="0" style="3586" hidden="1" customWidth="1"/>
    <col min="3082" max="3083" width="9" style="3586" customWidth="1"/>
    <col min="3084" max="3084" width="10.625" style="3586" customWidth="1"/>
    <col min="3085" max="3085" width="8.25" style="3586" customWidth="1"/>
    <col min="3086" max="3086" width="8.875" style="3586" customWidth="1"/>
    <col min="3087" max="3087" width="6.25" style="3586" customWidth="1"/>
    <col min="3088" max="3088" width="48.5" style="3586" customWidth="1"/>
    <col min="3089" max="3089" width="7.875" style="3586" customWidth="1"/>
    <col min="3090" max="3328" width="9" style="3586"/>
    <col min="3329" max="3329" width="34.125" style="3586" customWidth="1"/>
    <col min="3330" max="3330" width="6.25" style="3586" customWidth="1"/>
    <col min="3331" max="3331" width="11.75" style="3586" customWidth="1"/>
    <col min="3332" max="3332" width="8.625" style="3586" customWidth="1"/>
    <col min="3333" max="3333" width="10.5" style="3586" customWidth="1"/>
    <col min="3334" max="3334" width="21.75" style="3586" customWidth="1"/>
    <col min="3335" max="3335" width="0" style="3586" hidden="1" customWidth="1"/>
    <col min="3336" max="3336" width="11.25" style="3586" customWidth="1"/>
    <col min="3337" max="3337" width="0" style="3586" hidden="1" customWidth="1"/>
    <col min="3338" max="3339" width="9" style="3586" customWidth="1"/>
    <col min="3340" max="3340" width="10.625" style="3586" customWidth="1"/>
    <col min="3341" max="3341" width="8.25" style="3586" customWidth="1"/>
    <col min="3342" max="3342" width="8.875" style="3586" customWidth="1"/>
    <col min="3343" max="3343" width="6.25" style="3586" customWidth="1"/>
    <col min="3344" max="3344" width="48.5" style="3586" customWidth="1"/>
    <col min="3345" max="3345" width="7.875" style="3586" customWidth="1"/>
    <col min="3346" max="3584" width="9" style="3586"/>
    <col min="3585" max="3585" width="34.125" style="3586" customWidth="1"/>
    <col min="3586" max="3586" width="6.25" style="3586" customWidth="1"/>
    <col min="3587" max="3587" width="11.75" style="3586" customWidth="1"/>
    <col min="3588" max="3588" width="8.625" style="3586" customWidth="1"/>
    <col min="3589" max="3589" width="10.5" style="3586" customWidth="1"/>
    <col min="3590" max="3590" width="21.75" style="3586" customWidth="1"/>
    <col min="3591" max="3591" width="0" style="3586" hidden="1" customWidth="1"/>
    <col min="3592" max="3592" width="11.25" style="3586" customWidth="1"/>
    <col min="3593" max="3593" width="0" style="3586" hidden="1" customWidth="1"/>
    <col min="3594" max="3595" width="9" style="3586" customWidth="1"/>
    <col min="3596" max="3596" width="10.625" style="3586" customWidth="1"/>
    <col min="3597" max="3597" width="8.25" style="3586" customWidth="1"/>
    <col min="3598" max="3598" width="8.875" style="3586" customWidth="1"/>
    <col min="3599" max="3599" width="6.25" style="3586" customWidth="1"/>
    <col min="3600" max="3600" width="48.5" style="3586" customWidth="1"/>
    <col min="3601" max="3601" width="7.875" style="3586" customWidth="1"/>
    <col min="3602" max="3840" width="9" style="3586"/>
    <col min="3841" max="3841" width="34.125" style="3586" customWidth="1"/>
    <col min="3842" max="3842" width="6.25" style="3586" customWidth="1"/>
    <col min="3843" max="3843" width="11.75" style="3586" customWidth="1"/>
    <col min="3844" max="3844" width="8.625" style="3586" customWidth="1"/>
    <col min="3845" max="3845" width="10.5" style="3586" customWidth="1"/>
    <col min="3846" max="3846" width="21.75" style="3586" customWidth="1"/>
    <col min="3847" max="3847" width="0" style="3586" hidden="1" customWidth="1"/>
    <col min="3848" max="3848" width="11.25" style="3586" customWidth="1"/>
    <col min="3849" max="3849" width="0" style="3586" hidden="1" customWidth="1"/>
    <col min="3850" max="3851" width="9" style="3586" customWidth="1"/>
    <col min="3852" max="3852" width="10.625" style="3586" customWidth="1"/>
    <col min="3853" max="3853" width="8.25" style="3586" customWidth="1"/>
    <col min="3854" max="3854" width="8.875" style="3586" customWidth="1"/>
    <col min="3855" max="3855" width="6.25" style="3586" customWidth="1"/>
    <col min="3856" max="3856" width="48.5" style="3586" customWidth="1"/>
    <col min="3857" max="3857" width="7.875" style="3586" customWidth="1"/>
    <col min="3858" max="4096" width="9" style="3586"/>
    <col min="4097" max="4097" width="34.125" style="3586" customWidth="1"/>
    <col min="4098" max="4098" width="6.25" style="3586" customWidth="1"/>
    <col min="4099" max="4099" width="11.75" style="3586" customWidth="1"/>
    <col min="4100" max="4100" width="8.625" style="3586" customWidth="1"/>
    <col min="4101" max="4101" width="10.5" style="3586" customWidth="1"/>
    <col min="4102" max="4102" width="21.75" style="3586" customWidth="1"/>
    <col min="4103" max="4103" width="0" style="3586" hidden="1" customWidth="1"/>
    <col min="4104" max="4104" width="11.25" style="3586" customWidth="1"/>
    <col min="4105" max="4105" width="0" style="3586" hidden="1" customWidth="1"/>
    <col min="4106" max="4107" width="9" style="3586" customWidth="1"/>
    <col min="4108" max="4108" width="10.625" style="3586" customWidth="1"/>
    <col min="4109" max="4109" width="8.25" style="3586" customWidth="1"/>
    <col min="4110" max="4110" width="8.875" style="3586" customWidth="1"/>
    <col min="4111" max="4111" width="6.25" style="3586" customWidth="1"/>
    <col min="4112" max="4112" width="48.5" style="3586" customWidth="1"/>
    <col min="4113" max="4113" width="7.875" style="3586" customWidth="1"/>
    <col min="4114" max="4352" width="9" style="3586"/>
    <col min="4353" max="4353" width="34.125" style="3586" customWidth="1"/>
    <col min="4354" max="4354" width="6.25" style="3586" customWidth="1"/>
    <col min="4355" max="4355" width="11.75" style="3586" customWidth="1"/>
    <col min="4356" max="4356" width="8.625" style="3586" customWidth="1"/>
    <col min="4357" max="4357" width="10.5" style="3586" customWidth="1"/>
    <col min="4358" max="4358" width="21.75" style="3586" customWidth="1"/>
    <col min="4359" max="4359" width="0" style="3586" hidden="1" customWidth="1"/>
    <col min="4360" max="4360" width="11.25" style="3586" customWidth="1"/>
    <col min="4361" max="4361" width="0" style="3586" hidden="1" customWidth="1"/>
    <col min="4362" max="4363" width="9" style="3586" customWidth="1"/>
    <col min="4364" max="4364" width="10.625" style="3586" customWidth="1"/>
    <col min="4365" max="4365" width="8.25" style="3586" customWidth="1"/>
    <col min="4366" max="4366" width="8.875" style="3586" customWidth="1"/>
    <col min="4367" max="4367" width="6.25" style="3586" customWidth="1"/>
    <col min="4368" max="4368" width="48.5" style="3586" customWidth="1"/>
    <col min="4369" max="4369" width="7.875" style="3586" customWidth="1"/>
    <col min="4370" max="4608" width="9" style="3586"/>
    <col min="4609" max="4609" width="34.125" style="3586" customWidth="1"/>
    <col min="4610" max="4610" width="6.25" style="3586" customWidth="1"/>
    <col min="4611" max="4611" width="11.75" style="3586" customWidth="1"/>
    <col min="4612" max="4612" width="8.625" style="3586" customWidth="1"/>
    <col min="4613" max="4613" width="10.5" style="3586" customWidth="1"/>
    <col min="4614" max="4614" width="21.75" style="3586" customWidth="1"/>
    <col min="4615" max="4615" width="0" style="3586" hidden="1" customWidth="1"/>
    <col min="4616" max="4616" width="11.25" style="3586" customWidth="1"/>
    <col min="4617" max="4617" width="0" style="3586" hidden="1" customWidth="1"/>
    <col min="4618" max="4619" width="9" style="3586" customWidth="1"/>
    <col min="4620" max="4620" width="10.625" style="3586" customWidth="1"/>
    <col min="4621" max="4621" width="8.25" style="3586" customWidth="1"/>
    <col min="4622" max="4622" width="8.875" style="3586" customWidth="1"/>
    <col min="4623" max="4623" width="6.25" style="3586" customWidth="1"/>
    <col min="4624" max="4624" width="48.5" style="3586" customWidth="1"/>
    <col min="4625" max="4625" width="7.875" style="3586" customWidth="1"/>
    <col min="4626" max="4864" width="9" style="3586"/>
    <col min="4865" max="4865" width="34.125" style="3586" customWidth="1"/>
    <col min="4866" max="4866" width="6.25" style="3586" customWidth="1"/>
    <col min="4867" max="4867" width="11.75" style="3586" customWidth="1"/>
    <col min="4868" max="4868" width="8.625" style="3586" customWidth="1"/>
    <col min="4869" max="4869" width="10.5" style="3586" customWidth="1"/>
    <col min="4870" max="4870" width="21.75" style="3586" customWidth="1"/>
    <col min="4871" max="4871" width="0" style="3586" hidden="1" customWidth="1"/>
    <col min="4872" max="4872" width="11.25" style="3586" customWidth="1"/>
    <col min="4873" max="4873" width="0" style="3586" hidden="1" customWidth="1"/>
    <col min="4874" max="4875" width="9" style="3586" customWidth="1"/>
    <col min="4876" max="4876" width="10.625" style="3586" customWidth="1"/>
    <col min="4877" max="4877" width="8.25" style="3586" customWidth="1"/>
    <col min="4878" max="4878" width="8.875" style="3586" customWidth="1"/>
    <col min="4879" max="4879" width="6.25" style="3586" customWidth="1"/>
    <col min="4880" max="4880" width="48.5" style="3586" customWidth="1"/>
    <col min="4881" max="4881" width="7.875" style="3586" customWidth="1"/>
    <col min="4882" max="5120" width="9" style="3586"/>
    <col min="5121" max="5121" width="34.125" style="3586" customWidth="1"/>
    <col min="5122" max="5122" width="6.25" style="3586" customWidth="1"/>
    <col min="5123" max="5123" width="11.75" style="3586" customWidth="1"/>
    <col min="5124" max="5124" width="8.625" style="3586" customWidth="1"/>
    <col min="5125" max="5125" width="10.5" style="3586" customWidth="1"/>
    <col min="5126" max="5126" width="21.75" style="3586" customWidth="1"/>
    <col min="5127" max="5127" width="0" style="3586" hidden="1" customWidth="1"/>
    <col min="5128" max="5128" width="11.25" style="3586" customWidth="1"/>
    <col min="5129" max="5129" width="0" style="3586" hidden="1" customWidth="1"/>
    <col min="5130" max="5131" width="9" style="3586" customWidth="1"/>
    <col min="5132" max="5132" width="10.625" style="3586" customWidth="1"/>
    <col min="5133" max="5133" width="8.25" style="3586" customWidth="1"/>
    <col min="5134" max="5134" width="8.875" style="3586" customWidth="1"/>
    <col min="5135" max="5135" width="6.25" style="3586" customWidth="1"/>
    <col min="5136" max="5136" width="48.5" style="3586" customWidth="1"/>
    <col min="5137" max="5137" width="7.875" style="3586" customWidth="1"/>
    <col min="5138" max="5376" width="9" style="3586"/>
    <col min="5377" max="5377" width="34.125" style="3586" customWidth="1"/>
    <col min="5378" max="5378" width="6.25" style="3586" customWidth="1"/>
    <col min="5379" max="5379" width="11.75" style="3586" customWidth="1"/>
    <col min="5380" max="5380" width="8.625" style="3586" customWidth="1"/>
    <col min="5381" max="5381" width="10.5" style="3586" customWidth="1"/>
    <col min="5382" max="5382" width="21.75" style="3586" customWidth="1"/>
    <col min="5383" max="5383" width="0" style="3586" hidden="1" customWidth="1"/>
    <col min="5384" max="5384" width="11.25" style="3586" customWidth="1"/>
    <col min="5385" max="5385" width="0" style="3586" hidden="1" customWidth="1"/>
    <col min="5386" max="5387" width="9" style="3586" customWidth="1"/>
    <col min="5388" max="5388" width="10.625" style="3586" customWidth="1"/>
    <col min="5389" max="5389" width="8.25" style="3586" customWidth="1"/>
    <col min="5390" max="5390" width="8.875" style="3586" customWidth="1"/>
    <col min="5391" max="5391" width="6.25" style="3586" customWidth="1"/>
    <col min="5392" max="5392" width="48.5" style="3586" customWidth="1"/>
    <col min="5393" max="5393" width="7.875" style="3586" customWidth="1"/>
    <col min="5394" max="5632" width="9" style="3586"/>
    <col min="5633" max="5633" width="34.125" style="3586" customWidth="1"/>
    <col min="5634" max="5634" width="6.25" style="3586" customWidth="1"/>
    <col min="5635" max="5635" width="11.75" style="3586" customWidth="1"/>
    <col min="5636" max="5636" width="8.625" style="3586" customWidth="1"/>
    <col min="5637" max="5637" width="10.5" style="3586" customWidth="1"/>
    <col min="5638" max="5638" width="21.75" style="3586" customWidth="1"/>
    <col min="5639" max="5639" width="0" style="3586" hidden="1" customWidth="1"/>
    <col min="5640" max="5640" width="11.25" style="3586" customWidth="1"/>
    <col min="5641" max="5641" width="0" style="3586" hidden="1" customWidth="1"/>
    <col min="5642" max="5643" width="9" style="3586" customWidth="1"/>
    <col min="5644" max="5644" width="10.625" style="3586" customWidth="1"/>
    <col min="5645" max="5645" width="8.25" style="3586" customWidth="1"/>
    <col min="5646" max="5646" width="8.875" style="3586" customWidth="1"/>
    <col min="5647" max="5647" width="6.25" style="3586" customWidth="1"/>
    <col min="5648" max="5648" width="48.5" style="3586" customWidth="1"/>
    <col min="5649" max="5649" width="7.875" style="3586" customWidth="1"/>
    <col min="5650" max="5888" width="9" style="3586"/>
    <col min="5889" max="5889" width="34.125" style="3586" customWidth="1"/>
    <col min="5890" max="5890" width="6.25" style="3586" customWidth="1"/>
    <col min="5891" max="5891" width="11.75" style="3586" customWidth="1"/>
    <col min="5892" max="5892" width="8.625" style="3586" customWidth="1"/>
    <col min="5893" max="5893" width="10.5" style="3586" customWidth="1"/>
    <col min="5894" max="5894" width="21.75" style="3586" customWidth="1"/>
    <col min="5895" max="5895" width="0" style="3586" hidden="1" customWidth="1"/>
    <col min="5896" max="5896" width="11.25" style="3586" customWidth="1"/>
    <col min="5897" max="5897" width="0" style="3586" hidden="1" customWidth="1"/>
    <col min="5898" max="5899" width="9" style="3586" customWidth="1"/>
    <col min="5900" max="5900" width="10.625" style="3586" customWidth="1"/>
    <col min="5901" max="5901" width="8.25" style="3586" customWidth="1"/>
    <col min="5902" max="5902" width="8.875" style="3586" customWidth="1"/>
    <col min="5903" max="5903" width="6.25" style="3586" customWidth="1"/>
    <col min="5904" max="5904" width="48.5" style="3586" customWidth="1"/>
    <col min="5905" max="5905" width="7.875" style="3586" customWidth="1"/>
    <col min="5906" max="6144" width="9" style="3586"/>
    <col min="6145" max="6145" width="34.125" style="3586" customWidth="1"/>
    <col min="6146" max="6146" width="6.25" style="3586" customWidth="1"/>
    <col min="6147" max="6147" width="11.75" style="3586" customWidth="1"/>
    <col min="6148" max="6148" width="8.625" style="3586" customWidth="1"/>
    <col min="6149" max="6149" width="10.5" style="3586" customWidth="1"/>
    <col min="6150" max="6150" width="21.75" style="3586" customWidth="1"/>
    <col min="6151" max="6151" width="0" style="3586" hidden="1" customWidth="1"/>
    <col min="6152" max="6152" width="11.25" style="3586" customWidth="1"/>
    <col min="6153" max="6153" width="0" style="3586" hidden="1" customWidth="1"/>
    <col min="6154" max="6155" width="9" style="3586" customWidth="1"/>
    <col min="6156" max="6156" width="10.625" style="3586" customWidth="1"/>
    <col min="6157" max="6157" width="8.25" style="3586" customWidth="1"/>
    <col min="6158" max="6158" width="8.875" style="3586" customWidth="1"/>
    <col min="6159" max="6159" width="6.25" style="3586" customWidth="1"/>
    <col min="6160" max="6160" width="48.5" style="3586" customWidth="1"/>
    <col min="6161" max="6161" width="7.875" style="3586" customWidth="1"/>
    <col min="6162" max="6400" width="9" style="3586"/>
    <col min="6401" max="6401" width="34.125" style="3586" customWidth="1"/>
    <col min="6402" max="6402" width="6.25" style="3586" customWidth="1"/>
    <col min="6403" max="6403" width="11.75" style="3586" customWidth="1"/>
    <col min="6404" max="6404" width="8.625" style="3586" customWidth="1"/>
    <col min="6405" max="6405" width="10.5" style="3586" customWidth="1"/>
    <col min="6406" max="6406" width="21.75" style="3586" customWidth="1"/>
    <col min="6407" max="6407" width="0" style="3586" hidden="1" customWidth="1"/>
    <col min="6408" max="6408" width="11.25" style="3586" customWidth="1"/>
    <col min="6409" max="6409" width="0" style="3586" hidden="1" customWidth="1"/>
    <col min="6410" max="6411" width="9" style="3586" customWidth="1"/>
    <col min="6412" max="6412" width="10.625" style="3586" customWidth="1"/>
    <col min="6413" max="6413" width="8.25" style="3586" customWidth="1"/>
    <col min="6414" max="6414" width="8.875" style="3586" customWidth="1"/>
    <col min="6415" max="6415" width="6.25" style="3586" customWidth="1"/>
    <col min="6416" max="6416" width="48.5" style="3586" customWidth="1"/>
    <col min="6417" max="6417" width="7.875" style="3586" customWidth="1"/>
    <col min="6418" max="6656" width="9" style="3586"/>
    <col min="6657" max="6657" width="34.125" style="3586" customWidth="1"/>
    <col min="6658" max="6658" width="6.25" style="3586" customWidth="1"/>
    <col min="6659" max="6659" width="11.75" style="3586" customWidth="1"/>
    <col min="6660" max="6660" width="8.625" style="3586" customWidth="1"/>
    <col min="6661" max="6661" width="10.5" style="3586" customWidth="1"/>
    <col min="6662" max="6662" width="21.75" style="3586" customWidth="1"/>
    <col min="6663" max="6663" width="0" style="3586" hidden="1" customWidth="1"/>
    <col min="6664" max="6664" width="11.25" style="3586" customWidth="1"/>
    <col min="6665" max="6665" width="0" style="3586" hidden="1" customWidth="1"/>
    <col min="6666" max="6667" width="9" style="3586" customWidth="1"/>
    <col min="6668" max="6668" width="10.625" style="3586" customWidth="1"/>
    <col min="6669" max="6669" width="8.25" style="3586" customWidth="1"/>
    <col min="6670" max="6670" width="8.875" style="3586" customWidth="1"/>
    <col min="6671" max="6671" width="6.25" style="3586" customWidth="1"/>
    <col min="6672" max="6672" width="48.5" style="3586" customWidth="1"/>
    <col min="6673" max="6673" width="7.875" style="3586" customWidth="1"/>
    <col min="6674" max="6912" width="9" style="3586"/>
    <col min="6913" max="6913" width="34.125" style="3586" customWidth="1"/>
    <col min="6914" max="6914" width="6.25" style="3586" customWidth="1"/>
    <col min="6915" max="6915" width="11.75" style="3586" customWidth="1"/>
    <col min="6916" max="6916" width="8.625" style="3586" customWidth="1"/>
    <col min="6917" max="6917" width="10.5" style="3586" customWidth="1"/>
    <col min="6918" max="6918" width="21.75" style="3586" customWidth="1"/>
    <col min="6919" max="6919" width="0" style="3586" hidden="1" customWidth="1"/>
    <col min="6920" max="6920" width="11.25" style="3586" customWidth="1"/>
    <col min="6921" max="6921" width="0" style="3586" hidden="1" customWidth="1"/>
    <col min="6922" max="6923" width="9" style="3586" customWidth="1"/>
    <col min="6924" max="6924" width="10.625" style="3586" customWidth="1"/>
    <col min="6925" max="6925" width="8.25" style="3586" customWidth="1"/>
    <col min="6926" max="6926" width="8.875" style="3586" customWidth="1"/>
    <col min="6927" max="6927" width="6.25" style="3586" customWidth="1"/>
    <col min="6928" max="6928" width="48.5" style="3586" customWidth="1"/>
    <col min="6929" max="6929" width="7.875" style="3586" customWidth="1"/>
    <col min="6930" max="7168" width="9" style="3586"/>
    <col min="7169" max="7169" width="34.125" style="3586" customWidth="1"/>
    <col min="7170" max="7170" width="6.25" style="3586" customWidth="1"/>
    <col min="7171" max="7171" width="11.75" style="3586" customWidth="1"/>
    <col min="7172" max="7172" width="8.625" style="3586" customWidth="1"/>
    <col min="7173" max="7173" width="10.5" style="3586" customWidth="1"/>
    <col min="7174" max="7174" width="21.75" style="3586" customWidth="1"/>
    <col min="7175" max="7175" width="0" style="3586" hidden="1" customWidth="1"/>
    <col min="7176" max="7176" width="11.25" style="3586" customWidth="1"/>
    <col min="7177" max="7177" width="0" style="3586" hidden="1" customWidth="1"/>
    <col min="7178" max="7179" width="9" style="3586" customWidth="1"/>
    <col min="7180" max="7180" width="10.625" style="3586" customWidth="1"/>
    <col min="7181" max="7181" width="8.25" style="3586" customWidth="1"/>
    <col min="7182" max="7182" width="8.875" style="3586" customWidth="1"/>
    <col min="7183" max="7183" width="6.25" style="3586" customWidth="1"/>
    <col min="7184" max="7184" width="48.5" style="3586" customWidth="1"/>
    <col min="7185" max="7185" width="7.875" style="3586" customWidth="1"/>
    <col min="7186" max="7424" width="9" style="3586"/>
    <col min="7425" max="7425" width="34.125" style="3586" customWidth="1"/>
    <col min="7426" max="7426" width="6.25" style="3586" customWidth="1"/>
    <col min="7427" max="7427" width="11.75" style="3586" customWidth="1"/>
    <col min="7428" max="7428" width="8.625" style="3586" customWidth="1"/>
    <col min="7429" max="7429" width="10.5" style="3586" customWidth="1"/>
    <col min="7430" max="7430" width="21.75" style="3586" customWidth="1"/>
    <col min="7431" max="7431" width="0" style="3586" hidden="1" customWidth="1"/>
    <col min="7432" max="7432" width="11.25" style="3586" customWidth="1"/>
    <col min="7433" max="7433" width="0" style="3586" hidden="1" customWidth="1"/>
    <col min="7434" max="7435" width="9" style="3586" customWidth="1"/>
    <col min="7436" max="7436" width="10.625" style="3586" customWidth="1"/>
    <col min="7437" max="7437" width="8.25" style="3586" customWidth="1"/>
    <col min="7438" max="7438" width="8.875" style="3586" customWidth="1"/>
    <col min="7439" max="7439" width="6.25" style="3586" customWidth="1"/>
    <col min="7440" max="7440" width="48.5" style="3586" customWidth="1"/>
    <col min="7441" max="7441" width="7.875" style="3586" customWidth="1"/>
    <col min="7442" max="7680" width="9" style="3586"/>
    <col min="7681" max="7681" width="34.125" style="3586" customWidth="1"/>
    <col min="7682" max="7682" width="6.25" style="3586" customWidth="1"/>
    <col min="7683" max="7683" width="11.75" style="3586" customWidth="1"/>
    <col min="7684" max="7684" width="8.625" style="3586" customWidth="1"/>
    <col min="7685" max="7685" width="10.5" style="3586" customWidth="1"/>
    <col min="7686" max="7686" width="21.75" style="3586" customWidth="1"/>
    <col min="7687" max="7687" width="0" style="3586" hidden="1" customWidth="1"/>
    <col min="7688" max="7688" width="11.25" style="3586" customWidth="1"/>
    <col min="7689" max="7689" width="0" style="3586" hidden="1" customWidth="1"/>
    <col min="7690" max="7691" width="9" style="3586" customWidth="1"/>
    <col min="7692" max="7692" width="10.625" style="3586" customWidth="1"/>
    <col min="7693" max="7693" width="8.25" style="3586" customWidth="1"/>
    <col min="7694" max="7694" width="8.875" style="3586" customWidth="1"/>
    <col min="7695" max="7695" width="6.25" style="3586" customWidth="1"/>
    <col min="7696" max="7696" width="48.5" style="3586" customWidth="1"/>
    <col min="7697" max="7697" width="7.875" style="3586" customWidth="1"/>
    <col min="7698" max="7936" width="9" style="3586"/>
    <col min="7937" max="7937" width="34.125" style="3586" customWidth="1"/>
    <col min="7938" max="7938" width="6.25" style="3586" customWidth="1"/>
    <col min="7939" max="7939" width="11.75" style="3586" customWidth="1"/>
    <col min="7940" max="7940" width="8.625" style="3586" customWidth="1"/>
    <col min="7941" max="7941" width="10.5" style="3586" customWidth="1"/>
    <col min="7942" max="7942" width="21.75" style="3586" customWidth="1"/>
    <col min="7943" max="7943" width="0" style="3586" hidden="1" customWidth="1"/>
    <col min="7944" max="7944" width="11.25" style="3586" customWidth="1"/>
    <col min="7945" max="7945" width="0" style="3586" hidden="1" customWidth="1"/>
    <col min="7946" max="7947" width="9" style="3586" customWidth="1"/>
    <col min="7948" max="7948" width="10.625" style="3586" customWidth="1"/>
    <col min="7949" max="7949" width="8.25" style="3586" customWidth="1"/>
    <col min="7950" max="7950" width="8.875" style="3586" customWidth="1"/>
    <col min="7951" max="7951" width="6.25" style="3586" customWidth="1"/>
    <col min="7952" max="7952" width="48.5" style="3586" customWidth="1"/>
    <col min="7953" max="7953" width="7.875" style="3586" customWidth="1"/>
    <col min="7954" max="8192" width="9" style="3586"/>
    <col min="8193" max="8193" width="34.125" style="3586" customWidth="1"/>
    <col min="8194" max="8194" width="6.25" style="3586" customWidth="1"/>
    <col min="8195" max="8195" width="11.75" style="3586" customWidth="1"/>
    <col min="8196" max="8196" width="8.625" style="3586" customWidth="1"/>
    <col min="8197" max="8197" width="10.5" style="3586" customWidth="1"/>
    <col min="8198" max="8198" width="21.75" style="3586" customWidth="1"/>
    <col min="8199" max="8199" width="0" style="3586" hidden="1" customWidth="1"/>
    <col min="8200" max="8200" width="11.25" style="3586" customWidth="1"/>
    <col min="8201" max="8201" width="0" style="3586" hidden="1" customWidth="1"/>
    <col min="8202" max="8203" width="9" style="3586" customWidth="1"/>
    <col min="8204" max="8204" width="10.625" style="3586" customWidth="1"/>
    <col min="8205" max="8205" width="8.25" style="3586" customWidth="1"/>
    <col min="8206" max="8206" width="8.875" style="3586" customWidth="1"/>
    <col min="8207" max="8207" width="6.25" style="3586" customWidth="1"/>
    <col min="8208" max="8208" width="48.5" style="3586" customWidth="1"/>
    <col min="8209" max="8209" width="7.875" style="3586" customWidth="1"/>
    <col min="8210" max="8448" width="9" style="3586"/>
    <col min="8449" max="8449" width="34.125" style="3586" customWidth="1"/>
    <col min="8450" max="8450" width="6.25" style="3586" customWidth="1"/>
    <col min="8451" max="8451" width="11.75" style="3586" customWidth="1"/>
    <col min="8452" max="8452" width="8.625" style="3586" customWidth="1"/>
    <col min="8453" max="8453" width="10.5" style="3586" customWidth="1"/>
    <col min="8454" max="8454" width="21.75" style="3586" customWidth="1"/>
    <col min="8455" max="8455" width="0" style="3586" hidden="1" customWidth="1"/>
    <col min="8456" max="8456" width="11.25" style="3586" customWidth="1"/>
    <col min="8457" max="8457" width="0" style="3586" hidden="1" customWidth="1"/>
    <col min="8458" max="8459" width="9" style="3586" customWidth="1"/>
    <col min="8460" max="8460" width="10.625" style="3586" customWidth="1"/>
    <col min="8461" max="8461" width="8.25" style="3586" customWidth="1"/>
    <col min="8462" max="8462" width="8.875" style="3586" customWidth="1"/>
    <col min="8463" max="8463" width="6.25" style="3586" customWidth="1"/>
    <col min="8464" max="8464" width="48.5" style="3586" customWidth="1"/>
    <col min="8465" max="8465" width="7.875" style="3586" customWidth="1"/>
    <col min="8466" max="8704" width="9" style="3586"/>
    <col min="8705" max="8705" width="34.125" style="3586" customWidth="1"/>
    <col min="8706" max="8706" width="6.25" style="3586" customWidth="1"/>
    <col min="8707" max="8707" width="11.75" style="3586" customWidth="1"/>
    <col min="8708" max="8708" width="8.625" style="3586" customWidth="1"/>
    <col min="8709" max="8709" width="10.5" style="3586" customWidth="1"/>
    <col min="8710" max="8710" width="21.75" style="3586" customWidth="1"/>
    <col min="8711" max="8711" width="0" style="3586" hidden="1" customWidth="1"/>
    <col min="8712" max="8712" width="11.25" style="3586" customWidth="1"/>
    <col min="8713" max="8713" width="0" style="3586" hidden="1" customWidth="1"/>
    <col min="8714" max="8715" width="9" style="3586" customWidth="1"/>
    <col min="8716" max="8716" width="10.625" style="3586" customWidth="1"/>
    <col min="8717" max="8717" width="8.25" style="3586" customWidth="1"/>
    <col min="8718" max="8718" width="8.875" style="3586" customWidth="1"/>
    <col min="8719" max="8719" width="6.25" style="3586" customWidth="1"/>
    <col min="8720" max="8720" width="48.5" style="3586" customWidth="1"/>
    <col min="8721" max="8721" width="7.875" style="3586" customWidth="1"/>
    <col min="8722" max="8960" width="9" style="3586"/>
    <col min="8961" max="8961" width="34.125" style="3586" customWidth="1"/>
    <col min="8962" max="8962" width="6.25" style="3586" customWidth="1"/>
    <col min="8963" max="8963" width="11.75" style="3586" customWidth="1"/>
    <col min="8964" max="8964" width="8.625" style="3586" customWidth="1"/>
    <col min="8965" max="8965" width="10.5" style="3586" customWidth="1"/>
    <col min="8966" max="8966" width="21.75" style="3586" customWidth="1"/>
    <col min="8967" max="8967" width="0" style="3586" hidden="1" customWidth="1"/>
    <col min="8968" max="8968" width="11.25" style="3586" customWidth="1"/>
    <col min="8969" max="8969" width="0" style="3586" hidden="1" customWidth="1"/>
    <col min="8970" max="8971" width="9" style="3586" customWidth="1"/>
    <col min="8972" max="8972" width="10.625" style="3586" customWidth="1"/>
    <col min="8973" max="8973" width="8.25" style="3586" customWidth="1"/>
    <col min="8974" max="8974" width="8.875" style="3586" customWidth="1"/>
    <col min="8975" max="8975" width="6.25" style="3586" customWidth="1"/>
    <col min="8976" max="8976" width="48.5" style="3586" customWidth="1"/>
    <col min="8977" max="8977" width="7.875" style="3586" customWidth="1"/>
    <col min="8978" max="9216" width="9" style="3586"/>
    <col min="9217" max="9217" width="34.125" style="3586" customWidth="1"/>
    <col min="9218" max="9218" width="6.25" style="3586" customWidth="1"/>
    <col min="9219" max="9219" width="11.75" style="3586" customWidth="1"/>
    <col min="9220" max="9220" width="8.625" style="3586" customWidth="1"/>
    <col min="9221" max="9221" width="10.5" style="3586" customWidth="1"/>
    <col min="9222" max="9222" width="21.75" style="3586" customWidth="1"/>
    <col min="9223" max="9223" width="0" style="3586" hidden="1" customWidth="1"/>
    <col min="9224" max="9224" width="11.25" style="3586" customWidth="1"/>
    <col min="9225" max="9225" width="0" style="3586" hidden="1" customWidth="1"/>
    <col min="9226" max="9227" width="9" style="3586" customWidth="1"/>
    <col min="9228" max="9228" width="10.625" style="3586" customWidth="1"/>
    <col min="9229" max="9229" width="8.25" style="3586" customWidth="1"/>
    <col min="9230" max="9230" width="8.875" style="3586" customWidth="1"/>
    <col min="9231" max="9231" width="6.25" style="3586" customWidth="1"/>
    <col min="9232" max="9232" width="48.5" style="3586" customWidth="1"/>
    <col min="9233" max="9233" width="7.875" style="3586" customWidth="1"/>
    <col min="9234" max="9472" width="9" style="3586"/>
    <col min="9473" max="9473" width="34.125" style="3586" customWidth="1"/>
    <col min="9474" max="9474" width="6.25" style="3586" customWidth="1"/>
    <col min="9475" max="9475" width="11.75" style="3586" customWidth="1"/>
    <col min="9476" max="9476" width="8.625" style="3586" customWidth="1"/>
    <col min="9477" max="9477" width="10.5" style="3586" customWidth="1"/>
    <col min="9478" max="9478" width="21.75" style="3586" customWidth="1"/>
    <col min="9479" max="9479" width="0" style="3586" hidden="1" customWidth="1"/>
    <col min="9480" max="9480" width="11.25" style="3586" customWidth="1"/>
    <col min="9481" max="9481" width="0" style="3586" hidden="1" customWidth="1"/>
    <col min="9482" max="9483" width="9" style="3586" customWidth="1"/>
    <col min="9484" max="9484" width="10.625" style="3586" customWidth="1"/>
    <col min="9485" max="9485" width="8.25" style="3586" customWidth="1"/>
    <col min="9486" max="9486" width="8.875" style="3586" customWidth="1"/>
    <col min="9487" max="9487" width="6.25" style="3586" customWidth="1"/>
    <col min="9488" max="9488" width="48.5" style="3586" customWidth="1"/>
    <col min="9489" max="9489" width="7.875" style="3586" customWidth="1"/>
    <col min="9490" max="9728" width="9" style="3586"/>
    <col min="9729" max="9729" width="34.125" style="3586" customWidth="1"/>
    <col min="9730" max="9730" width="6.25" style="3586" customWidth="1"/>
    <col min="9731" max="9731" width="11.75" style="3586" customWidth="1"/>
    <col min="9732" max="9732" width="8.625" style="3586" customWidth="1"/>
    <col min="9733" max="9733" width="10.5" style="3586" customWidth="1"/>
    <col min="9734" max="9734" width="21.75" style="3586" customWidth="1"/>
    <col min="9735" max="9735" width="0" style="3586" hidden="1" customWidth="1"/>
    <col min="9736" max="9736" width="11.25" style="3586" customWidth="1"/>
    <col min="9737" max="9737" width="0" style="3586" hidden="1" customWidth="1"/>
    <col min="9738" max="9739" width="9" style="3586" customWidth="1"/>
    <col min="9740" max="9740" width="10.625" style="3586" customWidth="1"/>
    <col min="9741" max="9741" width="8.25" style="3586" customWidth="1"/>
    <col min="9742" max="9742" width="8.875" style="3586" customWidth="1"/>
    <col min="9743" max="9743" width="6.25" style="3586" customWidth="1"/>
    <col min="9744" max="9744" width="48.5" style="3586" customWidth="1"/>
    <col min="9745" max="9745" width="7.875" style="3586" customWidth="1"/>
    <col min="9746" max="9984" width="9" style="3586"/>
    <col min="9985" max="9985" width="34.125" style="3586" customWidth="1"/>
    <col min="9986" max="9986" width="6.25" style="3586" customWidth="1"/>
    <col min="9987" max="9987" width="11.75" style="3586" customWidth="1"/>
    <col min="9988" max="9988" width="8.625" style="3586" customWidth="1"/>
    <col min="9989" max="9989" width="10.5" style="3586" customWidth="1"/>
    <col min="9990" max="9990" width="21.75" style="3586" customWidth="1"/>
    <col min="9991" max="9991" width="0" style="3586" hidden="1" customWidth="1"/>
    <col min="9992" max="9992" width="11.25" style="3586" customWidth="1"/>
    <col min="9993" max="9993" width="0" style="3586" hidden="1" customWidth="1"/>
    <col min="9994" max="9995" width="9" style="3586" customWidth="1"/>
    <col min="9996" max="9996" width="10.625" style="3586" customWidth="1"/>
    <col min="9997" max="9997" width="8.25" style="3586" customWidth="1"/>
    <col min="9998" max="9998" width="8.875" style="3586" customWidth="1"/>
    <col min="9999" max="9999" width="6.25" style="3586" customWidth="1"/>
    <col min="10000" max="10000" width="48.5" style="3586" customWidth="1"/>
    <col min="10001" max="10001" width="7.875" style="3586" customWidth="1"/>
    <col min="10002" max="10240" width="9" style="3586"/>
    <col min="10241" max="10241" width="34.125" style="3586" customWidth="1"/>
    <col min="10242" max="10242" width="6.25" style="3586" customWidth="1"/>
    <col min="10243" max="10243" width="11.75" style="3586" customWidth="1"/>
    <col min="10244" max="10244" width="8.625" style="3586" customWidth="1"/>
    <col min="10245" max="10245" width="10.5" style="3586" customWidth="1"/>
    <col min="10246" max="10246" width="21.75" style="3586" customWidth="1"/>
    <col min="10247" max="10247" width="0" style="3586" hidden="1" customWidth="1"/>
    <col min="10248" max="10248" width="11.25" style="3586" customWidth="1"/>
    <col min="10249" max="10249" width="0" style="3586" hidden="1" customWidth="1"/>
    <col min="10250" max="10251" width="9" style="3586" customWidth="1"/>
    <col min="10252" max="10252" width="10.625" style="3586" customWidth="1"/>
    <col min="10253" max="10253" width="8.25" style="3586" customWidth="1"/>
    <col min="10254" max="10254" width="8.875" style="3586" customWidth="1"/>
    <col min="10255" max="10255" width="6.25" style="3586" customWidth="1"/>
    <col min="10256" max="10256" width="48.5" style="3586" customWidth="1"/>
    <col min="10257" max="10257" width="7.875" style="3586" customWidth="1"/>
    <col min="10258" max="10496" width="9" style="3586"/>
    <col min="10497" max="10497" width="34.125" style="3586" customWidth="1"/>
    <col min="10498" max="10498" width="6.25" style="3586" customWidth="1"/>
    <col min="10499" max="10499" width="11.75" style="3586" customWidth="1"/>
    <col min="10500" max="10500" width="8.625" style="3586" customWidth="1"/>
    <col min="10501" max="10501" width="10.5" style="3586" customWidth="1"/>
    <col min="10502" max="10502" width="21.75" style="3586" customWidth="1"/>
    <col min="10503" max="10503" width="0" style="3586" hidden="1" customWidth="1"/>
    <col min="10504" max="10504" width="11.25" style="3586" customWidth="1"/>
    <col min="10505" max="10505" width="0" style="3586" hidden="1" customWidth="1"/>
    <col min="10506" max="10507" width="9" style="3586" customWidth="1"/>
    <col min="10508" max="10508" width="10.625" style="3586" customWidth="1"/>
    <col min="10509" max="10509" width="8.25" style="3586" customWidth="1"/>
    <col min="10510" max="10510" width="8.875" style="3586" customWidth="1"/>
    <col min="10511" max="10511" width="6.25" style="3586" customWidth="1"/>
    <col min="10512" max="10512" width="48.5" style="3586" customWidth="1"/>
    <col min="10513" max="10513" width="7.875" style="3586" customWidth="1"/>
    <col min="10514" max="10752" width="9" style="3586"/>
    <col min="10753" max="10753" width="34.125" style="3586" customWidth="1"/>
    <col min="10754" max="10754" width="6.25" style="3586" customWidth="1"/>
    <col min="10755" max="10755" width="11.75" style="3586" customWidth="1"/>
    <col min="10756" max="10756" width="8.625" style="3586" customWidth="1"/>
    <col min="10757" max="10757" width="10.5" style="3586" customWidth="1"/>
    <col min="10758" max="10758" width="21.75" style="3586" customWidth="1"/>
    <col min="10759" max="10759" width="0" style="3586" hidden="1" customWidth="1"/>
    <col min="10760" max="10760" width="11.25" style="3586" customWidth="1"/>
    <col min="10761" max="10761" width="0" style="3586" hidden="1" customWidth="1"/>
    <col min="10762" max="10763" width="9" style="3586" customWidth="1"/>
    <col min="10764" max="10764" width="10.625" style="3586" customWidth="1"/>
    <col min="10765" max="10765" width="8.25" style="3586" customWidth="1"/>
    <col min="10766" max="10766" width="8.875" style="3586" customWidth="1"/>
    <col min="10767" max="10767" width="6.25" style="3586" customWidth="1"/>
    <col min="10768" max="10768" width="48.5" style="3586" customWidth="1"/>
    <col min="10769" max="10769" width="7.875" style="3586" customWidth="1"/>
    <col min="10770" max="11008" width="9" style="3586"/>
    <col min="11009" max="11009" width="34.125" style="3586" customWidth="1"/>
    <col min="11010" max="11010" width="6.25" style="3586" customWidth="1"/>
    <col min="11011" max="11011" width="11.75" style="3586" customWidth="1"/>
    <col min="11012" max="11012" width="8.625" style="3586" customWidth="1"/>
    <col min="11013" max="11013" width="10.5" style="3586" customWidth="1"/>
    <col min="11014" max="11014" width="21.75" style="3586" customWidth="1"/>
    <col min="11015" max="11015" width="0" style="3586" hidden="1" customWidth="1"/>
    <col min="11016" max="11016" width="11.25" style="3586" customWidth="1"/>
    <col min="11017" max="11017" width="0" style="3586" hidden="1" customWidth="1"/>
    <col min="11018" max="11019" width="9" style="3586" customWidth="1"/>
    <col min="11020" max="11020" width="10.625" style="3586" customWidth="1"/>
    <col min="11021" max="11021" width="8.25" style="3586" customWidth="1"/>
    <col min="11022" max="11022" width="8.875" style="3586" customWidth="1"/>
    <col min="11023" max="11023" width="6.25" style="3586" customWidth="1"/>
    <col min="11024" max="11024" width="48.5" style="3586" customWidth="1"/>
    <col min="11025" max="11025" width="7.875" style="3586" customWidth="1"/>
    <col min="11026" max="11264" width="9" style="3586"/>
    <col min="11265" max="11265" width="34.125" style="3586" customWidth="1"/>
    <col min="11266" max="11266" width="6.25" style="3586" customWidth="1"/>
    <col min="11267" max="11267" width="11.75" style="3586" customWidth="1"/>
    <col min="11268" max="11268" width="8.625" style="3586" customWidth="1"/>
    <col min="11269" max="11269" width="10.5" style="3586" customWidth="1"/>
    <col min="11270" max="11270" width="21.75" style="3586" customWidth="1"/>
    <col min="11271" max="11271" width="0" style="3586" hidden="1" customWidth="1"/>
    <col min="11272" max="11272" width="11.25" style="3586" customWidth="1"/>
    <col min="11273" max="11273" width="0" style="3586" hidden="1" customWidth="1"/>
    <col min="11274" max="11275" width="9" style="3586" customWidth="1"/>
    <col min="11276" max="11276" width="10.625" style="3586" customWidth="1"/>
    <col min="11277" max="11277" width="8.25" style="3586" customWidth="1"/>
    <col min="11278" max="11278" width="8.875" style="3586" customWidth="1"/>
    <col min="11279" max="11279" width="6.25" style="3586" customWidth="1"/>
    <col min="11280" max="11280" width="48.5" style="3586" customWidth="1"/>
    <col min="11281" max="11281" width="7.875" style="3586" customWidth="1"/>
    <col min="11282" max="11520" width="9" style="3586"/>
    <col min="11521" max="11521" width="34.125" style="3586" customWidth="1"/>
    <col min="11522" max="11522" width="6.25" style="3586" customWidth="1"/>
    <col min="11523" max="11523" width="11.75" style="3586" customWidth="1"/>
    <col min="11524" max="11524" width="8.625" style="3586" customWidth="1"/>
    <col min="11525" max="11525" width="10.5" style="3586" customWidth="1"/>
    <col min="11526" max="11526" width="21.75" style="3586" customWidth="1"/>
    <col min="11527" max="11527" width="0" style="3586" hidden="1" customWidth="1"/>
    <col min="11528" max="11528" width="11.25" style="3586" customWidth="1"/>
    <col min="11529" max="11529" width="0" style="3586" hidden="1" customWidth="1"/>
    <col min="11530" max="11531" width="9" style="3586" customWidth="1"/>
    <col min="11532" max="11532" width="10.625" style="3586" customWidth="1"/>
    <col min="11533" max="11533" width="8.25" style="3586" customWidth="1"/>
    <col min="11534" max="11534" width="8.875" style="3586" customWidth="1"/>
    <col min="11535" max="11535" width="6.25" style="3586" customWidth="1"/>
    <col min="11536" max="11536" width="48.5" style="3586" customWidth="1"/>
    <col min="11537" max="11537" width="7.875" style="3586" customWidth="1"/>
    <col min="11538" max="11776" width="9" style="3586"/>
    <col min="11777" max="11777" width="34.125" style="3586" customWidth="1"/>
    <col min="11778" max="11778" width="6.25" style="3586" customWidth="1"/>
    <col min="11779" max="11779" width="11.75" style="3586" customWidth="1"/>
    <col min="11780" max="11780" width="8.625" style="3586" customWidth="1"/>
    <col min="11781" max="11781" width="10.5" style="3586" customWidth="1"/>
    <col min="11782" max="11782" width="21.75" style="3586" customWidth="1"/>
    <col min="11783" max="11783" width="0" style="3586" hidden="1" customWidth="1"/>
    <col min="11784" max="11784" width="11.25" style="3586" customWidth="1"/>
    <col min="11785" max="11785" width="0" style="3586" hidden="1" customWidth="1"/>
    <col min="11786" max="11787" width="9" style="3586" customWidth="1"/>
    <col min="11788" max="11788" width="10.625" style="3586" customWidth="1"/>
    <col min="11789" max="11789" width="8.25" style="3586" customWidth="1"/>
    <col min="11790" max="11790" width="8.875" style="3586" customWidth="1"/>
    <col min="11791" max="11791" width="6.25" style="3586" customWidth="1"/>
    <col min="11792" max="11792" width="48.5" style="3586" customWidth="1"/>
    <col min="11793" max="11793" width="7.875" style="3586" customWidth="1"/>
    <col min="11794" max="12032" width="9" style="3586"/>
    <col min="12033" max="12033" width="34.125" style="3586" customWidth="1"/>
    <col min="12034" max="12034" width="6.25" style="3586" customWidth="1"/>
    <col min="12035" max="12035" width="11.75" style="3586" customWidth="1"/>
    <col min="12036" max="12036" width="8.625" style="3586" customWidth="1"/>
    <col min="12037" max="12037" width="10.5" style="3586" customWidth="1"/>
    <col min="12038" max="12038" width="21.75" style="3586" customWidth="1"/>
    <col min="12039" max="12039" width="0" style="3586" hidden="1" customWidth="1"/>
    <col min="12040" max="12040" width="11.25" style="3586" customWidth="1"/>
    <col min="12041" max="12041" width="0" style="3586" hidden="1" customWidth="1"/>
    <col min="12042" max="12043" width="9" style="3586" customWidth="1"/>
    <col min="12044" max="12044" width="10.625" style="3586" customWidth="1"/>
    <col min="12045" max="12045" width="8.25" style="3586" customWidth="1"/>
    <col min="12046" max="12046" width="8.875" style="3586" customWidth="1"/>
    <col min="12047" max="12047" width="6.25" style="3586" customWidth="1"/>
    <col min="12048" max="12048" width="48.5" style="3586" customWidth="1"/>
    <col min="12049" max="12049" width="7.875" style="3586" customWidth="1"/>
    <col min="12050" max="12288" width="9" style="3586"/>
    <col min="12289" max="12289" width="34.125" style="3586" customWidth="1"/>
    <col min="12290" max="12290" width="6.25" style="3586" customWidth="1"/>
    <col min="12291" max="12291" width="11.75" style="3586" customWidth="1"/>
    <col min="12292" max="12292" width="8.625" style="3586" customWidth="1"/>
    <col min="12293" max="12293" width="10.5" style="3586" customWidth="1"/>
    <col min="12294" max="12294" width="21.75" style="3586" customWidth="1"/>
    <col min="12295" max="12295" width="0" style="3586" hidden="1" customWidth="1"/>
    <col min="12296" max="12296" width="11.25" style="3586" customWidth="1"/>
    <col min="12297" max="12297" width="0" style="3586" hidden="1" customWidth="1"/>
    <col min="12298" max="12299" width="9" style="3586" customWidth="1"/>
    <col min="12300" max="12300" width="10.625" style="3586" customWidth="1"/>
    <col min="12301" max="12301" width="8.25" style="3586" customWidth="1"/>
    <col min="12302" max="12302" width="8.875" style="3586" customWidth="1"/>
    <col min="12303" max="12303" width="6.25" style="3586" customWidth="1"/>
    <col min="12304" max="12304" width="48.5" style="3586" customWidth="1"/>
    <col min="12305" max="12305" width="7.875" style="3586" customWidth="1"/>
    <col min="12306" max="12544" width="9" style="3586"/>
    <col min="12545" max="12545" width="34.125" style="3586" customWidth="1"/>
    <col min="12546" max="12546" width="6.25" style="3586" customWidth="1"/>
    <col min="12547" max="12547" width="11.75" style="3586" customWidth="1"/>
    <col min="12548" max="12548" width="8.625" style="3586" customWidth="1"/>
    <col min="12549" max="12549" width="10.5" style="3586" customWidth="1"/>
    <col min="12550" max="12550" width="21.75" style="3586" customWidth="1"/>
    <col min="12551" max="12551" width="0" style="3586" hidden="1" customWidth="1"/>
    <col min="12552" max="12552" width="11.25" style="3586" customWidth="1"/>
    <col min="12553" max="12553" width="0" style="3586" hidden="1" customWidth="1"/>
    <col min="12554" max="12555" width="9" style="3586" customWidth="1"/>
    <col min="12556" max="12556" width="10.625" style="3586" customWidth="1"/>
    <col min="12557" max="12557" width="8.25" style="3586" customWidth="1"/>
    <col min="12558" max="12558" width="8.875" style="3586" customWidth="1"/>
    <col min="12559" max="12559" width="6.25" style="3586" customWidth="1"/>
    <col min="12560" max="12560" width="48.5" style="3586" customWidth="1"/>
    <col min="12561" max="12561" width="7.875" style="3586" customWidth="1"/>
    <col min="12562" max="12800" width="9" style="3586"/>
    <col min="12801" max="12801" width="34.125" style="3586" customWidth="1"/>
    <col min="12802" max="12802" width="6.25" style="3586" customWidth="1"/>
    <col min="12803" max="12803" width="11.75" style="3586" customWidth="1"/>
    <col min="12804" max="12804" width="8.625" style="3586" customWidth="1"/>
    <col min="12805" max="12805" width="10.5" style="3586" customWidth="1"/>
    <col min="12806" max="12806" width="21.75" style="3586" customWidth="1"/>
    <col min="12807" max="12807" width="0" style="3586" hidden="1" customWidth="1"/>
    <col min="12808" max="12808" width="11.25" style="3586" customWidth="1"/>
    <col min="12809" max="12809" width="0" style="3586" hidden="1" customWidth="1"/>
    <col min="12810" max="12811" width="9" style="3586" customWidth="1"/>
    <col min="12812" max="12812" width="10.625" style="3586" customWidth="1"/>
    <col min="12813" max="12813" width="8.25" style="3586" customWidth="1"/>
    <col min="12814" max="12814" width="8.875" style="3586" customWidth="1"/>
    <col min="12815" max="12815" width="6.25" style="3586" customWidth="1"/>
    <col min="12816" max="12816" width="48.5" style="3586" customWidth="1"/>
    <col min="12817" max="12817" width="7.875" style="3586" customWidth="1"/>
    <col min="12818" max="13056" width="9" style="3586"/>
    <col min="13057" max="13057" width="34.125" style="3586" customWidth="1"/>
    <col min="13058" max="13058" width="6.25" style="3586" customWidth="1"/>
    <col min="13059" max="13059" width="11.75" style="3586" customWidth="1"/>
    <col min="13060" max="13060" width="8.625" style="3586" customWidth="1"/>
    <col min="13061" max="13061" width="10.5" style="3586" customWidth="1"/>
    <col min="13062" max="13062" width="21.75" style="3586" customWidth="1"/>
    <col min="13063" max="13063" width="0" style="3586" hidden="1" customWidth="1"/>
    <col min="13064" max="13064" width="11.25" style="3586" customWidth="1"/>
    <col min="13065" max="13065" width="0" style="3586" hidden="1" customWidth="1"/>
    <col min="13066" max="13067" width="9" style="3586" customWidth="1"/>
    <col min="13068" max="13068" width="10.625" style="3586" customWidth="1"/>
    <col min="13069" max="13069" width="8.25" style="3586" customWidth="1"/>
    <col min="13070" max="13070" width="8.875" style="3586" customWidth="1"/>
    <col min="13071" max="13071" width="6.25" style="3586" customWidth="1"/>
    <col min="13072" max="13072" width="48.5" style="3586" customWidth="1"/>
    <col min="13073" max="13073" width="7.875" style="3586" customWidth="1"/>
    <col min="13074" max="13312" width="9" style="3586"/>
    <col min="13313" max="13313" width="34.125" style="3586" customWidth="1"/>
    <col min="13314" max="13314" width="6.25" style="3586" customWidth="1"/>
    <col min="13315" max="13315" width="11.75" style="3586" customWidth="1"/>
    <col min="13316" max="13316" width="8.625" style="3586" customWidth="1"/>
    <col min="13317" max="13317" width="10.5" style="3586" customWidth="1"/>
    <col min="13318" max="13318" width="21.75" style="3586" customWidth="1"/>
    <col min="13319" max="13319" width="0" style="3586" hidden="1" customWidth="1"/>
    <col min="13320" max="13320" width="11.25" style="3586" customWidth="1"/>
    <col min="13321" max="13321" width="0" style="3586" hidden="1" customWidth="1"/>
    <col min="13322" max="13323" width="9" style="3586" customWidth="1"/>
    <col min="13324" max="13324" width="10.625" style="3586" customWidth="1"/>
    <col min="13325" max="13325" width="8.25" style="3586" customWidth="1"/>
    <col min="13326" max="13326" width="8.875" style="3586" customWidth="1"/>
    <col min="13327" max="13327" width="6.25" style="3586" customWidth="1"/>
    <col min="13328" max="13328" width="48.5" style="3586" customWidth="1"/>
    <col min="13329" max="13329" width="7.875" style="3586" customWidth="1"/>
    <col min="13330" max="13568" width="9" style="3586"/>
    <col min="13569" max="13569" width="34.125" style="3586" customWidth="1"/>
    <col min="13570" max="13570" width="6.25" style="3586" customWidth="1"/>
    <col min="13571" max="13571" width="11.75" style="3586" customWidth="1"/>
    <col min="13572" max="13572" width="8.625" style="3586" customWidth="1"/>
    <col min="13573" max="13573" width="10.5" style="3586" customWidth="1"/>
    <col min="13574" max="13574" width="21.75" style="3586" customWidth="1"/>
    <col min="13575" max="13575" width="0" style="3586" hidden="1" customWidth="1"/>
    <col min="13576" max="13576" width="11.25" style="3586" customWidth="1"/>
    <col min="13577" max="13577" width="0" style="3586" hidden="1" customWidth="1"/>
    <col min="13578" max="13579" width="9" style="3586" customWidth="1"/>
    <col min="13580" max="13580" width="10.625" style="3586" customWidth="1"/>
    <col min="13581" max="13581" width="8.25" style="3586" customWidth="1"/>
    <col min="13582" max="13582" width="8.875" style="3586" customWidth="1"/>
    <col min="13583" max="13583" width="6.25" style="3586" customWidth="1"/>
    <col min="13584" max="13584" width="48.5" style="3586" customWidth="1"/>
    <col min="13585" max="13585" width="7.875" style="3586" customWidth="1"/>
    <col min="13586" max="13824" width="9" style="3586"/>
    <col min="13825" max="13825" width="34.125" style="3586" customWidth="1"/>
    <col min="13826" max="13826" width="6.25" style="3586" customWidth="1"/>
    <col min="13827" max="13827" width="11.75" style="3586" customWidth="1"/>
    <col min="13828" max="13828" width="8.625" style="3586" customWidth="1"/>
    <col min="13829" max="13829" width="10.5" style="3586" customWidth="1"/>
    <col min="13830" max="13830" width="21.75" style="3586" customWidth="1"/>
    <col min="13831" max="13831" width="0" style="3586" hidden="1" customWidth="1"/>
    <col min="13832" max="13832" width="11.25" style="3586" customWidth="1"/>
    <col min="13833" max="13833" width="0" style="3586" hidden="1" customWidth="1"/>
    <col min="13834" max="13835" width="9" style="3586" customWidth="1"/>
    <col min="13836" max="13836" width="10.625" style="3586" customWidth="1"/>
    <col min="13837" max="13837" width="8.25" style="3586" customWidth="1"/>
    <col min="13838" max="13838" width="8.875" style="3586" customWidth="1"/>
    <col min="13839" max="13839" width="6.25" style="3586" customWidth="1"/>
    <col min="13840" max="13840" width="48.5" style="3586" customWidth="1"/>
    <col min="13841" max="13841" width="7.875" style="3586" customWidth="1"/>
    <col min="13842" max="14080" width="9" style="3586"/>
    <col min="14081" max="14081" width="34.125" style="3586" customWidth="1"/>
    <col min="14082" max="14082" width="6.25" style="3586" customWidth="1"/>
    <col min="14083" max="14083" width="11.75" style="3586" customWidth="1"/>
    <col min="14084" max="14084" width="8.625" style="3586" customWidth="1"/>
    <col min="14085" max="14085" width="10.5" style="3586" customWidth="1"/>
    <col min="14086" max="14086" width="21.75" style="3586" customWidth="1"/>
    <col min="14087" max="14087" width="0" style="3586" hidden="1" customWidth="1"/>
    <col min="14088" max="14088" width="11.25" style="3586" customWidth="1"/>
    <col min="14089" max="14089" width="0" style="3586" hidden="1" customWidth="1"/>
    <col min="14090" max="14091" width="9" style="3586" customWidth="1"/>
    <col min="14092" max="14092" width="10.625" style="3586" customWidth="1"/>
    <col min="14093" max="14093" width="8.25" style="3586" customWidth="1"/>
    <col min="14094" max="14094" width="8.875" style="3586" customWidth="1"/>
    <col min="14095" max="14095" width="6.25" style="3586" customWidth="1"/>
    <col min="14096" max="14096" width="48.5" style="3586" customWidth="1"/>
    <col min="14097" max="14097" width="7.875" style="3586" customWidth="1"/>
    <col min="14098" max="14336" width="9" style="3586"/>
    <col min="14337" max="14337" width="34.125" style="3586" customWidth="1"/>
    <col min="14338" max="14338" width="6.25" style="3586" customWidth="1"/>
    <col min="14339" max="14339" width="11.75" style="3586" customWidth="1"/>
    <col min="14340" max="14340" width="8.625" style="3586" customWidth="1"/>
    <col min="14341" max="14341" width="10.5" style="3586" customWidth="1"/>
    <col min="14342" max="14342" width="21.75" style="3586" customWidth="1"/>
    <col min="14343" max="14343" width="0" style="3586" hidden="1" customWidth="1"/>
    <col min="14344" max="14344" width="11.25" style="3586" customWidth="1"/>
    <col min="14345" max="14345" width="0" style="3586" hidden="1" customWidth="1"/>
    <col min="14346" max="14347" width="9" style="3586" customWidth="1"/>
    <col min="14348" max="14348" width="10.625" style="3586" customWidth="1"/>
    <col min="14349" max="14349" width="8.25" style="3586" customWidth="1"/>
    <col min="14350" max="14350" width="8.875" style="3586" customWidth="1"/>
    <col min="14351" max="14351" width="6.25" style="3586" customWidth="1"/>
    <col min="14352" max="14352" width="48.5" style="3586" customWidth="1"/>
    <col min="14353" max="14353" width="7.875" style="3586" customWidth="1"/>
    <col min="14354" max="14592" width="9" style="3586"/>
    <col min="14593" max="14593" width="34.125" style="3586" customWidth="1"/>
    <col min="14594" max="14594" width="6.25" style="3586" customWidth="1"/>
    <col min="14595" max="14595" width="11.75" style="3586" customWidth="1"/>
    <col min="14596" max="14596" width="8.625" style="3586" customWidth="1"/>
    <col min="14597" max="14597" width="10.5" style="3586" customWidth="1"/>
    <col min="14598" max="14598" width="21.75" style="3586" customWidth="1"/>
    <col min="14599" max="14599" width="0" style="3586" hidden="1" customWidth="1"/>
    <col min="14600" max="14600" width="11.25" style="3586" customWidth="1"/>
    <col min="14601" max="14601" width="0" style="3586" hidden="1" customWidth="1"/>
    <col min="14602" max="14603" width="9" style="3586" customWidth="1"/>
    <col min="14604" max="14604" width="10.625" style="3586" customWidth="1"/>
    <col min="14605" max="14605" width="8.25" style="3586" customWidth="1"/>
    <col min="14606" max="14606" width="8.875" style="3586" customWidth="1"/>
    <col min="14607" max="14607" width="6.25" style="3586" customWidth="1"/>
    <col min="14608" max="14608" width="48.5" style="3586" customWidth="1"/>
    <col min="14609" max="14609" width="7.875" style="3586" customWidth="1"/>
    <col min="14610" max="14848" width="9" style="3586"/>
    <col min="14849" max="14849" width="34.125" style="3586" customWidth="1"/>
    <col min="14850" max="14850" width="6.25" style="3586" customWidth="1"/>
    <col min="14851" max="14851" width="11.75" style="3586" customWidth="1"/>
    <col min="14852" max="14852" width="8.625" style="3586" customWidth="1"/>
    <col min="14853" max="14853" width="10.5" style="3586" customWidth="1"/>
    <col min="14854" max="14854" width="21.75" style="3586" customWidth="1"/>
    <col min="14855" max="14855" width="0" style="3586" hidden="1" customWidth="1"/>
    <col min="14856" max="14856" width="11.25" style="3586" customWidth="1"/>
    <col min="14857" max="14857" width="0" style="3586" hidden="1" customWidth="1"/>
    <col min="14858" max="14859" width="9" style="3586" customWidth="1"/>
    <col min="14860" max="14860" width="10.625" style="3586" customWidth="1"/>
    <col min="14861" max="14861" width="8.25" style="3586" customWidth="1"/>
    <col min="14862" max="14862" width="8.875" style="3586" customWidth="1"/>
    <col min="14863" max="14863" width="6.25" style="3586" customWidth="1"/>
    <col min="14864" max="14864" width="48.5" style="3586" customWidth="1"/>
    <col min="14865" max="14865" width="7.875" style="3586" customWidth="1"/>
    <col min="14866" max="15104" width="9" style="3586"/>
    <col min="15105" max="15105" width="34.125" style="3586" customWidth="1"/>
    <col min="15106" max="15106" width="6.25" style="3586" customWidth="1"/>
    <col min="15107" max="15107" width="11.75" style="3586" customWidth="1"/>
    <col min="15108" max="15108" width="8.625" style="3586" customWidth="1"/>
    <col min="15109" max="15109" width="10.5" style="3586" customWidth="1"/>
    <col min="15110" max="15110" width="21.75" style="3586" customWidth="1"/>
    <col min="15111" max="15111" width="0" style="3586" hidden="1" customWidth="1"/>
    <col min="15112" max="15112" width="11.25" style="3586" customWidth="1"/>
    <col min="15113" max="15113" width="0" style="3586" hidden="1" customWidth="1"/>
    <col min="15114" max="15115" width="9" style="3586" customWidth="1"/>
    <col min="15116" max="15116" width="10.625" style="3586" customWidth="1"/>
    <col min="15117" max="15117" width="8.25" style="3586" customWidth="1"/>
    <col min="15118" max="15118" width="8.875" style="3586" customWidth="1"/>
    <col min="15119" max="15119" width="6.25" style="3586" customWidth="1"/>
    <col min="15120" max="15120" width="48.5" style="3586" customWidth="1"/>
    <col min="15121" max="15121" width="7.875" style="3586" customWidth="1"/>
    <col min="15122" max="15360" width="9" style="3586"/>
    <col min="15361" max="15361" width="34.125" style="3586" customWidth="1"/>
    <col min="15362" max="15362" width="6.25" style="3586" customWidth="1"/>
    <col min="15363" max="15363" width="11.75" style="3586" customWidth="1"/>
    <col min="15364" max="15364" width="8.625" style="3586" customWidth="1"/>
    <col min="15365" max="15365" width="10.5" style="3586" customWidth="1"/>
    <col min="15366" max="15366" width="21.75" style="3586" customWidth="1"/>
    <col min="15367" max="15367" width="0" style="3586" hidden="1" customWidth="1"/>
    <col min="15368" max="15368" width="11.25" style="3586" customWidth="1"/>
    <col min="15369" max="15369" width="0" style="3586" hidden="1" customWidth="1"/>
    <col min="15370" max="15371" width="9" style="3586" customWidth="1"/>
    <col min="15372" max="15372" width="10.625" style="3586" customWidth="1"/>
    <col min="15373" max="15373" width="8.25" style="3586" customWidth="1"/>
    <col min="15374" max="15374" width="8.875" style="3586" customWidth="1"/>
    <col min="15375" max="15375" width="6.25" style="3586" customWidth="1"/>
    <col min="15376" max="15376" width="48.5" style="3586" customWidth="1"/>
    <col min="15377" max="15377" width="7.875" style="3586" customWidth="1"/>
    <col min="15378" max="15616" width="9" style="3586"/>
    <col min="15617" max="15617" width="34.125" style="3586" customWidth="1"/>
    <col min="15618" max="15618" width="6.25" style="3586" customWidth="1"/>
    <col min="15619" max="15619" width="11.75" style="3586" customWidth="1"/>
    <col min="15620" max="15620" width="8.625" style="3586" customWidth="1"/>
    <col min="15621" max="15621" width="10.5" style="3586" customWidth="1"/>
    <col min="15622" max="15622" width="21.75" style="3586" customWidth="1"/>
    <col min="15623" max="15623" width="0" style="3586" hidden="1" customWidth="1"/>
    <col min="15624" max="15624" width="11.25" style="3586" customWidth="1"/>
    <col min="15625" max="15625" width="0" style="3586" hidden="1" customWidth="1"/>
    <col min="15626" max="15627" width="9" style="3586" customWidth="1"/>
    <col min="15628" max="15628" width="10.625" style="3586" customWidth="1"/>
    <col min="15629" max="15629" width="8.25" style="3586" customWidth="1"/>
    <col min="15630" max="15630" width="8.875" style="3586" customWidth="1"/>
    <col min="15631" max="15631" width="6.25" style="3586" customWidth="1"/>
    <col min="15632" max="15632" width="48.5" style="3586" customWidth="1"/>
    <col min="15633" max="15633" width="7.875" style="3586" customWidth="1"/>
    <col min="15634" max="15872" width="9" style="3586"/>
    <col min="15873" max="15873" width="34.125" style="3586" customWidth="1"/>
    <col min="15874" max="15874" width="6.25" style="3586" customWidth="1"/>
    <col min="15875" max="15875" width="11.75" style="3586" customWidth="1"/>
    <col min="15876" max="15876" width="8.625" style="3586" customWidth="1"/>
    <col min="15877" max="15877" width="10.5" style="3586" customWidth="1"/>
    <col min="15878" max="15878" width="21.75" style="3586" customWidth="1"/>
    <col min="15879" max="15879" width="0" style="3586" hidden="1" customWidth="1"/>
    <col min="15880" max="15880" width="11.25" style="3586" customWidth="1"/>
    <col min="15881" max="15881" width="0" style="3586" hidden="1" customWidth="1"/>
    <col min="15882" max="15883" width="9" style="3586" customWidth="1"/>
    <col min="15884" max="15884" width="10.625" style="3586" customWidth="1"/>
    <col min="15885" max="15885" width="8.25" style="3586" customWidth="1"/>
    <col min="15886" max="15886" width="8.875" style="3586" customWidth="1"/>
    <col min="15887" max="15887" width="6.25" style="3586" customWidth="1"/>
    <col min="15888" max="15888" width="48.5" style="3586" customWidth="1"/>
    <col min="15889" max="15889" width="7.875" style="3586" customWidth="1"/>
    <col min="15890" max="16128" width="9" style="3586"/>
    <col min="16129" max="16129" width="34.125" style="3586" customWidth="1"/>
    <col min="16130" max="16130" width="6.25" style="3586" customWidth="1"/>
    <col min="16131" max="16131" width="11.75" style="3586" customWidth="1"/>
    <col min="16132" max="16132" width="8.625" style="3586" customWidth="1"/>
    <col min="16133" max="16133" width="10.5" style="3586" customWidth="1"/>
    <col min="16134" max="16134" width="21.75" style="3586" customWidth="1"/>
    <col min="16135" max="16135" width="0" style="3586" hidden="1" customWidth="1"/>
    <col min="16136" max="16136" width="11.25" style="3586" customWidth="1"/>
    <col min="16137" max="16137" width="0" style="3586" hidden="1" customWidth="1"/>
    <col min="16138" max="16139" width="9" style="3586" customWidth="1"/>
    <col min="16140" max="16140" width="10.625" style="3586" customWidth="1"/>
    <col min="16141" max="16141" width="8.25" style="3586" customWidth="1"/>
    <col min="16142" max="16142" width="8.875" style="3586" customWidth="1"/>
    <col min="16143" max="16143" width="6.25" style="3586" customWidth="1"/>
    <col min="16144" max="16144" width="48.5" style="3586" customWidth="1"/>
    <col min="16145" max="16145" width="7.875" style="3586" customWidth="1"/>
    <col min="16146" max="16384" width="9" style="3586"/>
  </cols>
  <sheetData>
    <row r="1" spans="1:17">
      <c r="A1" s="3586" t="s">
        <v>3011</v>
      </c>
      <c r="B1" s="3586" t="s">
        <v>3012</v>
      </c>
      <c r="C1" s="3586" t="s">
        <v>3013</v>
      </c>
      <c r="D1" s="3587" t="s">
        <v>3014</v>
      </c>
      <c r="E1" s="3587" t="s">
        <v>3015</v>
      </c>
      <c r="F1" s="3586" t="s">
        <v>2020</v>
      </c>
      <c r="G1" s="3586" t="s">
        <v>3016</v>
      </c>
      <c r="H1" s="3586" t="s">
        <v>3017</v>
      </c>
      <c r="I1" s="3586" t="s">
        <v>3018</v>
      </c>
      <c r="J1" s="3586" t="s">
        <v>3019</v>
      </c>
      <c r="K1" s="3586" t="s">
        <v>3020</v>
      </c>
      <c r="L1" s="3586" t="s">
        <v>3021</v>
      </c>
      <c r="M1" s="3586" t="s">
        <v>3022</v>
      </c>
      <c r="N1" s="3586" t="s">
        <v>3023</v>
      </c>
      <c r="O1" s="3586" t="s">
        <v>3024</v>
      </c>
      <c r="P1" s="3586" t="s">
        <v>3025</v>
      </c>
      <c r="Q1" s="3586" t="s">
        <v>3026</v>
      </c>
    </row>
    <row r="2" spans="1:17">
      <c r="A2" s="3586" t="s">
        <v>3027</v>
      </c>
      <c r="B2" s="3586" t="s">
        <v>3028</v>
      </c>
      <c r="C2" s="3586" t="s">
        <v>3029</v>
      </c>
      <c r="D2" s="3587">
        <v>3282</v>
      </c>
      <c r="E2" s="3587">
        <v>393.84</v>
      </c>
      <c r="F2" s="3586" t="s">
        <v>3030</v>
      </c>
      <c r="G2" s="3586" t="s">
        <v>3031</v>
      </c>
      <c r="H2" s="3586" t="s">
        <v>3032</v>
      </c>
      <c r="I2" s="3586">
        <v>0</v>
      </c>
      <c r="J2" s="3586" t="s">
        <v>3033</v>
      </c>
      <c r="K2" s="3586" t="s">
        <v>2797</v>
      </c>
      <c r="L2" s="3586">
        <v>252</v>
      </c>
      <c r="M2" s="3586" t="s">
        <v>2797</v>
      </c>
      <c r="N2" s="3586" t="s">
        <v>2797</v>
      </c>
      <c r="O2" s="3586" t="s">
        <v>2797</v>
      </c>
      <c r="P2" s="3586" t="s">
        <v>2797</v>
      </c>
      <c r="Q2" s="3586" t="s">
        <v>3034</v>
      </c>
    </row>
    <row r="3" spans="1:17">
      <c r="A3" s="3586" t="s">
        <v>3035</v>
      </c>
      <c r="B3" s="3586" t="s">
        <v>3028</v>
      </c>
      <c r="C3" s="3586" t="s">
        <v>3029</v>
      </c>
      <c r="D3" s="3587">
        <v>11115.4</v>
      </c>
      <c r="E3" s="3587">
        <v>41238.129999999997</v>
      </c>
      <c r="F3" s="3586" t="s">
        <v>3036</v>
      </c>
      <c r="G3" s="3586" t="s">
        <v>3031</v>
      </c>
      <c r="H3" s="3586" t="s">
        <v>3032</v>
      </c>
      <c r="I3" s="3586">
        <v>0</v>
      </c>
      <c r="J3" s="3586" t="s">
        <v>3037</v>
      </c>
      <c r="K3" s="3586" t="s">
        <v>2797</v>
      </c>
      <c r="L3" s="3586">
        <v>1868</v>
      </c>
      <c r="M3" s="3586" t="s">
        <v>2797</v>
      </c>
      <c r="N3" s="3586" t="s">
        <v>2797</v>
      </c>
      <c r="O3" s="3586" t="s">
        <v>2797</v>
      </c>
      <c r="P3" s="3586" t="s">
        <v>2797</v>
      </c>
      <c r="Q3" s="3586" t="s">
        <v>3034</v>
      </c>
    </row>
    <row r="4" spans="1:17">
      <c r="A4" s="3586" t="s">
        <v>3038</v>
      </c>
      <c r="B4" s="3586" t="s">
        <v>3028</v>
      </c>
      <c r="C4" s="3586" t="s">
        <v>3029</v>
      </c>
      <c r="D4" s="3587">
        <v>32304.41</v>
      </c>
      <c r="E4" s="3587">
        <v>114680.66</v>
      </c>
      <c r="F4" s="3586" t="s">
        <v>3039</v>
      </c>
      <c r="G4" s="3586" t="s">
        <v>3031</v>
      </c>
      <c r="H4" s="3586" t="s">
        <v>3032</v>
      </c>
      <c r="I4" s="3586">
        <v>0</v>
      </c>
      <c r="J4" s="3586" t="s">
        <v>3037</v>
      </c>
      <c r="K4" s="3586" t="s">
        <v>2797</v>
      </c>
      <c r="L4" s="3586">
        <v>5449</v>
      </c>
      <c r="M4" s="3586" t="s">
        <v>2797</v>
      </c>
      <c r="N4" s="3586" t="s">
        <v>2797</v>
      </c>
      <c r="O4" s="3586" t="s">
        <v>2797</v>
      </c>
      <c r="P4" s="3586" t="s">
        <v>2797</v>
      </c>
      <c r="Q4" s="3586" t="s">
        <v>3034</v>
      </c>
    </row>
    <row r="5" spans="1:17">
      <c r="A5" s="3586" t="s">
        <v>3040</v>
      </c>
      <c r="B5" s="3586" t="s">
        <v>3028</v>
      </c>
      <c r="C5" s="3586" t="s">
        <v>3029</v>
      </c>
      <c r="D5" s="3587">
        <v>1893.65</v>
      </c>
      <c r="E5" s="3587">
        <v>1893.65</v>
      </c>
      <c r="F5" s="3586" t="s">
        <v>3041</v>
      </c>
      <c r="G5" s="3586" t="s">
        <v>3031</v>
      </c>
      <c r="H5" s="3586" t="s">
        <v>3032</v>
      </c>
      <c r="I5" s="3586">
        <v>0</v>
      </c>
      <c r="J5" s="3586" t="s">
        <v>3042</v>
      </c>
      <c r="K5" s="3586" t="s">
        <v>2797</v>
      </c>
      <c r="L5" s="3586">
        <v>179.91</v>
      </c>
      <c r="M5" s="3586" t="s">
        <v>2797</v>
      </c>
      <c r="N5" s="3586" t="s">
        <v>2797</v>
      </c>
      <c r="O5" s="3586" t="s">
        <v>2797</v>
      </c>
      <c r="P5" s="3586" t="s">
        <v>2797</v>
      </c>
      <c r="Q5" s="3586" t="s">
        <v>3034</v>
      </c>
    </row>
    <row r="6" spans="1:17">
      <c r="A6" s="3586" t="s">
        <v>3043</v>
      </c>
      <c r="B6" s="3586" t="s">
        <v>3028</v>
      </c>
      <c r="C6" s="3586" t="s">
        <v>3029</v>
      </c>
      <c r="D6" s="3587">
        <v>900</v>
      </c>
      <c r="E6" s="3587">
        <v>1350</v>
      </c>
      <c r="F6" s="3586" t="s">
        <v>3044</v>
      </c>
      <c r="G6" s="3586" t="s">
        <v>3031</v>
      </c>
      <c r="H6" s="3586" t="s">
        <v>3045</v>
      </c>
      <c r="I6" s="3586">
        <v>0</v>
      </c>
      <c r="J6" s="3586" t="s">
        <v>3046</v>
      </c>
      <c r="K6" s="3586" t="s">
        <v>2797</v>
      </c>
      <c r="L6" s="3586">
        <v>68</v>
      </c>
      <c r="M6" s="3586" t="s">
        <v>2797</v>
      </c>
      <c r="N6" s="3586" t="s">
        <v>2797</v>
      </c>
      <c r="O6" s="3586" t="s">
        <v>2797</v>
      </c>
      <c r="P6" s="3586" t="s">
        <v>2797</v>
      </c>
      <c r="Q6" s="3586" t="s">
        <v>3034</v>
      </c>
    </row>
    <row r="7" spans="1:17">
      <c r="A7" s="3586" t="s">
        <v>3047</v>
      </c>
      <c r="B7" s="3586" t="s">
        <v>3028</v>
      </c>
      <c r="C7" s="3586" t="s">
        <v>3029</v>
      </c>
      <c r="D7" s="3587">
        <v>6446</v>
      </c>
      <c r="E7" s="3587">
        <v>9669</v>
      </c>
      <c r="F7" s="3586" t="s">
        <v>3044</v>
      </c>
      <c r="G7" s="3586" t="s">
        <v>3031</v>
      </c>
      <c r="H7" s="3586" t="s">
        <v>3045</v>
      </c>
      <c r="I7" s="3586">
        <v>0</v>
      </c>
      <c r="J7" s="3586" t="s">
        <v>3046</v>
      </c>
      <c r="K7" s="3586" t="s">
        <v>2797</v>
      </c>
      <c r="L7" s="3586">
        <v>480</v>
      </c>
      <c r="M7" s="3586" t="s">
        <v>2797</v>
      </c>
      <c r="N7" s="3586" t="s">
        <v>2797</v>
      </c>
      <c r="O7" s="3586" t="s">
        <v>2797</v>
      </c>
      <c r="P7" s="3586" t="s">
        <v>2797</v>
      </c>
      <c r="Q7" s="3586" t="s">
        <v>3034</v>
      </c>
    </row>
    <row r="8" spans="1:17">
      <c r="A8" s="3586" t="s">
        <v>3048</v>
      </c>
      <c r="B8" s="3586" t="s">
        <v>3028</v>
      </c>
      <c r="C8" s="3586" t="s">
        <v>3029</v>
      </c>
      <c r="D8" s="3587">
        <v>44128</v>
      </c>
      <c r="E8" s="3587">
        <v>66192</v>
      </c>
      <c r="F8" s="3586" t="s">
        <v>3044</v>
      </c>
      <c r="G8" s="3586" t="s">
        <v>3031</v>
      </c>
      <c r="H8" s="3586" t="s">
        <v>3045</v>
      </c>
      <c r="I8" s="3586">
        <v>0</v>
      </c>
      <c r="J8" s="3586" t="s">
        <v>3046</v>
      </c>
      <c r="K8" s="3586" t="s">
        <v>2797</v>
      </c>
      <c r="L8" s="3586">
        <v>3250</v>
      </c>
      <c r="M8" s="3586" t="s">
        <v>2797</v>
      </c>
      <c r="N8" s="3586" t="s">
        <v>2797</v>
      </c>
      <c r="O8" s="3586" t="s">
        <v>2797</v>
      </c>
      <c r="P8" s="3586" t="s">
        <v>2797</v>
      </c>
      <c r="Q8" s="3586" t="s">
        <v>3034</v>
      </c>
    </row>
    <row r="9" spans="1:17">
      <c r="A9" s="3586" t="s">
        <v>3049</v>
      </c>
      <c r="B9" s="3586" t="s">
        <v>3028</v>
      </c>
      <c r="C9" s="3586" t="s">
        <v>3029</v>
      </c>
      <c r="D9" s="3587">
        <v>19619.5</v>
      </c>
      <c r="E9" s="3587">
        <v>20992.87</v>
      </c>
      <c r="F9" s="3586" t="s">
        <v>3050</v>
      </c>
      <c r="G9" s="3586" t="s">
        <v>3031</v>
      </c>
      <c r="H9" s="3586" t="s">
        <v>3032</v>
      </c>
      <c r="I9" s="3586">
        <v>0</v>
      </c>
      <c r="J9" s="3586" t="s">
        <v>3051</v>
      </c>
      <c r="K9" s="3586" t="s">
        <v>3051</v>
      </c>
      <c r="L9" s="3586">
        <v>1285</v>
      </c>
      <c r="M9" s="3586">
        <v>1285</v>
      </c>
      <c r="N9" s="3586">
        <v>612.11</v>
      </c>
      <c r="O9" s="3586">
        <v>0</v>
      </c>
      <c r="P9" s="3586" t="s">
        <v>3052</v>
      </c>
      <c r="Q9" s="3586" t="s">
        <v>3034</v>
      </c>
    </row>
    <row r="10" spans="1:17">
      <c r="A10" s="3586" t="s">
        <v>3053</v>
      </c>
      <c r="B10" s="3586" t="s">
        <v>3028</v>
      </c>
      <c r="C10" s="3586" t="s">
        <v>3029</v>
      </c>
      <c r="D10" s="3587">
        <v>4369.8999999999996</v>
      </c>
      <c r="E10" s="3587">
        <v>6074.16</v>
      </c>
      <c r="F10" s="3586" t="s">
        <v>3054</v>
      </c>
      <c r="G10" s="3586" t="s">
        <v>3031</v>
      </c>
      <c r="H10" s="3586" t="s">
        <v>3032</v>
      </c>
      <c r="I10" s="3586">
        <v>0</v>
      </c>
      <c r="J10" s="3586" t="s">
        <v>3051</v>
      </c>
      <c r="K10" s="3586" t="s">
        <v>3051</v>
      </c>
      <c r="L10" s="3586">
        <v>380</v>
      </c>
      <c r="M10" s="3586">
        <v>380</v>
      </c>
      <c r="N10" s="3586">
        <v>625.6</v>
      </c>
      <c r="O10" s="3586">
        <v>0</v>
      </c>
      <c r="P10" s="3586" t="s">
        <v>3055</v>
      </c>
      <c r="Q10" s="3586" t="s">
        <v>3034</v>
      </c>
    </row>
    <row r="11" spans="1:17">
      <c r="A11" s="3586" t="s">
        <v>3056</v>
      </c>
      <c r="B11" s="3586" t="s">
        <v>3028</v>
      </c>
      <c r="C11" s="3586" t="s">
        <v>3029</v>
      </c>
      <c r="D11" s="3587">
        <v>4162</v>
      </c>
      <c r="E11" s="3587">
        <v>2081</v>
      </c>
      <c r="F11" s="3586" t="s">
        <v>3057</v>
      </c>
      <c r="G11" s="3586" t="s">
        <v>3031</v>
      </c>
      <c r="H11" s="3586" t="s">
        <v>3032</v>
      </c>
      <c r="I11" s="3586">
        <v>0</v>
      </c>
      <c r="J11" s="3586" t="s">
        <v>3051</v>
      </c>
      <c r="K11" s="3586" t="s">
        <v>3051</v>
      </c>
      <c r="L11" s="3586">
        <v>397</v>
      </c>
      <c r="M11" s="3586">
        <v>397</v>
      </c>
      <c r="N11" s="3586">
        <v>1907.74</v>
      </c>
      <c r="O11" s="3586">
        <v>0</v>
      </c>
      <c r="P11" s="3586" t="s">
        <v>3058</v>
      </c>
      <c r="Q11" s="3586" t="s">
        <v>3034</v>
      </c>
    </row>
    <row r="12" spans="1:17">
      <c r="A12" s="3586" t="s">
        <v>3059</v>
      </c>
      <c r="B12" s="3586" t="s">
        <v>3028</v>
      </c>
      <c r="C12" s="3586" t="s">
        <v>3029</v>
      </c>
      <c r="D12" s="3587">
        <v>3386</v>
      </c>
      <c r="E12" s="3587">
        <v>2031.6</v>
      </c>
      <c r="F12" s="3586" t="s">
        <v>3060</v>
      </c>
      <c r="G12" s="3586" t="s">
        <v>3031</v>
      </c>
      <c r="H12" s="3586" t="s">
        <v>3032</v>
      </c>
      <c r="I12" s="3586">
        <v>0</v>
      </c>
      <c r="J12" s="3586" t="s">
        <v>3061</v>
      </c>
      <c r="K12" s="3586" t="s">
        <v>2797</v>
      </c>
      <c r="L12" s="3586">
        <v>257</v>
      </c>
      <c r="M12" s="3586" t="s">
        <v>2797</v>
      </c>
      <c r="N12" s="3586" t="s">
        <v>2797</v>
      </c>
      <c r="O12" s="3586" t="s">
        <v>2797</v>
      </c>
      <c r="P12" s="3586" t="s">
        <v>2797</v>
      </c>
      <c r="Q12" s="3586" t="s">
        <v>3034</v>
      </c>
    </row>
    <row r="13" spans="1:17" s="3588" customFormat="1" ht="14.25">
      <c r="A13" s="3588" t="s">
        <v>3062</v>
      </c>
      <c r="B13" s="3588" t="s">
        <v>3028</v>
      </c>
      <c r="C13" s="3588" t="s">
        <v>3029</v>
      </c>
      <c r="D13" s="3589">
        <v>2013</v>
      </c>
      <c r="E13" s="3589">
        <v>1610.4</v>
      </c>
      <c r="F13" s="3588" t="s">
        <v>3063</v>
      </c>
      <c r="G13" s="3588" t="s">
        <v>3031</v>
      </c>
      <c r="H13" s="3588" t="s">
        <v>3032</v>
      </c>
      <c r="I13" s="3588">
        <v>0</v>
      </c>
      <c r="J13" s="3588" t="s">
        <v>3064</v>
      </c>
      <c r="K13" s="3588" t="s">
        <v>3064</v>
      </c>
      <c r="L13" s="3588">
        <v>134.75</v>
      </c>
      <c r="M13" s="3588">
        <v>134.75</v>
      </c>
      <c r="N13" s="3588">
        <v>836.75</v>
      </c>
      <c r="O13" s="3588">
        <v>0</v>
      </c>
      <c r="P13" s="3588" t="s">
        <v>3065</v>
      </c>
      <c r="Q13" s="3588" t="s">
        <v>3034</v>
      </c>
    </row>
    <row r="14" spans="1:17" s="3588" customFormat="1" ht="14.25">
      <c r="A14" s="3588" t="s">
        <v>3066</v>
      </c>
      <c r="B14" s="3588" t="s">
        <v>3028</v>
      </c>
      <c r="C14" s="3588" t="s">
        <v>3029</v>
      </c>
      <c r="D14" s="3589">
        <v>7244</v>
      </c>
      <c r="E14" s="3589">
        <v>3622</v>
      </c>
      <c r="F14" s="3588" t="s">
        <v>3057</v>
      </c>
      <c r="G14" s="3588" t="s">
        <v>3031</v>
      </c>
      <c r="H14" s="3588" t="s">
        <v>3032</v>
      </c>
      <c r="I14" s="3588">
        <v>0</v>
      </c>
      <c r="J14" s="3588" t="s">
        <v>3064</v>
      </c>
      <c r="K14" s="3588" t="s">
        <v>3064</v>
      </c>
      <c r="L14" s="3588">
        <v>487.51</v>
      </c>
      <c r="M14" s="3588">
        <v>487.51</v>
      </c>
      <c r="N14" s="3588">
        <v>1346</v>
      </c>
      <c r="O14" s="3588">
        <v>0</v>
      </c>
      <c r="P14" s="3588" t="s">
        <v>3067</v>
      </c>
      <c r="Q14" s="3588" t="s">
        <v>3034</v>
      </c>
    </row>
    <row r="15" spans="1:17">
      <c r="A15" s="3586" t="s">
        <v>3068</v>
      </c>
      <c r="B15" s="3586" t="s">
        <v>3028</v>
      </c>
      <c r="C15" s="3586" t="s">
        <v>3029</v>
      </c>
      <c r="D15" s="3587">
        <v>958.16</v>
      </c>
      <c r="E15" s="3587">
        <v>1533.06</v>
      </c>
      <c r="F15" s="3586" t="s">
        <v>3069</v>
      </c>
      <c r="G15" s="3586" t="s">
        <v>3031</v>
      </c>
      <c r="H15" s="3586" t="s">
        <v>3032</v>
      </c>
      <c r="I15" s="3586">
        <v>0</v>
      </c>
      <c r="J15" s="3586" t="s">
        <v>3070</v>
      </c>
      <c r="K15" s="3586" t="s">
        <v>2797</v>
      </c>
      <c r="L15" s="3586" t="s">
        <v>2797</v>
      </c>
      <c r="M15" s="3586" t="s">
        <v>2797</v>
      </c>
      <c r="N15" s="3586" t="s">
        <v>2797</v>
      </c>
      <c r="O15" s="3586" t="s">
        <v>2797</v>
      </c>
      <c r="P15" s="3586" t="s">
        <v>2797</v>
      </c>
      <c r="Q15" s="3586" t="s">
        <v>3034</v>
      </c>
    </row>
    <row r="16" spans="1:17">
      <c r="A16" s="3586" t="s">
        <v>3071</v>
      </c>
      <c r="B16" s="3586" t="s">
        <v>3028</v>
      </c>
      <c r="C16" s="3586" t="s">
        <v>3029</v>
      </c>
      <c r="D16" s="3587">
        <v>4295.0200000000004</v>
      </c>
      <c r="E16" s="3587">
        <v>8590.0400000000009</v>
      </c>
      <c r="F16" s="3586" t="s">
        <v>3072</v>
      </c>
      <c r="G16" s="3586" t="s">
        <v>3031</v>
      </c>
      <c r="H16" s="3586" t="s">
        <v>3073</v>
      </c>
      <c r="I16" s="3586">
        <v>0</v>
      </c>
      <c r="J16" s="3586" t="s">
        <v>3074</v>
      </c>
      <c r="K16" s="3586" t="s">
        <v>3074</v>
      </c>
      <c r="L16" s="3586">
        <v>292.57</v>
      </c>
      <c r="M16" s="3586">
        <v>292.57</v>
      </c>
      <c r="N16" s="3586">
        <v>340.6</v>
      </c>
      <c r="O16" s="3586">
        <v>0</v>
      </c>
      <c r="P16" s="3586" t="s">
        <v>3075</v>
      </c>
      <c r="Q16" s="3586" t="s">
        <v>3034</v>
      </c>
    </row>
    <row r="17" spans="1:17">
      <c r="A17" s="3586" t="s">
        <v>3076</v>
      </c>
      <c r="B17" s="3586" t="s">
        <v>3028</v>
      </c>
      <c r="C17" s="3586" t="s">
        <v>3029</v>
      </c>
      <c r="D17" s="3587">
        <v>30503</v>
      </c>
      <c r="E17" s="3587">
        <v>36603.599999999999</v>
      </c>
      <c r="F17" s="3586" t="s">
        <v>3077</v>
      </c>
      <c r="G17" s="3586" t="s">
        <v>3031</v>
      </c>
      <c r="H17" s="3586" t="s">
        <v>3032</v>
      </c>
      <c r="I17" s="3586">
        <v>0</v>
      </c>
      <c r="J17" s="3586" t="s">
        <v>3078</v>
      </c>
      <c r="K17" s="3586" t="s">
        <v>3078</v>
      </c>
      <c r="L17" s="3586">
        <v>1534.29</v>
      </c>
      <c r="M17" s="3586">
        <v>1534.29</v>
      </c>
      <c r="N17" s="3586">
        <v>419.17</v>
      </c>
      <c r="O17" s="3586">
        <v>0</v>
      </c>
      <c r="P17" s="3586" t="s">
        <v>3079</v>
      </c>
      <c r="Q17" s="3586" t="s">
        <v>3034</v>
      </c>
    </row>
    <row r="18" spans="1:17">
      <c r="A18" s="3586" t="s">
        <v>3076</v>
      </c>
      <c r="B18" s="3586" t="s">
        <v>3028</v>
      </c>
      <c r="C18" s="3586" t="s">
        <v>3029</v>
      </c>
      <c r="D18" s="3587">
        <v>3477.67</v>
      </c>
      <c r="E18" s="3587">
        <v>6955.34</v>
      </c>
      <c r="F18" s="3586" t="s">
        <v>3080</v>
      </c>
      <c r="G18" s="3586" t="s">
        <v>3031</v>
      </c>
      <c r="H18" s="3586" t="s">
        <v>3032</v>
      </c>
      <c r="I18" s="3586">
        <v>0</v>
      </c>
      <c r="J18" s="3586" t="s">
        <v>3081</v>
      </c>
      <c r="K18" s="3586" t="s">
        <v>3082</v>
      </c>
      <c r="L18" s="3586">
        <v>177</v>
      </c>
      <c r="M18" s="3586">
        <v>177</v>
      </c>
      <c r="N18" s="3586">
        <v>254.5</v>
      </c>
      <c r="O18" s="3586">
        <v>0</v>
      </c>
      <c r="P18" s="3586" t="s">
        <v>3083</v>
      </c>
      <c r="Q18" s="3586" t="s">
        <v>3034</v>
      </c>
    </row>
    <row r="19" spans="1:17">
      <c r="A19" s="3586" t="s">
        <v>3084</v>
      </c>
      <c r="B19" s="3586" t="s">
        <v>3028</v>
      </c>
      <c r="C19" s="3586" t="s">
        <v>3029</v>
      </c>
      <c r="D19" s="3587">
        <v>6888.56</v>
      </c>
      <c r="E19" s="3587">
        <v>11021.7</v>
      </c>
      <c r="F19" s="3586" t="s">
        <v>3069</v>
      </c>
      <c r="G19" s="3586" t="s">
        <v>3031</v>
      </c>
      <c r="H19" s="3586" t="s">
        <v>3032</v>
      </c>
      <c r="I19" s="3586">
        <v>0</v>
      </c>
      <c r="J19" s="3586" t="s">
        <v>3085</v>
      </c>
      <c r="K19" s="3586" t="s">
        <v>3085</v>
      </c>
      <c r="L19" s="3586">
        <v>487.7</v>
      </c>
      <c r="M19" s="3586">
        <v>487.7</v>
      </c>
      <c r="N19" s="3586">
        <v>442.5</v>
      </c>
      <c r="O19" s="3586">
        <v>0</v>
      </c>
      <c r="P19" s="3586" t="s">
        <v>3086</v>
      </c>
      <c r="Q19" s="3586" t="s">
        <v>3034</v>
      </c>
    </row>
    <row r="20" spans="1:17">
      <c r="A20" s="3586" t="s">
        <v>3087</v>
      </c>
      <c r="B20" s="3586" t="s">
        <v>3028</v>
      </c>
      <c r="C20" s="3586" t="s">
        <v>3029</v>
      </c>
      <c r="D20" s="3587">
        <v>2581.5700000000002</v>
      </c>
      <c r="E20" s="3587">
        <v>645.39</v>
      </c>
      <c r="F20" s="3586" t="s">
        <v>3088</v>
      </c>
      <c r="G20" s="3586" t="s">
        <v>3031</v>
      </c>
      <c r="H20" s="3586" t="s">
        <v>3045</v>
      </c>
      <c r="I20" s="3586">
        <v>0</v>
      </c>
      <c r="J20" s="3586" t="s">
        <v>3089</v>
      </c>
      <c r="K20" s="3586" t="s">
        <v>3089</v>
      </c>
      <c r="L20" s="3586" t="s">
        <v>2797</v>
      </c>
      <c r="M20" s="3586">
        <v>142.75</v>
      </c>
      <c r="N20" s="3586">
        <v>2212</v>
      </c>
      <c r="O20" s="3586" t="s">
        <v>2797</v>
      </c>
      <c r="P20" s="3586" t="s">
        <v>3090</v>
      </c>
      <c r="Q20" s="3586" t="s">
        <v>3034</v>
      </c>
    </row>
    <row r="21" spans="1:17">
      <c r="A21" s="3586" t="s">
        <v>3091</v>
      </c>
      <c r="B21" s="3586" t="s">
        <v>3028</v>
      </c>
      <c r="C21" s="3586" t="s">
        <v>3029</v>
      </c>
      <c r="D21" s="3587">
        <v>1559.87</v>
      </c>
      <c r="E21" s="3587">
        <v>467.96</v>
      </c>
      <c r="F21" s="3586" t="s">
        <v>3092</v>
      </c>
      <c r="G21" s="3586" t="s">
        <v>3031</v>
      </c>
      <c r="H21" s="3586" t="s">
        <v>3045</v>
      </c>
      <c r="I21" s="3586">
        <v>0</v>
      </c>
      <c r="J21" s="3586" t="s">
        <v>3089</v>
      </c>
      <c r="K21" s="3586" t="s">
        <v>3089</v>
      </c>
      <c r="L21" s="3586" t="s">
        <v>2797</v>
      </c>
      <c r="M21" s="3586">
        <v>57.71</v>
      </c>
      <c r="N21" s="3586">
        <v>1233.44</v>
      </c>
      <c r="O21" s="3586" t="s">
        <v>2797</v>
      </c>
      <c r="P21" s="3586" t="s">
        <v>3090</v>
      </c>
      <c r="Q21" s="3586" t="s">
        <v>3034</v>
      </c>
    </row>
    <row r="22" spans="1:17">
      <c r="A22" s="3586" t="s">
        <v>3084</v>
      </c>
      <c r="B22" s="3586" t="s">
        <v>3028</v>
      </c>
      <c r="C22" s="3586" t="s">
        <v>3029</v>
      </c>
      <c r="D22" s="3587">
        <v>25513.200000000001</v>
      </c>
      <c r="E22" s="3587">
        <v>40821.120000000003</v>
      </c>
      <c r="F22" s="3586" t="s">
        <v>3069</v>
      </c>
      <c r="G22" s="3586" t="s">
        <v>3031</v>
      </c>
      <c r="H22" s="3586" t="s">
        <v>3032</v>
      </c>
      <c r="I22" s="3586">
        <v>0</v>
      </c>
      <c r="J22" s="3586" t="s">
        <v>3093</v>
      </c>
      <c r="K22" s="3586" t="s">
        <v>2797</v>
      </c>
      <c r="L22" s="3586">
        <v>487.7</v>
      </c>
      <c r="M22" s="3586" t="s">
        <v>2797</v>
      </c>
      <c r="N22" s="3586" t="s">
        <v>2797</v>
      </c>
      <c r="O22" s="3586" t="s">
        <v>2797</v>
      </c>
      <c r="P22" s="3586" t="s">
        <v>2797</v>
      </c>
      <c r="Q22" s="3586" t="s">
        <v>3034</v>
      </c>
    </row>
    <row r="23" spans="1:17">
      <c r="A23" s="3586" t="s">
        <v>3094</v>
      </c>
      <c r="B23" s="3586" t="s">
        <v>3028</v>
      </c>
      <c r="C23" s="3586" t="s">
        <v>3029</v>
      </c>
      <c r="D23" s="3587">
        <v>26024.55</v>
      </c>
      <c r="E23" s="3587">
        <v>27325.78</v>
      </c>
      <c r="F23" s="3586" t="s">
        <v>3095</v>
      </c>
      <c r="G23" s="3586" t="s">
        <v>3031</v>
      </c>
      <c r="H23" s="3586" t="s">
        <v>3032</v>
      </c>
      <c r="I23" s="3586">
        <v>0</v>
      </c>
      <c r="J23" s="3586" t="s">
        <v>3093</v>
      </c>
      <c r="K23" s="3586" t="s">
        <v>3093</v>
      </c>
      <c r="L23" s="3586">
        <v>1482</v>
      </c>
      <c r="M23" s="3586">
        <v>1482</v>
      </c>
      <c r="N23" s="3586">
        <v>542.34</v>
      </c>
      <c r="O23" s="3586">
        <v>0</v>
      </c>
      <c r="P23" s="3586" t="s">
        <v>3052</v>
      </c>
      <c r="Q23" s="3586" t="s">
        <v>3034</v>
      </c>
    </row>
    <row r="24" spans="1:17">
      <c r="A24" s="3586" t="s">
        <v>3096</v>
      </c>
      <c r="B24" s="3586" t="s">
        <v>3028</v>
      </c>
      <c r="C24" s="3586" t="s">
        <v>3029</v>
      </c>
      <c r="D24" s="3587">
        <v>21170</v>
      </c>
      <c r="E24" s="3587">
        <v>21170</v>
      </c>
      <c r="F24" s="3586" t="s">
        <v>3041</v>
      </c>
      <c r="G24" s="3586" t="s">
        <v>3031</v>
      </c>
      <c r="H24" s="3586" t="s">
        <v>3032</v>
      </c>
      <c r="I24" s="3586">
        <v>0</v>
      </c>
      <c r="J24" s="3586" t="s">
        <v>3097</v>
      </c>
      <c r="K24" s="3586" t="s">
        <v>3097</v>
      </c>
      <c r="L24" s="3586">
        <v>550.41</v>
      </c>
      <c r="M24" s="3586">
        <v>550.41</v>
      </c>
      <c r="N24" s="3586">
        <v>260</v>
      </c>
      <c r="O24" s="3586">
        <v>0</v>
      </c>
      <c r="P24" s="3586" t="s">
        <v>3098</v>
      </c>
      <c r="Q24" s="3586" t="s">
        <v>3034</v>
      </c>
    </row>
    <row r="25" spans="1:17">
      <c r="A25" s="3586" t="s">
        <v>3099</v>
      </c>
      <c r="B25" s="3586" t="s">
        <v>3028</v>
      </c>
      <c r="C25" s="3586" t="s">
        <v>3029</v>
      </c>
      <c r="D25" s="3587">
        <v>14660.05</v>
      </c>
      <c r="E25" s="3587">
        <v>21403.67</v>
      </c>
      <c r="F25" s="3586" t="s">
        <v>3100</v>
      </c>
      <c r="G25" s="3586" t="s">
        <v>3031</v>
      </c>
      <c r="H25" s="3586" t="s">
        <v>3032</v>
      </c>
      <c r="I25" s="3586">
        <v>0</v>
      </c>
      <c r="J25" s="3586" t="s">
        <v>3101</v>
      </c>
      <c r="K25" s="3586" t="s">
        <v>3101</v>
      </c>
      <c r="L25" s="3586">
        <v>1034</v>
      </c>
      <c r="M25" s="3586">
        <v>1034</v>
      </c>
      <c r="N25" s="3586">
        <v>483.08</v>
      </c>
      <c r="O25" s="3586">
        <v>0</v>
      </c>
      <c r="P25" s="3586" t="s">
        <v>3055</v>
      </c>
      <c r="Q25" s="3586" t="s">
        <v>3034</v>
      </c>
    </row>
    <row r="26" spans="1:17">
      <c r="A26" s="3586" t="s">
        <v>3102</v>
      </c>
      <c r="B26" s="3586" t="s">
        <v>3028</v>
      </c>
      <c r="C26" s="3586" t="s">
        <v>3029</v>
      </c>
      <c r="D26" s="3587">
        <v>39407</v>
      </c>
      <c r="E26" s="3587">
        <v>59504.57</v>
      </c>
      <c r="F26" s="3586" t="s">
        <v>3103</v>
      </c>
      <c r="G26" s="3586" t="s">
        <v>3031</v>
      </c>
      <c r="H26" s="3586" t="s">
        <v>3032</v>
      </c>
      <c r="I26" s="3586">
        <v>0</v>
      </c>
      <c r="J26" s="3586" t="s">
        <v>3101</v>
      </c>
      <c r="K26" s="3586" t="s">
        <v>2797</v>
      </c>
      <c r="L26" s="3586">
        <v>3942</v>
      </c>
      <c r="M26" s="3586" t="s">
        <v>2797</v>
      </c>
      <c r="N26" s="3586" t="s">
        <v>2797</v>
      </c>
      <c r="O26" s="3586" t="s">
        <v>2797</v>
      </c>
      <c r="P26" s="3586" t="s">
        <v>2797</v>
      </c>
      <c r="Q26" s="3586" t="s">
        <v>3034</v>
      </c>
    </row>
    <row r="27" spans="1:17">
      <c r="A27" s="3586" t="s">
        <v>3053</v>
      </c>
      <c r="B27" s="3586" t="s">
        <v>3028</v>
      </c>
      <c r="C27" s="3586" t="s">
        <v>3029</v>
      </c>
      <c r="D27" s="3587">
        <v>4369.8999999999996</v>
      </c>
      <c r="E27" s="3587">
        <v>6117.86</v>
      </c>
      <c r="F27" s="3586" t="s">
        <v>3104</v>
      </c>
      <c r="G27" s="3586" t="s">
        <v>3031</v>
      </c>
      <c r="H27" s="3586" t="s">
        <v>3032</v>
      </c>
      <c r="I27" s="3586">
        <v>0</v>
      </c>
      <c r="J27" s="3586" t="s">
        <v>3105</v>
      </c>
      <c r="K27" s="3586" t="s">
        <v>2797</v>
      </c>
      <c r="L27" s="3586">
        <v>385</v>
      </c>
      <c r="M27" s="3586" t="s">
        <v>2797</v>
      </c>
      <c r="N27" s="3586" t="s">
        <v>2797</v>
      </c>
      <c r="O27" s="3586" t="s">
        <v>2797</v>
      </c>
      <c r="P27" s="3586" t="s">
        <v>2797</v>
      </c>
      <c r="Q27" s="3586" t="s">
        <v>3106</v>
      </c>
    </row>
    <row r="28" spans="1:17" s="3588" customFormat="1">
      <c r="A28" s="3590" t="s">
        <v>3107</v>
      </c>
      <c r="B28" s="3588" t="s">
        <v>3028</v>
      </c>
      <c r="C28" s="3588" t="s">
        <v>3029</v>
      </c>
      <c r="D28" s="3589">
        <v>3225</v>
      </c>
      <c r="E28" s="3589">
        <v>645</v>
      </c>
      <c r="F28" s="3588" t="s">
        <v>3108</v>
      </c>
      <c r="G28" s="3588" t="s">
        <v>3031</v>
      </c>
      <c r="H28" s="3588" t="s">
        <v>3045</v>
      </c>
      <c r="I28" s="3588">
        <v>0</v>
      </c>
      <c r="J28" s="3588" t="s">
        <v>3109</v>
      </c>
      <c r="K28" s="3588" t="s">
        <v>3109</v>
      </c>
      <c r="L28" s="3588" t="s">
        <v>2797</v>
      </c>
      <c r="M28" s="3588">
        <v>178.02</v>
      </c>
      <c r="N28" s="3588">
        <v>2760</v>
      </c>
      <c r="O28" s="3588" t="s">
        <v>2797</v>
      </c>
      <c r="P28" s="3588" t="s">
        <v>3110</v>
      </c>
      <c r="Q28" s="3588" t="s">
        <v>3111</v>
      </c>
    </row>
    <row r="29" spans="1:17">
      <c r="A29" s="3586" t="s">
        <v>3112</v>
      </c>
      <c r="B29" s="3586" t="s">
        <v>3028</v>
      </c>
      <c r="C29" s="3586" t="s">
        <v>3029</v>
      </c>
      <c r="D29" s="3587">
        <v>8766</v>
      </c>
      <c r="E29" s="3587" t="s">
        <v>2797</v>
      </c>
      <c r="F29" s="3586" t="s">
        <v>3113</v>
      </c>
      <c r="G29" s="3586" t="s">
        <v>3031</v>
      </c>
      <c r="H29" s="3586" t="s">
        <v>3032</v>
      </c>
      <c r="I29" s="3586">
        <v>0</v>
      </c>
      <c r="J29" s="3586" t="s">
        <v>3114</v>
      </c>
      <c r="K29" s="3586" t="s">
        <v>3114</v>
      </c>
      <c r="L29" s="3586">
        <v>66.62</v>
      </c>
      <c r="M29" s="3586">
        <v>66.62</v>
      </c>
      <c r="N29" s="3586" t="s">
        <v>2797</v>
      </c>
      <c r="O29" s="3586">
        <v>0</v>
      </c>
      <c r="P29" s="3586" t="s">
        <v>3115</v>
      </c>
      <c r="Q29" s="3586" t="s">
        <v>3106</v>
      </c>
    </row>
    <row r="30" spans="1:17">
      <c r="A30" s="3586" t="s">
        <v>3116</v>
      </c>
      <c r="B30" s="3586" t="s">
        <v>3028</v>
      </c>
      <c r="C30" s="3586" t="s">
        <v>3029</v>
      </c>
      <c r="D30" s="3587">
        <v>14610</v>
      </c>
      <c r="E30" s="3587">
        <v>21915</v>
      </c>
      <c r="F30" s="3586" t="s">
        <v>3117</v>
      </c>
      <c r="G30" s="3586" t="s">
        <v>3031</v>
      </c>
      <c r="H30" s="3586" t="s">
        <v>3032</v>
      </c>
      <c r="I30" s="3586">
        <v>0</v>
      </c>
      <c r="J30" s="3586" t="s">
        <v>3114</v>
      </c>
      <c r="K30" s="3586" t="s">
        <v>3114</v>
      </c>
      <c r="L30" s="3586">
        <v>806.47</v>
      </c>
      <c r="M30" s="3586">
        <v>806.47</v>
      </c>
      <c r="N30" s="3586">
        <v>368</v>
      </c>
      <c r="O30" s="3586">
        <v>0</v>
      </c>
      <c r="P30" s="3586" t="s">
        <v>3115</v>
      </c>
      <c r="Q30" s="3586" t="s">
        <v>3106</v>
      </c>
    </row>
    <row r="31" spans="1:17">
      <c r="A31" s="3586" t="s">
        <v>3118</v>
      </c>
      <c r="B31" s="3586" t="s">
        <v>3028</v>
      </c>
      <c r="C31" s="3586" t="s">
        <v>3029</v>
      </c>
      <c r="D31" s="3587">
        <v>33414</v>
      </c>
      <c r="E31" s="3587">
        <v>46779.6</v>
      </c>
      <c r="F31" s="3586" t="s">
        <v>3119</v>
      </c>
      <c r="G31" s="3586" t="s">
        <v>3031</v>
      </c>
      <c r="H31" s="3586" t="s">
        <v>3032</v>
      </c>
      <c r="I31" s="3586">
        <v>0</v>
      </c>
      <c r="J31" s="3586" t="s">
        <v>3120</v>
      </c>
      <c r="K31" s="3586" t="s">
        <v>2797</v>
      </c>
      <c r="L31" s="3586">
        <v>3064.05</v>
      </c>
      <c r="M31" s="3586" t="s">
        <v>2797</v>
      </c>
      <c r="N31" s="3586" t="s">
        <v>2797</v>
      </c>
      <c r="O31" s="3586" t="s">
        <v>2797</v>
      </c>
      <c r="P31" s="3586" t="s">
        <v>2797</v>
      </c>
      <c r="Q31" s="3586" t="s">
        <v>3106</v>
      </c>
    </row>
    <row r="32" spans="1:17">
      <c r="A32" s="3586" t="s">
        <v>3121</v>
      </c>
      <c r="B32" s="3586" t="s">
        <v>3028</v>
      </c>
      <c r="C32" s="3586" t="s">
        <v>3029</v>
      </c>
      <c r="D32" s="3587">
        <v>4093</v>
      </c>
      <c r="E32" s="3587">
        <v>4093</v>
      </c>
      <c r="F32" s="3586" t="s">
        <v>3041</v>
      </c>
      <c r="G32" s="3586" t="s">
        <v>3031</v>
      </c>
      <c r="H32" s="3586" t="s">
        <v>3045</v>
      </c>
      <c r="I32" s="3586">
        <v>0</v>
      </c>
      <c r="J32" s="3586" t="s">
        <v>3122</v>
      </c>
      <c r="K32" s="3586" t="s">
        <v>3122</v>
      </c>
      <c r="L32" s="3586">
        <v>233.3</v>
      </c>
      <c r="M32" s="3586">
        <v>233.3</v>
      </c>
      <c r="N32" s="3586">
        <v>570</v>
      </c>
      <c r="O32" s="3586">
        <v>0</v>
      </c>
      <c r="P32" s="3586" t="s">
        <v>3123</v>
      </c>
      <c r="Q32" s="3586" t="s">
        <v>3124</v>
      </c>
    </row>
    <row r="33" spans="1:17">
      <c r="A33" s="3586" t="s">
        <v>3125</v>
      </c>
      <c r="B33" s="3586" t="s">
        <v>3028</v>
      </c>
      <c r="C33" s="3586" t="s">
        <v>3126</v>
      </c>
      <c r="D33" s="3587">
        <v>8259</v>
      </c>
      <c r="E33" s="3587">
        <v>12388.5</v>
      </c>
      <c r="F33" s="3586" t="s">
        <v>3127</v>
      </c>
      <c r="G33" s="3586" t="s">
        <v>3031</v>
      </c>
      <c r="H33" s="3586" t="s">
        <v>3128</v>
      </c>
      <c r="I33" s="3586">
        <v>0</v>
      </c>
      <c r="J33" s="3586" t="s">
        <v>3122</v>
      </c>
      <c r="K33" s="3586" t="s">
        <v>3122</v>
      </c>
      <c r="L33" s="3586">
        <v>1032.3800000000001</v>
      </c>
      <c r="M33" s="3586">
        <v>1032.3800000000001</v>
      </c>
      <c r="N33" s="3586">
        <v>833.34</v>
      </c>
      <c r="O33" s="3586">
        <v>0</v>
      </c>
      <c r="P33" s="3586" t="s">
        <v>3129</v>
      </c>
      <c r="Q33" s="3586" t="s">
        <v>3034</v>
      </c>
    </row>
    <row r="34" spans="1:17">
      <c r="A34" s="3586" t="s">
        <v>3130</v>
      </c>
      <c r="B34" s="3586" t="s">
        <v>3028</v>
      </c>
      <c r="C34" s="3586" t="s">
        <v>3029</v>
      </c>
      <c r="D34" s="3587">
        <v>4977</v>
      </c>
      <c r="E34" s="3587">
        <v>8460.9</v>
      </c>
      <c r="F34" s="3586" t="s">
        <v>3131</v>
      </c>
      <c r="G34" s="3586" t="s">
        <v>3031</v>
      </c>
      <c r="H34" s="3586" t="s">
        <v>3032</v>
      </c>
      <c r="I34" s="3586">
        <v>0</v>
      </c>
      <c r="J34" s="3586" t="s">
        <v>3132</v>
      </c>
      <c r="K34" s="3586" t="s">
        <v>2797</v>
      </c>
      <c r="L34" s="3586">
        <v>604</v>
      </c>
      <c r="M34" s="3586" t="s">
        <v>2797</v>
      </c>
      <c r="N34" s="3586" t="s">
        <v>2797</v>
      </c>
      <c r="O34" s="3586" t="s">
        <v>2797</v>
      </c>
      <c r="P34" s="3586" t="s">
        <v>2797</v>
      </c>
      <c r="Q34" s="3586" t="s">
        <v>3034</v>
      </c>
    </row>
    <row r="35" spans="1:17">
      <c r="A35" s="3586" t="s">
        <v>3118</v>
      </c>
      <c r="B35" s="3586" t="s">
        <v>3028</v>
      </c>
      <c r="C35" s="3586" t="s">
        <v>3029</v>
      </c>
      <c r="D35" s="3587">
        <v>9662</v>
      </c>
      <c r="E35" s="3587">
        <v>19324</v>
      </c>
      <c r="F35" s="3586" t="s">
        <v>3080</v>
      </c>
      <c r="G35" s="3586" t="s">
        <v>3031</v>
      </c>
      <c r="H35" s="3586" t="s">
        <v>3133</v>
      </c>
      <c r="I35" s="3586">
        <v>0</v>
      </c>
      <c r="J35" s="3586" t="s">
        <v>3134</v>
      </c>
      <c r="K35" s="3586" t="s">
        <v>3134</v>
      </c>
      <c r="L35" s="3586">
        <v>964.26</v>
      </c>
      <c r="M35" s="3586">
        <v>964.26</v>
      </c>
      <c r="N35" s="3586">
        <v>499</v>
      </c>
      <c r="O35" s="3586">
        <v>0</v>
      </c>
      <c r="P35" s="3586" t="s">
        <v>3135</v>
      </c>
      <c r="Q35" s="3586" t="s">
        <v>3106</v>
      </c>
    </row>
    <row r="36" spans="1:17">
      <c r="A36" s="3586" t="s">
        <v>3136</v>
      </c>
      <c r="B36" s="3586" t="s">
        <v>3028</v>
      </c>
      <c r="C36" s="3586" t="s">
        <v>3126</v>
      </c>
      <c r="D36" s="3587">
        <v>15395</v>
      </c>
      <c r="E36" s="3587">
        <v>3848.75</v>
      </c>
      <c r="F36" s="3586" t="s">
        <v>3137</v>
      </c>
      <c r="G36" s="3586" t="s">
        <v>3031</v>
      </c>
      <c r="H36" s="3586" t="s">
        <v>3138</v>
      </c>
      <c r="I36" s="3586">
        <v>0</v>
      </c>
      <c r="J36" s="3586" t="s">
        <v>3139</v>
      </c>
      <c r="K36" s="3586" t="s">
        <v>3139</v>
      </c>
      <c r="L36" s="3586" t="s">
        <v>2797</v>
      </c>
      <c r="M36" s="3586">
        <v>626.58000000000004</v>
      </c>
      <c r="N36" s="3586">
        <v>1628</v>
      </c>
      <c r="O36" s="3586" t="s">
        <v>2797</v>
      </c>
      <c r="P36" s="3586" t="s">
        <v>3140</v>
      </c>
      <c r="Q36" s="3586" t="s">
        <v>3034</v>
      </c>
    </row>
    <row r="37" spans="1:17">
      <c r="A37" s="3586" t="s">
        <v>3027</v>
      </c>
      <c r="B37" s="3586" t="s">
        <v>3028</v>
      </c>
      <c r="C37" s="3586" t="s">
        <v>3029</v>
      </c>
      <c r="D37" s="3587">
        <v>3282</v>
      </c>
      <c r="E37" s="3587">
        <v>393.84</v>
      </c>
      <c r="F37" s="3586" t="s">
        <v>3030</v>
      </c>
      <c r="G37" s="3586" t="s">
        <v>3031</v>
      </c>
      <c r="H37" s="3586" t="s">
        <v>3032</v>
      </c>
      <c r="I37" s="3586">
        <v>0</v>
      </c>
      <c r="J37" s="3586" t="s">
        <v>3141</v>
      </c>
      <c r="K37" s="3586" t="s">
        <v>2797</v>
      </c>
      <c r="L37" s="3586">
        <v>250</v>
      </c>
      <c r="M37" s="3586" t="s">
        <v>2797</v>
      </c>
      <c r="N37" s="3586" t="s">
        <v>2797</v>
      </c>
      <c r="O37" s="3586" t="s">
        <v>2797</v>
      </c>
      <c r="P37" s="3586" t="s">
        <v>2797</v>
      </c>
      <c r="Q37" s="3586" t="s">
        <v>3124</v>
      </c>
    </row>
    <row r="38" spans="1:17">
      <c r="A38" s="3586" t="s">
        <v>3142</v>
      </c>
      <c r="B38" s="3586" t="s">
        <v>3028</v>
      </c>
      <c r="C38" s="3586" t="s">
        <v>3029</v>
      </c>
      <c r="D38" s="3587">
        <v>5237.84</v>
      </c>
      <c r="E38" s="3587">
        <v>7961.52</v>
      </c>
      <c r="F38" s="3586" t="s">
        <v>3143</v>
      </c>
      <c r="G38" s="3586" t="s">
        <v>3031</v>
      </c>
      <c r="H38" s="3586" t="s">
        <v>3032</v>
      </c>
      <c r="I38" s="3586">
        <v>0</v>
      </c>
      <c r="J38" s="3586" t="s">
        <v>3144</v>
      </c>
      <c r="K38" s="3586" t="s">
        <v>3144</v>
      </c>
      <c r="L38" s="3586" t="s">
        <v>2797</v>
      </c>
      <c r="M38" s="3586">
        <v>708.79</v>
      </c>
      <c r="N38" s="3586">
        <v>890.27</v>
      </c>
      <c r="O38" s="3586" t="s">
        <v>2797</v>
      </c>
      <c r="P38" s="3586" t="s">
        <v>3145</v>
      </c>
      <c r="Q38" s="3586" t="s">
        <v>3124</v>
      </c>
    </row>
    <row r="39" spans="1:17">
      <c r="A39" s="3586" t="s">
        <v>3146</v>
      </c>
      <c r="B39" s="3586" t="s">
        <v>3028</v>
      </c>
      <c r="C39" s="3586" t="s">
        <v>3126</v>
      </c>
      <c r="D39" s="3587">
        <v>14341.28</v>
      </c>
      <c r="E39" s="3587">
        <v>14341.28</v>
      </c>
      <c r="F39" s="3586" t="s">
        <v>3147</v>
      </c>
      <c r="G39" s="3586" t="s">
        <v>3031</v>
      </c>
      <c r="H39" s="3586" t="s">
        <v>3148</v>
      </c>
      <c r="I39" s="3586">
        <v>0</v>
      </c>
      <c r="J39" s="3586" t="s">
        <v>3149</v>
      </c>
      <c r="K39" s="3586" t="s">
        <v>3149</v>
      </c>
      <c r="L39" s="3586">
        <v>298.92</v>
      </c>
      <c r="M39" s="3586">
        <v>298.92</v>
      </c>
      <c r="N39" s="3586">
        <v>208.43</v>
      </c>
      <c r="O39" s="3586">
        <v>0</v>
      </c>
      <c r="P39" s="3586" t="s">
        <v>3150</v>
      </c>
      <c r="Q39" s="3586" t="s">
        <v>3034</v>
      </c>
    </row>
    <row r="40" spans="1:17">
      <c r="A40" s="3586" t="s">
        <v>3151</v>
      </c>
      <c r="B40" s="3586" t="s">
        <v>3028</v>
      </c>
      <c r="C40" s="3586" t="s">
        <v>3029</v>
      </c>
      <c r="D40" s="3587">
        <v>1361.8</v>
      </c>
      <c r="E40" s="3587">
        <v>1361.8</v>
      </c>
      <c r="F40" s="3586" t="s">
        <v>3041</v>
      </c>
      <c r="G40" s="3586" t="s">
        <v>3031</v>
      </c>
      <c r="H40" s="3586" t="s">
        <v>3032</v>
      </c>
      <c r="I40" s="3586">
        <v>0</v>
      </c>
      <c r="J40" s="3586" t="s">
        <v>3152</v>
      </c>
      <c r="K40" s="3586" t="s">
        <v>3152</v>
      </c>
      <c r="L40" s="3586" t="s">
        <v>2797</v>
      </c>
      <c r="M40" s="3586">
        <v>76.59</v>
      </c>
      <c r="N40" s="3586">
        <v>562.49</v>
      </c>
      <c r="O40" s="3586" t="s">
        <v>2797</v>
      </c>
      <c r="P40" s="3586" t="s">
        <v>3153</v>
      </c>
      <c r="Q40" s="3586" t="s">
        <v>3106</v>
      </c>
    </row>
    <row r="41" spans="1:17">
      <c r="A41" s="3586" t="s">
        <v>3154</v>
      </c>
      <c r="B41" s="3586" t="s">
        <v>3028</v>
      </c>
      <c r="C41" s="3586" t="s">
        <v>3029</v>
      </c>
      <c r="D41" s="3587">
        <v>2543</v>
      </c>
      <c r="E41" s="3587">
        <v>762.9</v>
      </c>
      <c r="F41" s="3586" t="s">
        <v>3155</v>
      </c>
      <c r="G41" s="3586" t="s">
        <v>3031</v>
      </c>
      <c r="H41" s="3586" t="s">
        <v>3032</v>
      </c>
      <c r="I41" s="3586">
        <v>0</v>
      </c>
      <c r="J41" s="3586" t="s">
        <v>3152</v>
      </c>
      <c r="K41" s="3586" t="s">
        <v>3152</v>
      </c>
      <c r="L41" s="3586" t="s">
        <v>2797</v>
      </c>
      <c r="M41" s="3586">
        <v>142.86000000000001</v>
      </c>
      <c r="N41" s="3586">
        <v>1872.58</v>
      </c>
      <c r="O41" s="3586" t="s">
        <v>2797</v>
      </c>
      <c r="P41" s="3586" t="s">
        <v>3153</v>
      </c>
      <c r="Q41" s="3586" t="s">
        <v>3106</v>
      </c>
    </row>
    <row r="42" spans="1:17">
      <c r="A42" s="3586" t="s">
        <v>3156</v>
      </c>
      <c r="B42" s="3586" t="s">
        <v>3028</v>
      </c>
      <c r="C42" s="3586" t="s">
        <v>3029</v>
      </c>
      <c r="D42" s="3587">
        <v>21680</v>
      </c>
      <c r="E42" s="3587">
        <v>21680</v>
      </c>
      <c r="F42" s="3586" t="s">
        <v>3041</v>
      </c>
      <c r="G42" s="3586" t="s">
        <v>3031</v>
      </c>
      <c r="H42" s="3586" t="s">
        <v>3073</v>
      </c>
      <c r="I42" s="3586">
        <v>0</v>
      </c>
      <c r="J42" s="3586" t="s">
        <v>3157</v>
      </c>
      <c r="K42" s="3586" t="s">
        <v>2797</v>
      </c>
      <c r="L42" s="3586">
        <v>2580</v>
      </c>
      <c r="M42" s="3586" t="s">
        <v>2797</v>
      </c>
      <c r="N42" s="3586" t="s">
        <v>2797</v>
      </c>
      <c r="O42" s="3586" t="s">
        <v>2797</v>
      </c>
      <c r="P42" s="3586" t="s">
        <v>2797</v>
      </c>
      <c r="Q42" s="3586" t="s">
        <v>3034</v>
      </c>
    </row>
    <row r="43" spans="1:17">
      <c r="A43" s="3586" t="s">
        <v>3151</v>
      </c>
      <c r="B43" s="3586" t="s">
        <v>3028</v>
      </c>
      <c r="C43" s="3586" t="s">
        <v>3029</v>
      </c>
      <c r="D43" s="3587">
        <v>4488</v>
      </c>
      <c r="E43" s="3587">
        <v>4488</v>
      </c>
      <c r="F43" s="3586" t="s">
        <v>3041</v>
      </c>
      <c r="G43" s="3586" t="s">
        <v>3031</v>
      </c>
      <c r="H43" s="3586" t="s">
        <v>3032</v>
      </c>
      <c r="I43" s="3586">
        <v>0</v>
      </c>
      <c r="J43" s="3586" t="s">
        <v>3157</v>
      </c>
      <c r="K43" s="3586" t="s">
        <v>3157</v>
      </c>
      <c r="L43" s="3586" t="s">
        <v>2797</v>
      </c>
      <c r="M43" s="3586">
        <v>248.18</v>
      </c>
      <c r="N43" s="3586">
        <v>553</v>
      </c>
      <c r="O43" s="3586" t="s">
        <v>2797</v>
      </c>
      <c r="P43" s="3586" t="s">
        <v>3153</v>
      </c>
      <c r="Q43" s="3586" t="s">
        <v>3106</v>
      </c>
    </row>
    <row r="44" spans="1:17">
      <c r="A44" s="3586" t="s">
        <v>3158</v>
      </c>
      <c r="B44" s="3586" t="s">
        <v>3028</v>
      </c>
      <c r="C44" s="3586" t="s">
        <v>3126</v>
      </c>
      <c r="D44" s="3587">
        <v>23645</v>
      </c>
      <c r="E44" s="3587">
        <v>18916</v>
      </c>
      <c r="F44" s="3586" t="s">
        <v>3063</v>
      </c>
      <c r="G44" s="3586" t="s">
        <v>3031</v>
      </c>
      <c r="H44" s="3586" t="s">
        <v>3159</v>
      </c>
      <c r="I44" s="3586">
        <v>0</v>
      </c>
      <c r="J44" s="3586" t="s">
        <v>3157</v>
      </c>
      <c r="K44" s="3586" t="s">
        <v>2797</v>
      </c>
      <c r="L44" s="3586">
        <v>1358</v>
      </c>
      <c r="M44" s="3586" t="s">
        <v>2797</v>
      </c>
      <c r="N44" s="3586" t="s">
        <v>2797</v>
      </c>
      <c r="O44" s="3586" t="s">
        <v>2797</v>
      </c>
      <c r="P44" s="3586" t="s">
        <v>2797</v>
      </c>
      <c r="Q44" s="3586" t="s">
        <v>3034</v>
      </c>
    </row>
    <row r="45" spans="1:17" s="3588" customFormat="1">
      <c r="A45" s="3590" t="s">
        <v>3160</v>
      </c>
      <c r="B45" s="3588" t="s">
        <v>3028</v>
      </c>
      <c r="C45" s="3588" t="s">
        <v>3029</v>
      </c>
      <c r="D45" s="3589">
        <v>8581</v>
      </c>
      <c r="E45" s="3589">
        <v>8581</v>
      </c>
      <c r="F45" s="3588" t="s">
        <v>3041</v>
      </c>
      <c r="G45" s="3588" t="s">
        <v>3031</v>
      </c>
      <c r="H45" s="3588" t="s">
        <v>3032</v>
      </c>
      <c r="I45" s="3588">
        <v>0</v>
      </c>
      <c r="J45" s="3588" t="s">
        <v>3161</v>
      </c>
      <c r="K45" s="3588" t="s">
        <v>3161</v>
      </c>
      <c r="L45" s="3588" t="s">
        <v>2797</v>
      </c>
      <c r="M45" s="3588">
        <v>436.6</v>
      </c>
      <c r="N45" s="3588">
        <v>508.8</v>
      </c>
      <c r="O45" s="3588" t="s">
        <v>2797</v>
      </c>
      <c r="P45" s="3588" t="s">
        <v>3162</v>
      </c>
      <c r="Q45" s="3588" t="s">
        <v>3124</v>
      </c>
    </row>
    <row r="46" spans="1:17">
      <c r="A46" s="3586" t="s">
        <v>3163</v>
      </c>
      <c r="B46" s="3586" t="s">
        <v>3028</v>
      </c>
      <c r="C46" s="3586" t="s">
        <v>3029</v>
      </c>
      <c r="D46" s="3587">
        <v>11000</v>
      </c>
      <c r="E46" s="3587">
        <v>11000</v>
      </c>
      <c r="F46" s="3586" t="s">
        <v>3164</v>
      </c>
      <c r="G46" s="3586" t="s">
        <v>3031</v>
      </c>
      <c r="H46" s="3586" t="s">
        <v>3032</v>
      </c>
      <c r="I46" s="3586">
        <v>0</v>
      </c>
      <c r="J46" s="3586" t="s">
        <v>3165</v>
      </c>
      <c r="K46" s="3586" t="s">
        <v>3165</v>
      </c>
      <c r="L46" s="3586">
        <v>278.3</v>
      </c>
      <c r="M46" s="3586">
        <v>278.3</v>
      </c>
      <c r="N46" s="3586">
        <v>253</v>
      </c>
      <c r="O46" s="3586">
        <v>0</v>
      </c>
      <c r="P46" s="3586" t="s">
        <v>3166</v>
      </c>
      <c r="Q46" s="3586" t="s">
        <v>3106</v>
      </c>
    </row>
    <row r="47" spans="1:17">
      <c r="A47" s="3586" t="s">
        <v>3167</v>
      </c>
      <c r="B47" s="3586" t="s">
        <v>3028</v>
      </c>
      <c r="C47" s="3586" t="s">
        <v>3029</v>
      </c>
      <c r="D47" s="3587">
        <v>49616</v>
      </c>
      <c r="E47" s="3587">
        <v>49616</v>
      </c>
      <c r="F47" s="3586" t="s">
        <v>3041</v>
      </c>
      <c r="G47" s="3586" t="s">
        <v>3031</v>
      </c>
      <c r="H47" s="3586" t="s">
        <v>3032</v>
      </c>
      <c r="I47" s="3586">
        <v>0</v>
      </c>
      <c r="J47" s="3586" t="s">
        <v>3165</v>
      </c>
      <c r="K47" s="3586" t="s">
        <v>3165</v>
      </c>
      <c r="L47" s="3586">
        <v>17881.61</v>
      </c>
      <c r="M47" s="3586">
        <v>17881.61</v>
      </c>
      <c r="N47" s="3586">
        <v>3604</v>
      </c>
      <c r="O47" s="3586">
        <v>0</v>
      </c>
      <c r="P47" s="3586" t="s">
        <v>3166</v>
      </c>
      <c r="Q47" s="3586" t="s">
        <v>3106</v>
      </c>
    </row>
    <row r="48" spans="1:17">
      <c r="A48" s="3586" t="s">
        <v>3168</v>
      </c>
      <c r="B48" s="3586" t="s">
        <v>3028</v>
      </c>
      <c r="C48" s="3586" t="s">
        <v>3029</v>
      </c>
      <c r="D48" s="3587">
        <v>1414.01</v>
      </c>
      <c r="E48" s="3587">
        <v>1414.01</v>
      </c>
      <c r="F48" s="3586" t="s">
        <v>3169</v>
      </c>
      <c r="G48" s="3586" t="s">
        <v>3031</v>
      </c>
      <c r="H48" s="3586" t="s">
        <v>3032</v>
      </c>
      <c r="I48" s="3586">
        <v>0</v>
      </c>
      <c r="J48" s="3586" t="s">
        <v>3170</v>
      </c>
      <c r="K48" s="3586" t="s">
        <v>3170</v>
      </c>
      <c r="L48" s="3586" t="s">
        <v>2797</v>
      </c>
      <c r="M48" s="3586">
        <v>65.75</v>
      </c>
      <c r="N48" s="3586">
        <v>464.99</v>
      </c>
      <c r="O48" s="3586" t="s">
        <v>2797</v>
      </c>
      <c r="P48" s="3586" t="s">
        <v>3171</v>
      </c>
      <c r="Q48" s="3586" t="s">
        <v>3124</v>
      </c>
    </row>
    <row r="49" spans="1:17">
      <c r="A49" s="3586" t="s">
        <v>3172</v>
      </c>
      <c r="B49" s="3586" t="s">
        <v>3028</v>
      </c>
      <c r="C49" s="3586" t="s">
        <v>3029</v>
      </c>
      <c r="D49" s="3587">
        <v>16354</v>
      </c>
      <c r="E49" s="3587">
        <v>13083.2</v>
      </c>
      <c r="F49" s="3586" t="s">
        <v>3063</v>
      </c>
      <c r="G49" s="3586" t="s">
        <v>3031</v>
      </c>
      <c r="H49" s="3586" t="s">
        <v>3032</v>
      </c>
      <c r="I49" s="3586">
        <v>0</v>
      </c>
      <c r="J49" s="3586" t="s">
        <v>3173</v>
      </c>
      <c r="K49" s="3586" t="s">
        <v>3173</v>
      </c>
      <c r="L49" s="3586">
        <v>1727</v>
      </c>
      <c r="M49" s="3586">
        <v>1727</v>
      </c>
      <c r="N49" s="3586">
        <v>1320</v>
      </c>
      <c r="O49" s="3586">
        <v>0</v>
      </c>
      <c r="P49" s="3586" t="s">
        <v>3174</v>
      </c>
      <c r="Q49" s="3586" t="s">
        <v>3111</v>
      </c>
    </row>
    <row r="50" spans="1:17">
      <c r="A50" s="3586" t="s">
        <v>3175</v>
      </c>
      <c r="B50" s="3586" t="s">
        <v>3028</v>
      </c>
      <c r="C50" s="3586" t="s">
        <v>3029</v>
      </c>
      <c r="D50" s="3587">
        <v>11800</v>
      </c>
      <c r="E50" s="3587">
        <v>4720</v>
      </c>
      <c r="F50" s="3586" t="s">
        <v>3176</v>
      </c>
      <c r="G50" s="3586" t="s">
        <v>3031</v>
      </c>
      <c r="H50" s="3586" t="s">
        <v>3032</v>
      </c>
      <c r="I50" s="3586">
        <v>0</v>
      </c>
      <c r="J50" s="3586" t="s">
        <v>3173</v>
      </c>
      <c r="K50" s="3586" t="s">
        <v>3173</v>
      </c>
      <c r="L50" s="3586">
        <v>891</v>
      </c>
      <c r="M50" s="3586">
        <v>891</v>
      </c>
      <c r="N50" s="3586">
        <v>1887.71</v>
      </c>
      <c r="O50" s="3586">
        <v>0</v>
      </c>
      <c r="P50" s="3586" t="s">
        <v>3174</v>
      </c>
      <c r="Q50" s="3586" t="s">
        <v>3034</v>
      </c>
    </row>
    <row r="51" spans="1:17">
      <c r="A51" s="3586" t="s">
        <v>3177</v>
      </c>
      <c r="B51" s="3586" t="s">
        <v>3028</v>
      </c>
      <c r="C51" s="3586" t="s">
        <v>3029</v>
      </c>
      <c r="D51" s="3587">
        <v>33095</v>
      </c>
      <c r="E51" s="3587">
        <v>66190</v>
      </c>
      <c r="F51" s="3586" t="s">
        <v>3080</v>
      </c>
      <c r="G51" s="3586" t="s">
        <v>3031</v>
      </c>
      <c r="H51" s="3586" t="s">
        <v>3178</v>
      </c>
      <c r="I51" s="3586">
        <v>0</v>
      </c>
      <c r="J51" s="3586" t="s">
        <v>3179</v>
      </c>
      <c r="K51" s="3586" t="s">
        <v>3179</v>
      </c>
      <c r="L51" s="3586">
        <v>6536.26</v>
      </c>
      <c r="M51" s="3586">
        <v>6536.26</v>
      </c>
      <c r="N51" s="3586">
        <v>987.5</v>
      </c>
      <c r="O51" s="3586">
        <v>0</v>
      </c>
      <c r="P51" s="3586" t="s">
        <v>3180</v>
      </c>
      <c r="Q51" s="3586" t="s">
        <v>3106</v>
      </c>
    </row>
  </sheetData>
  <phoneticPr fontId="228" type="noConversion"/>
  <pageMargins left="0.75" right="0.75" top="1" bottom="1" header="0.5" footer="0.5"/>
  <pageSetup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90" zoomScaleNormal="60" zoomScaleSheetLayoutView="90" workbookViewId="0">
      <selection activeCell="F3" sqref="F3"/>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1684</v>
      </c>
      <c r="B1" s="1349"/>
      <c r="C1" s="1355" t="s">
        <v>2410</v>
      </c>
      <c r="D1" s="1461">
        <f>SUM(D29:D30,D33:D39)</f>
        <v>0</v>
      </c>
      <c r="E1" s="1355" t="s">
        <v>2411</v>
      </c>
      <c r="F1" s="2307"/>
      <c r="G1" s="1350"/>
      <c r="H1" s="1350"/>
      <c r="I1" s="1350"/>
      <c r="J1" s="1350"/>
      <c r="K1" s="2070"/>
      <c r="L1" s="1796" t="s">
        <v>2226</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5" t="s">
        <v>911</v>
      </c>
      <c r="B2" s="1025" t="e">
        <f ca="1">C26</f>
        <v>#DIV/0!</v>
      </c>
      <c r="C2" s="1356" t="s">
        <v>912</v>
      </c>
      <c r="D2" s="1357" t="s">
        <v>913</v>
      </c>
      <c r="E2" s="1358" t="s">
        <v>3008</v>
      </c>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 ca="1">ROUND($C$5*$C$18*$C$19*$C$20*S2*$C$24,0)</f>
        <v>#DIV/0!</v>
      </c>
      <c r="U2" s="2643"/>
      <c r="V2" s="2654" t="e">
        <f ca="1">ROUND(T2*U2/10000,0)</f>
        <v>#DIV/0!</v>
      </c>
      <c r="W2" s="2070"/>
      <c r="X2" s="2070"/>
      <c r="Y2" s="2070"/>
      <c r="Z2" s="2070"/>
      <c r="AA2" s="2070"/>
      <c r="AB2" s="2070"/>
      <c r="AC2" s="2071"/>
    </row>
    <row r="3" spans="1:39" ht="15.75">
      <c r="A3" s="1360" t="s">
        <v>1677</v>
      </c>
      <c r="B3" s="1025" t="e">
        <f ca="1">ROUND(B2*10000/D1,0)</f>
        <v>#DIV/0!</v>
      </c>
      <c r="C3" s="1356" t="s">
        <v>918</v>
      </c>
      <c r="D3" s="1357" t="s">
        <v>919</v>
      </c>
      <c r="E3" s="1361" t="s">
        <v>3186</v>
      </c>
      <c r="F3" s="1362"/>
      <c r="G3" s="1026">
        <f>IF(F3="宗地容积率",'数据-汇总表'!I4,IF(F3="估价对象容积率",'数据-汇总表'!I6,'数据-汇总表'!I7))</f>
        <v>4</v>
      </c>
      <c r="H3" s="1363" t="s">
        <v>920</v>
      </c>
      <c r="I3" s="1027"/>
      <c r="J3" s="1359" t="s">
        <v>921</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ca="1" si="0">ROUND($C$5*$C$18*$C$19*$C$20*S3*$C$24,0)</f>
        <v>#DIV/0!</v>
      </c>
      <c r="U3" s="2643"/>
      <c r="V3" s="2654" t="e">
        <f t="shared" ref="V3:V16" ca="1" si="1">ROUND(T3*U3/10000,0)</f>
        <v>#DIV/0!</v>
      </c>
      <c r="W3" s="2070"/>
      <c r="X3" s="2070"/>
      <c r="Y3" s="2070"/>
      <c r="Z3" s="2070"/>
      <c r="AA3" s="2070"/>
      <c r="AB3" s="2070"/>
      <c r="AC3" s="2071"/>
    </row>
    <row r="4" spans="1:39" ht="28.5">
      <c r="A4" s="1805" t="s">
        <v>2267</v>
      </c>
      <c r="B4" s="2308" t="e">
        <f ca="1">ROUND(B2*10000/F1,0)</f>
        <v>#DIV/0!</v>
      </c>
      <c r="C4" s="1808" t="s">
        <v>2242</v>
      </c>
      <c r="D4" s="1808" t="e">
        <f ca="1">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ca="1" si="0"/>
        <v>#DIV/0!</v>
      </c>
      <c r="U4" s="2643"/>
      <c r="V4" s="2654" t="e">
        <f t="shared" ca="1" si="1"/>
        <v>#DIV/0!</v>
      </c>
      <c r="W4" s="2070"/>
      <c r="X4" s="2070"/>
      <c r="Y4" s="2070"/>
      <c r="Z4" s="2070"/>
      <c r="AA4" s="2070"/>
      <c r="AB4" s="2070"/>
      <c r="AC4" s="2071"/>
    </row>
    <row r="5" spans="1:39" s="1370" customFormat="1" ht="15.75" thickBot="1">
      <c r="A5" s="1567" t="s">
        <v>1813</v>
      </c>
      <c r="B5" s="1364" t="s">
        <v>922</v>
      </c>
      <c r="C5" s="1028" t="e">
        <f>ROUND(IF(E2="商业",C6*C7+C16,(IF(E2="住宅",C6*C12+C16,C6+C16))),0)</f>
        <v>#DIV/0!</v>
      </c>
      <c r="D5" s="2793" t="e">
        <f>ROUND(C6+C16,0)</f>
        <v>#DIV/0!</v>
      </c>
      <c r="E5" s="2793"/>
      <c r="F5" s="1365"/>
      <c r="G5" s="1366"/>
      <c r="H5" s="1366"/>
      <c r="I5" s="1366"/>
      <c r="J5" s="1367"/>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ca="1" si="0"/>
        <v>#DIV/0!</v>
      </c>
      <c r="U5" s="2643"/>
      <c r="V5" s="2654" t="e">
        <f t="shared" ca="1" si="1"/>
        <v>#DIV/0!</v>
      </c>
      <c r="W5" s="2070"/>
      <c r="X5" s="2070"/>
      <c r="Y5" s="2070"/>
      <c r="Z5" s="2070"/>
      <c r="AA5" s="2070"/>
      <c r="AB5" s="2070"/>
      <c r="AC5" s="2072"/>
      <c r="AD5" s="1368"/>
      <c r="AE5" s="1368"/>
      <c r="AF5" s="1368"/>
      <c r="AG5" s="1368"/>
      <c r="AH5" s="1368"/>
      <c r="AI5" s="1368"/>
      <c r="AJ5" s="1369"/>
      <c r="AK5" s="1369"/>
      <c r="AL5" s="1369"/>
      <c r="AM5" s="1369"/>
    </row>
    <row r="6" spans="1:39" ht="15.75" thickBot="1">
      <c r="A6" s="1568" t="s">
        <v>1860</v>
      </c>
      <c r="B6" s="1371" t="s">
        <v>922</v>
      </c>
      <c r="C6" s="1029">
        <f>SUMIF(L1:L12,基准地价!G2,M1:M12)</f>
        <v>0</v>
      </c>
      <c r="D6" s="1372" t="s">
        <v>1685</v>
      </c>
      <c r="E6" s="1373"/>
      <c r="F6" s="1373"/>
      <c r="G6" s="1374"/>
      <c r="H6" s="1374"/>
      <c r="I6" s="1374"/>
      <c r="J6" s="1375"/>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ca="1" si="0"/>
        <v>#DIV/0!</v>
      </c>
      <c r="U6" s="2643"/>
      <c r="V6" s="2654" t="e">
        <f t="shared" ca="1" si="1"/>
        <v>#DIV/0!</v>
      </c>
      <c r="W6" s="2070"/>
      <c r="X6" s="2070"/>
      <c r="Y6" s="2070"/>
      <c r="Z6" s="2070"/>
      <c r="AA6" s="2070"/>
      <c r="AB6" s="2070"/>
      <c r="AC6" s="2072"/>
      <c r="AD6" s="1368"/>
      <c r="AE6" s="1368"/>
      <c r="AF6" s="1368"/>
      <c r="AG6" s="1368"/>
      <c r="AH6" s="1368"/>
      <c r="AI6" s="1368"/>
      <c r="AJ6" s="1369"/>
    </row>
    <row r="7" spans="1:39" ht="24">
      <c r="A7" s="3520" t="str">
        <f>IF(E2="商业",IF(C8="不临58条商业街","",2),"")</f>
        <v/>
      </c>
      <c r="B7" s="1376" t="s">
        <v>923</v>
      </c>
      <c r="C7" s="1030">
        <f>IF(C8="不临58条商业街",1,ROUND(1+(1.6*E8+1.2*E9+0.8*E10+0.4*E11)*C9,4))</f>
        <v>1</v>
      </c>
      <c r="D7" s="1377" t="s">
        <v>924</v>
      </c>
      <c r="E7" s="1031"/>
      <c r="F7" s="1378"/>
      <c r="G7" s="1379"/>
      <c r="H7" s="1379"/>
      <c r="I7" s="1379"/>
      <c r="J7" s="1380"/>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ca="1" si="0"/>
        <v>#DIV/0!</v>
      </c>
      <c r="U7" s="2643"/>
      <c r="V7" s="2654" t="e">
        <f t="shared" ca="1" si="1"/>
        <v>#DIV/0!</v>
      </c>
      <c r="W7" s="2652" t="s">
        <v>2744</v>
      </c>
      <c r="X7" s="2644">
        <f>G2</f>
        <v>0</v>
      </c>
      <c r="Y7" s="2644" t="s">
        <v>2745</v>
      </c>
      <c r="Z7" s="2645">
        <f>G3</f>
        <v>4</v>
      </c>
      <c r="AA7" s="2073"/>
      <c r="AB7" s="2073"/>
      <c r="AC7" s="2074"/>
      <c r="AD7" s="2646"/>
      <c r="AE7" s="2646"/>
      <c r="AF7" s="2646"/>
      <c r="AG7" s="2646"/>
      <c r="AH7" s="2646"/>
      <c r="AI7" s="2646"/>
      <c r="AJ7" s="2647"/>
    </row>
    <row r="8" spans="1:39" ht="25.5">
      <c r="A8" s="3521"/>
      <c r="B8" s="1363" t="s">
        <v>925</v>
      </c>
      <c r="C8" s="1469" t="s">
        <v>3187</v>
      </c>
      <c r="D8" s="1032" t="s">
        <v>926</v>
      </c>
      <c r="E8" s="1033" t="e">
        <f>ROUND(C11/E7,4)</f>
        <v>#DIV/0!</v>
      </c>
      <c r="F8" s="1381" t="s">
        <v>927</v>
      </c>
      <c r="G8" s="1382"/>
      <c r="H8" s="1382"/>
      <c r="I8" s="1382"/>
      <c r="J8" s="1383"/>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ca="1" si="0"/>
        <v>#DIV/0!</v>
      </c>
      <c r="U8" s="2643"/>
      <c r="V8" s="2654" t="e">
        <f t="shared" ca="1" si="1"/>
        <v>#DIV/0!</v>
      </c>
      <c r="W8" s="3507" t="s">
        <v>2762</v>
      </c>
      <c r="X8" s="3508"/>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21"/>
      <c r="B9" s="1363" t="s">
        <v>928</v>
      </c>
      <c r="C9" s="1034">
        <f>SUMIF(修正!C59:C119,C8,修正!E59:E119)</f>
        <v>0</v>
      </c>
      <c r="D9" s="1035" t="s">
        <v>929</v>
      </c>
      <c r="E9" s="1035" t="e">
        <f>ROUND(C11/E7,4)</f>
        <v>#DIV/0!</v>
      </c>
      <c r="F9" s="1381" t="s">
        <v>930</v>
      </c>
      <c r="G9" s="1382"/>
      <c r="H9" s="1382"/>
      <c r="I9" s="1382"/>
      <c r="J9" s="1383"/>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ca="1" si="0"/>
        <v>#DIV/0!</v>
      </c>
      <c r="U9" s="2643"/>
      <c r="V9" s="2654" t="e">
        <f t="shared" ca="1" si="1"/>
        <v>#DIV/0!</v>
      </c>
      <c r="W9" s="3506"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1"/>
      <c r="B10" s="1363" t="s">
        <v>931</v>
      </c>
      <c r="C10" s="1035">
        <f>SUMIF(修正!C59:C119,C8,修正!F59:F119)</f>
        <v>0</v>
      </c>
      <c r="D10" s="1035" t="s">
        <v>932</v>
      </c>
      <c r="E10" s="1035" t="e">
        <f>ROUND(C11/E7,4)</f>
        <v>#DIV/0!</v>
      </c>
      <c r="F10" s="1381" t="s">
        <v>933</v>
      </c>
      <c r="G10" s="1382"/>
      <c r="H10" s="1382"/>
      <c r="I10" s="1382"/>
      <c r="J10" s="1383"/>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ca="1" si="0"/>
        <v>#DIV/0!</v>
      </c>
      <c r="U10" s="2643"/>
      <c r="V10" s="2654" t="e">
        <f t="shared" ca="1" si="1"/>
        <v>#DIV/0!</v>
      </c>
      <c r="W10" s="350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1"/>
      <c r="B11" s="1384" t="s">
        <v>934</v>
      </c>
      <c r="C11" s="1036">
        <f>C10/4</f>
        <v>0</v>
      </c>
      <c r="D11" s="1036" t="s">
        <v>935</v>
      </c>
      <c r="E11" s="1036" t="e">
        <f>ROUND(C11/E7,4)</f>
        <v>#DIV/0!</v>
      </c>
      <c r="F11" s="1385" t="s">
        <v>936</v>
      </c>
      <c r="G11" s="1386"/>
      <c r="H11" s="1386"/>
      <c r="I11" s="1386"/>
      <c r="J11" s="1387"/>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ca="1" si="0"/>
        <v>#DIV/0!</v>
      </c>
      <c r="U11" s="2643"/>
      <c r="V11" s="2654" t="e">
        <f t="shared" ca="1" si="1"/>
        <v>#DIV/0!</v>
      </c>
      <c r="W11" s="3506"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20" t="s">
        <v>1861</v>
      </c>
      <c r="B12" s="1388" t="s">
        <v>937</v>
      </c>
      <c r="C12" s="1030">
        <f>ROUND(C15*D15*E15*F15*G15*H15*I15*J15,4)</f>
        <v>1</v>
      </c>
      <c r="D12" s="1389" t="s">
        <v>938</v>
      </c>
      <c r="E12" s="1390"/>
      <c r="F12" s="1390"/>
      <c r="G12" s="1391"/>
      <c r="H12" s="1391"/>
      <c r="I12" s="1391"/>
      <c r="J12" s="1392"/>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ca="1" si="0"/>
        <v>#DIV/0!</v>
      </c>
      <c r="U12" s="2643"/>
      <c r="V12" s="2654" t="e">
        <f t="shared" ca="1" si="1"/>
        <v>#DIV/0!</v>
      </c>
      <c r="W12" s="3506"/>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2"/>
      <c r="B13" s="1393" t="s">
        <v>1686</v>
      </c>
      <c r="C13" s="1394" t="s">
        <v>1687</v>
      </c>
      <c r="D13" s="1072" t="s">
        <v>1688</v>
      </c>
      <c r="E13" s="1072" t="s">
        <v>1689</v>
      </c>
      <c r="F13" s="1395" t="s">
        <v>939</v>
      </c>
      <c r="G13" s="1396" t="s">
        <v>1633</v>
      </c>
      <c r="H13" s="1397" t="s">
        <v>1633</v>
      </c>
      <c r="I13" s="1398" t="s">
        <v>1633</v>
      </c>
      <c r="J13" s="1399" t="s">
        <v>1633</v>
      </c>
      <c r="K13" s="2843"/>
      <c r="L13" s="2843"/>
      <c r="M13" s="2843"/>
      <c r="N13" s="2843"/>
      <c r="O13" s="2843"/>
      <c r="P13" s="2070"/>
      <c r="Q13" s="2070"/>
      <c r="R13" s="2654">
        <v>12</v>
      </c>
      <c r="S13" s="2643"/>
      <c r="T13" s="2654" t="e">
        <f t="shared" ca="1" si="0"/>
        <v>#DIV/0!</v>
      </c>
      <c r="U13" s="2643"/>
      <c r="V13" s="2654" t="e">
        <f t="shared" ca="1" si="1"/>
        <v>#DIV/0!</v>
      </c>
      <c r="W13" s="3506"/>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22"/>
      <c r="B14" s="1400"/>
      <c r="C14" s="1401"/>
      <c r="D14" s="1402"/>
      <c r="E14" s="1402"/>
      <c r="F14" s="1403"/>
      <c r="G14" s="1404" t="s">
        <v>940</v>
      </c>
      <c r="H14" s="1405"/>
      <c r="I14" s="1406"/>
      <c r="J14" s="1407"/>
      <c r="K14" s="3236"/>
      <c r="L14" s="3236"/>
      <c r="M14" s="3236"/>
      <c r="N14" s="3236"/>
      <c r="O14" s="3236"/>
      <c r="P14" s="2070"/>
      <c r="Q14" s="2070"/>
      <c r="R14" s="2654">
        <v>13</v>
      </c>
      <c r="S14" s="2643"/>
      <c r="T14" s="2654" t="e">
        <f t="shared" ca="1" si="0"/>
        <v>#DIV/0!</v>
      </c>
      <c r="U14" s="2643"/>
      <c r="V14" s="2654" t="e">
        <f t="shared" ca="1" si="1"/>
        <v>#DIV/0!</v>
      </c>
      <c r="W14" s="2070"/>
      <c r="X14" s="2070"/>
      <c r="Y14" s="2070"/>
      <c r="Z14" s="2070"/>
      <c r="AA14" s="2070"/>
      <c r="AB14" s="2070"/>
      <c r="AC14" s="2071"/>
    </row>
    <row r="15" spans="1:39" ht="13.5" customHeight="1" thickBot="1">
      <c r="A15" s="3523"/>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ca="1" si="0"/>
        <v>#DIV/0!</v>
      </c>
      <c r="U15" s="2643"/>
      <c r="V15" s="2654" t="e">
        <f t="shared" ca="1" si="1"/>
        <v>#DIV/0!</v>
      </c>
      <c r="W15" s="2070"/>
      <c r="X15" s="2070"/>
      <c r="Y15" s="2070"/>
      <c r="Z15" s="2070"/>
      <c r="AA15" s="2070"/>
      <c r="AB15" s="2070"/>
      <c r="AC15" s="2071"/>
    </row>
    <row r="16" spans="1:39" ht="24.6" customHeight="1">
      <c r="A16" s="3520" t="s">
        <v>1828</v>
      </c>
      <c r="B16" s="1376" t="s">
        <v>941</v>
      </c>
      <c r="C16" s="1039" t="e">
        <f>ROUND(IF(F17="与级别开发程度一致",0,(G17-E17)/C17),0)</f>
        <v>#DIV/0!</v>
      </c>
      <c r="D16" s="3514" t="s">
        <v>945</v>
      </c>
      <c r="E16" s="3515"/>
      <c r="F16" s="3514" t="s">
        <v>942</v>
      </c>
      <c r="G16" s="3515"/>
      <c r="H16" s="1408"/>
      <c r="I16" s="1408"/>
      <c r="J16" s="1408"/>
      <c r="K16" s="1408"/>
      <c r="L16" s="1408"/>
      <c r="M16" s="1408"/>
      <c r="N16" s="1408"/>
      <c r="O16" s="2853"/>
      <c r="P16" s="2070"/>
      <c r="Q16" s="2073"/>
      <c r="R16" s="2654">
        <v>15</v>
      </c>
      <c r="S16" s="2643"/>
      <c r="T16" s="2654" t="e">
        <f t="shared" ca="1" si="0"/>
        <v>#DIV/0!</v>
      </c>
      <c r="U16" s="2643"/>
      <c r="V16" s="2654" t="e">
        <f t="shared" ca="1" si="1"/>
        <v>#DIV/0!</v>
      </c>
      <c r="W16" s="2073"/>
      <c r="X16" s="2073"/>
      <c r="Y16" s="2073"/>
      <c r="Z16" s="2073"/>
      <c r="AA16" s="2073"/>
      <c r="AB16" s="2073"/>
      <c r="AC16" s="2074"/>
    </row>
    <row r="17" spans="1:40" ht="13.5" thickBot="1">
      <c r="A17" s="3524"/>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1819</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1825</v>
      </c>
      <c r="B19" s="1411" t="s">
        <v>947</v>
      </c>
      <c r="C19" s="1040" t="e">
        <f>ROUND(IF(H19="按公示增长率计算",SUMPRODUCT((地价!A3:A34=YEAR(G19)&amp;"-"&amp;ROUNDUP(MONTH(G19)/3,0))*(地价!X2:AB2=E2)*(地价!X3:AB34)),IF(H19="地价指数",M20/M19,(1+I19)^O19)),4)</f>
        <v>#VALUE!</v>
      </c>
      <c r="D19" s="1415" t="s">
        <v>948</v>
      </c>
      <c r="E19" s="1041">
        <v>41640</v>
      </c>
      <c r="F19" s="1415" t="s">
        <v>949</v>
      </c>
      <c r="G19" s="1042">
        <f>'数据-取费表'!B2</f>
        <v>44357</v>
      </c>
      <c r="H19" s="1416"/>
      <c r="I19" s="2503" t="str">
        <f>IF(H19="季度增幅（自定义）",SUMIF(N21:N24,E2,O21:O24),"")</f>
        <v/>
      </c>
      <c r="J19" s="1412"/>
      <c r="K19" s="3234"/>
      <c r="L19" s="2753" t="s">
        <v>2820</v>
      </c>
      <c r="M19" s="2754">
        <f>ROUND(SUMIF(地价!B2:F2,E2,地价!B34:F34),0)</f>
        <v>258</v>
      </c>
      <c r="N19" s="2505" t="s">
        <v>1667</v>
      </c>
      <c r="O19" s="2504">
        <f>ROUNDDOWN(DATEDIF(E19,G19,"M")/3,0)</f>
        <v>29</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1826</v>
      </c>
      <c r="B20" s="2498" t="s">
        <v>962</v>
      </c>
      <c r="C20" s="2499">
        <f ca="1">ROUND(POWER(1+G20,J20-I20)*(POWER(1+G20,I20)-1)/(POWER(1+G20,J20)-1),4)</f>
        <v>1</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40</v>
      </c>
      <c r="J20" s="2502">
        <f>IF(E2="住宅",70,IF(E2="商业",40,50))</f>
        <v>40</v>
      </c>
      <c r="K20" s="2844"/>
      <c r="L20" s="2755" t="s">
        <v>2821</v>
      </c>
      <c r="M20" s="2837">
        <f>ROUND(SUMPRODUCT((地价!A4:A34=YEAR(G19)&amp;"-"&amp;ROUNDUP(MONTH(G19)/3,0))*(地价!B2:F2=E2)*(地价!B4:F34)),0)</f>
        <v>348</v>
      </c>
      <c r="N20" s="2508" t="s">
        <v>2625</v>
      </c>
      <c r="O20" s="2506" t="s">
        <v>2624</v>
      </c>
      <c r="P20" s="2507" t="s">
        <v>2630</v>
      </c>
      <c r="Q20" s="2642"/>
      <c r="R20" s="2076"/>
      <c r="S20" s="2076"/>
      <c r="T20" s="2076"/>
      <c r="U20" s="2076"/>
      <c r="V20" s="2076"/>
      <c r="W20" s="2076"/>
      <c r="X20" s="2076"/>
      <c r="Y20" s="1413"/>
      <c r="Z20" s="1413"/>
      <c r="AA20" s="1413"/>
      <c r="AB20" s="1413"/>
      <c r="AC20" s="1413"/>
      <c r="AD20" s="1413"/>
    </row>
    <row r="21" spans="1:40" s="1370" customFormat="1" ht="14.25">
      <c r="A21" s="1571" t="s">
        <v>1827</v>
      </c>
      <c r="B21" s="1421" t="s">
        <v>3188</v>
      </c>
      <c r="C21" s="1141">
        <f>IF(B21="容积率修正",IF(G3&lt;=10,D22,J22),C23)</f>
        <v>0</v>
      </c>
      <c r="D21" s="1422"/>
      <c r="E21" s="1422"/>
      <c r="F21" s="1422"/>
      <c r="G21" s="1422"/>
      <c r="H21" s="1422"/>
      <c r="I21" s="1422"/>
      <c r="J21" s="1423"/>
      <c r="K21" s="3234"/>
      <c r="L21" s="1422"/>
      <c r="M21" s="1422"/>
      <c r="N21" s="1419" t="s">
        <v>966</v>
      </c>
      <c r="O21" s="1482"/>
      <c r="P21" s="2495">
        <f>SUMPRODUCT((地价!A3:A34=YEAR(G19)&amp;"-"&amp;ROUNDUP(MONTH(G19)/3,0))*(地价!AD2:AH2=N21)*(地价!AD3:AH34))</f>
        <v>1.09E-2</v>
      </c>
      <c r="Q21" s="2642"/>
      <c r="R21" s="2076"/>
      <c r="S21" s="2076"/>
      <c r="T21" s="2076"/>
      <c r="U21" s="2076"/>
      <c r="V21" s="2076"/>
      <c r="W21" s="2076"/>
      <c r="X21" s="2076"/>
      <c r="Y21" s="1352"/>
      <c r="Z21" s="1352"/>
      <c r="AA21" s="1352"/>
      <c r="AB21" s="1352"/>
      <c r="AC21" s="1413"/>
      <c r="AD21" s="1413"/>
    </row>
    <row r="22" spans="1:40" s="1370" customFormat="1" ht="14.25">
      <c r="A22" s="1572" t="s">
        <v>1860</v>
      </c>
      <c r="B22" s="1424" t="s">
        <v>967</v>
      </c>
      <c r="C22" s="1043" t="s">
        <v>1692</v>
      </c>
      <c r="D22" s="1043">
        <f>IF(E22=G22,F22,IF(G3&lt;=10,ROUND(F22+(H22-F22)*(G3-E22)/(G22-E22),4),"——"))</f>
        <v>0</v>
      </c>
      <c r="E22" s="1026">
        <f>ROUNDDOWN(G3,1)</f>
        <v>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5">
        <f>SUMPRODUCT((地价!A3:A34=YEAR(G19)&amp;"-"&amp;ROUNDUP(MONTH(G19)/3,0))*(地价!AD2:AH2=N22)*(地价!AD3:AH34))</f>
        <v>1.09E-2</v>
      </c>
      <c r="Q22" s="2642"/>
      <c r="R22" s="2076"/>
      <c r="S22" s="2076"/>
      <c r="T22" s="2076"/>
      <c r="U22" s="2076"/>
      <c r="V22" s="2076"/>
      <c r="W22" s="2076"/>
      <c r="X22" s="2076"/>
      <c r="Y22" s="1413"/>
      <c r="Z22" s="1413"/>
      <c r="AA22" s="1413"/>
      <c r="AB22" s="1413"/>
      <c r="AC22" s="1413"/>
      <c r="AD22" s="1413"/>
    </row>
    <row r="23" spans="1:40" ht="15.75" thickBot="1">
      <c r="A23" s="1572" t="s">
        <v>1861</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SUMPRODUCT((地价!A3:A34=YEAR(G19)&amp;"-"&amp;ROUNDUP(MONTH(G19)/3,0))*(地价!AD2:AH2=N23)*(地价!AD3:AH34))</f>
        <v>1.9E-2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1862</v>
      </c>
      <c r="B24" s="1364" t="s">
        <v>971</v>
      </c>
      <c r="C24" s="1045">
        <f>SUMIF(A44:A87,E2,B44:B87)</f>
        <v>1</v>
      </c>
      <c r="D24" s="1475"/>
      <c r="E24" s="1476"/>
      <c r="F24" s="1476"/>
      <c r="G24" s="1476"/>
      <c r="H24" s="1476"/>
      <c r="I24" s="1476"/>
      <c r="J24" s="1476"/>
      <c r="K24" s="3241"/>
      <c r="L24" s="1422"/>
      <c r="M24" s="1422"/>
      <c r="N24" s="1419" t="s">
        <v>972</v>
      </c>
      <c r="O24" s="2836"/>
      <c r="P24" s="2495">
        <f>SUMPRODUCT((地价!A3:A34=YEAR(G19)&amp;"-"&amp;ROUNDUP(MONTH(G19)/3,0))*(地价!AD2:AH2=N24)*(地价!AD3:AH34))</f>
        <v>1.2500000000000001E-2</v>
      </c>
      <c r="Q24" s="2642"/>
      <c r="R24" s="2076"/>
      <c r="S24" s="2076"/>
      <c r="T24" s="2076"/>
      <c r="U24" s="2076"/>
      <c r="V24" s="2076"/>
      <c r="W24" s="2076"/>
      <c r="X24" s="2076"/>
      <c r="Y24" s="1413"/>
      <c r="Z24" s="1413"/>
      <c r="AA24" s="1413"/>
      <c r="AB24" s="1413"/>
      <c r="AC24" s="1413"/>
      <c r="AD24" s="1413"/>
    </row>
    <row r="25" spans="1:40" ht="15" thickBot="1">
      <c r="A25" s="1570" t="s">
        <v>1863</v>
      </c>
      <c r="B25" s="1426" t="s">
        <v>973</v>
      </c>
      <c r="C25" s="1427"/>
      <c r="D25" s="1379"/>
      <c r="E25" s="1379"/>
      <c r="F25" s="1428"/>
      <c r="G25" s="1379"/>
      <c r="H25" s="1379"/>
      <c r="I25" s="1379"/>
      <c r="J25" s="1380"/>
      <c r="K25" s="3235"/>
      <c r="L25" s="2076"/>
      <c r="M25" s="2076"/>
      <c r="N25" s="2838" t="s">
        <v>2628</v>
      </c>
      <c r="O25" s="2839"/>
      <c r="P25" s="2302">
        <f>SUMPRODUCT((地价!A3:A34=YEAR(G19)&amp;"-"&amp;ROUNDUP(MONTH(G19)/3,0))*(地价!AD2:AH2=N25)*(地价!AD3:AH34))</f>
        <v>1.7299999999999999E-2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t="e">
        <f ca="1">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 ca="1">E30+SUM(I33:I39)</f>
        <v>#DIV/0!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t="e">
        <f ca="1">ROUND(C5*C18*C19*C20*C21*C24,0)</f>
        <v>#DIV/0!</v>
      </c>
      <c r="D29" s="1444"/>
      <c r="E29" s="1763" t="e">
        <f ca="1">ROUND(C29*D29/10000,0)</f>
        <v>#DIV/0!</v>
      </c>
      <c r="F29" s="1445" t="s">
        <v>1691</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t="e">
        <f ca="1">ROUND(IF(E2="工业",C29*M39,C29*M38),0)</f>
        <v>#DIV/0!</v>
      </c>
      <c r="D30" s="1450"/>
      <c r="E30" s="1763" t="e">
        <f ca="1">ROUND(C30*D30/10000,0)</f>
        <v>#DIV/0!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6"/>
      <c r="B33" s="1464" t="s">
        <v>990</v>
      </c>
      <c r="C33" s="1046" t="e">
        <f ca="1">ROUND(D5*C19*C20*C24*F33,0)</f>
        <v>#DIV/0!</v>
      </c>
      <c r="D33" s="1477"/>
      <c r="E33" s="1035" t="e">
        <f ca="1">ROUND(C33*D33/10000,0)</f>
        <v>#DIV/0!</v>
      </c>
      <c r="F33" s="1035">
        <f>SUMIF(修正!A45:A56,G2,修正!B45:B56)</f>
        <v>0</v>
      </c>
      <c r="G33" s="1035" t="e">
        <f t="shared" ref="G33" ca="1" si="6">ROUND(IF(E2="工业",C33*$M$39,C33*$M$38),0)</f>
        <v>#DIV/0!</v>
      </c>
      <c r="H33" s="1035">
        <f>D33</f>
        <v>0</v>
      </c>
      <c r="I33" s="1035" t="e">
        <f ca="1">ROUND(G33*H33/10000,0)</f>
        <v>#DIV/0!</v>
      </c>
      <c r="J33" s="3516"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7"/>
      <c r="B34" s="1394" t="s">
        <v>991</v>
      </c>
      <c r="C34" s="1046" t="e">
        <f ca="1">ROUND(D5*C19*C20*C24*F34,0)</f>
        <v>#DIV/0!</v>
      </c>
      <c r="D34" s="1477"/>
      <c r="E34" s="1035" t="e">
        <f t="shared" ref="E34:E39" ca="1" si="7">ROUND(C34*D34/10000,0)</f>
        <v>#DIV/0!</v>
      </c>
      <c r="F34" s="1035">
        <f>SUMIF(修正!A45:A56,G2,修正!C45:C56)</f>
        <v>0</v>
      </c>
      <c r="G34" s="1035" t="e">
        <f ca="1">ROUND(IF(E2="工业",C34*$M$39,C34*$M$38),0)</f>
        <v>#DIV/0!</v>
      </c>
      <c r="H34" s="1035">
        <f t="shared" ref="H34:H39" si="8">D34</f>
        <v>0</v>
      </c>
      <c r="I34" s="1035" t="e">
        <f t="shared" ref="I34:I39" ca="1" si="9">ROUND(G34*H34/10000,0)</f>
        <v>#DIV/0!</v>
      </c>
      <c r="J34" s="3517"/>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7"/>
      <c r="B35" s="1394" t="s">
        <v>992</v>
      </c>
      <c r="C35" s="1046" t="e">
        <f ca="1">ROUND(D5*C19*C20*C24*F35,0)</f>
        <v>#DIV/0!</v>
      </c>
      <c r="D35" s="1477"/>
      <c r="E35" s="1035" t="e">
        <f t="shared" ca="1" si="7"/>
        <v>#DIV/0!</v>
      </c>
      <c r="F35" s="1035">
        <f>SUMIF(修正!A45:A56,G2,修正!D45:D56)</f>
        <v>0</v>
      </c>
      <c r="G35" s="1035" t="e">
        <f ca="1">ROUND(IF(E2="工业",C35*$M$39,C35*$M$38),0)</f>
        <v>#DIV/0!</v>
      </c>
      <c r="H35" s="1035">
        <f t="shared" si="8"/>
        <v>0</v>
      </c>
      <c r="I35" s="1035" t="e">
        <f t="shared" ca="1" si="9"/>
        <v>#DIV/0!</v>
      </c>
      <c r="J35" s="3517"/>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18"/>
      <c r="B36" s="1394" t="s">
        <v>993</v>
      </c>
      <c r="C36" s="1046" t="e">
        <f ca="1">ROUND(D5*C19*C20*C24*F36,0)</f>
        <v>#DIV/0!</v>
      </c>
      <c r="D36" s="1477"/>
      <c r="E36" s="1035" t="e">
        <f t="shared" ca="1" si="7"/>
        <v>#DIV/0!</v>
      </c>
      <c r="F36" s="1035">
        <f>SUMIF(修正!A45:A56,G2,修正!E45:E56)</f>
        <v>0</v>
      </c>
      <c r="G36" s="1035" t="e">
        <f ca="1">ROUND(IF(E2="工业",C36*$M$39,C36*$M$38),0)</f>
        <v>#DIV/0!</v>
      </c>
      <c r="H36" s="1035">
        <f t="shared" si="8"/>
        <v>0</v>
      </c>
      <c r="I36" s="1035" t="e">
        <f t="shared" ca="1" si="9"/>
        <v>#DIV/0!</v>
      </c>
      <c r="J36" s="3518"/>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t="e">
        <f ca="1">ROUND(D5*C19*C20*C24*F37,0)</f>
        <v>#DIV/0!</v>
      </c>
      <c r="D37" s="1477"/>
      <c r="E37" s="1035" t="e">
        <f t="shared" ca="1" si="7"/>
        <v>#DIV/0!</v>
      </c>
      <c r="F37" s="1046">
        <f>SUMIF(修正!A45:A56,G2,修正!F45:F56)</f>
        <v>0</v>
      </c>
      <c r="G37" s="1035" t="e">
        <f ca="1">ROUND(IF(E2="工业",C37*$M$39,C37*$M$38),0)</f>
        <v>#DIV/0!</v>
      </c>
      <c r="H37" s="1035">
        <f t="shared" si="8"/>
        <v>0</v>
      </c>
      <c r="I37" s="1035" t="e">
        <f t="shared" ca="1" si="9"/>
        <v>#DIV/0!</v>
      </c>
      <c r="J37" s="1465"/>
      <c r="K37" s="2070"/>
      <c r="L37" s="1483" t="s">
        <v>1693</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t="e">
        <f ca="1">ROUND(D5*C19*C41*C24*F38,0)</f>
        <v>#DIV/0!</v>
      </c>
      <c r="D38" s="1477"/>
      <c r="E38" s="1035" t="e">
        <f t="shared" ca="1" si="7"/>
        <v>#DIV/0!</v>
      </c>
      <c r="F38" s="1046">
        <f>SUMIF(修正!A45:A56,G2,修正!G45:G56)</f>
        <v>0</v>
      </c>
      <c r="G38" s="1035" t="e">
        <f ca="1">ROUND(IF(E2="工业",C38*$M$39,C38*$M$38),0)</f>
        <v>#DIV/0!</v>
      </c>
      <c r="H38" s="1035">
        <f t="shared" si="8"/>
        <v>0</v>
      </c>
      <c r="I38" s="1035" t="e">
        <f t="shared" ca="1" si="9"/>
        <v>#DIV/0!</v>
      </c>
      <c r="J38" s="1465"/>
      <c r="K38" s="2070"/>
      <c r="L38" s="1485" t="s">
        <v>1695</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t="e">
        <f ca="1">ROUND(D5*C19*C41*C24*F39,0)</f>
        <v>#DIV/0!</v>
      </c>
      <c r="D39" s="1478"/>
      <c r="E39" s="1038" t="e">
        <f t="shared" ca="1" si="7"/>
        <v>#DIV/0!</v>
      </c>
      <c r="F39" s="1048">
        <f>SUMIF(修正!A45:A56,G2,修正!H45:H56)</f>
        <v>0</v>
      </c>
      <c r="G39" s="1038" t="e">
        <f ca="1">ROUND(IF(E2="工业",C39*$M$39,C39*$M$38),0)</f>
        <v>#DIV/0!</v>
      </c>
      <c r="H39" s="1038">
        <f t="shared" si="8"/>
        <v>0</v>
      </c>
      <c r="I39" s="1038" t="e">
        <f t="shared" ca="1" si="9"/>
        <v>#DIV/0!</v>
      </c>
      <c r="J39" s="1467"/>
      <c r="K39" s="2070"/>
      <c r="L39" s="1487" t="s">
        <v>1694</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5.3999999999999999E-2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2238</v>
      </c>
      <c r="G46" s="2286" t="s">
        <v>1005</v>
      </c>
      <c r="H46" s="2269" t="s">
        <v>2402</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f>IF(E2="商业",SUMIF(L1:L12,G2,N1:N12),"——")</f>
        <v>0</v>
      </c>
      <c r="G47" s="2270"/>
      <c r="H47" s="2315">
        <f t="shared" ref="H47:H55" si="11">IFERROR(ROUNDDOWN(($F$47*I47/2),4),"——")</f>
        <v>0</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f t="shared" si="11"/>
        <v>0</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f t="shared" si="11"/>
        <v>0</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f t="shared" si="11"/>
        <v>0</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f t="shared" si="11"/>
        <v>0</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f t="shared" si="11"/>
        <v>0</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f t="shared" si="11"/>
        <v>0</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f t="shared" si="11"/>
        <v>0</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f t="shared" si="11"/>
        <v>0</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2402</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2240</v>
      </c>
      <c r="G68" s="2286" t="s">
        <v>1005</v>
      </c>
      <c r="H68" s="2269" t="s">
        <v>2402</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2241</v>
      </c>
      <c r="G79" s="2286" t="s">
        <v>1005</v>
      </c>
      <c r="H79" s="2269" t="s">
        <v>2402</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25" t="s">
        <v>1624</v>
      </c>
      <c r="B90" s="3525"/>
      <c r="C90" s="3525"/>
      <c r="D90" s="3525"/>
      <c r="E90" s="3525"/>
      <c r="F90" s="3525"/>
      <c r="G90" s="3525"/>
      <c r="H90" s="3525"/>
      <c r="I90" s="3525"/>
      <c r="J90" s="3525"/>
      <c r="K90" s="2305"/>
      <c r="L90" s="2305"/>
      <c r="M90" s="2305"/>
      <c r="N90" s="2305"/>
    </row>
    <row r="91" spans="1:40">
      <c r="A91" s="3526" t="s">
        <v>1434</v>
      </c>
      <c r="B91" s="3526" t="s">
        <v>1625</v>
      </c>
      <c r="C91" s="1123" t="s">
        <v>1626</v>
      </c>
      <c r="D91" s="1124"/>
      <c r="E91" s="1124"/>
      <c r="F91" s="1124"/>
      <c r="G91" s="1124"/>
      <c r="H91" s="1124"/>
      <c r="I91" s="1124"/>
      <c r="J91" s="1125"/>
      <c r="K91" s="1117"/>
      <c r="L91" s="1117"/>
      <c r="M91" s="1117"/>
      <c r="N91" s="1117"/>
    </row>
    <row r="92" spans="1:40">
      <c r="A92" s="3526"/>
      <c r="B92" s="352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09"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0"/>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09"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10"/>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10"/>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10"/>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10"/>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10"/>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10"/>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10"/>
      <c r="B108" s="3512"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1"/>
      <c r="B109" s="3513"/>
      <c r="C109" s="1129">
        <f>(-0.163*(C108^2)-0.59*C108+7617)*(10^(-4))/C101</f>
        <v>0.19042500000000001</v>
      </c>
      <c r="D109" s="1129">
        <f>(-0.163*(D108^2)-0.59*D108+7617)*(10^(-4))/D101</f>
        <v>0.19042500000000001</v>
      </c>
      <c r="E109" s="1129">
        <f>(-0.161*(E108^2)-7.509*E108+6533)*(10^(-4))/E101</f>
        <v>0.163325</v>
      </c>
      <c r="F109" s="1129">
        <f>(-0.161*(F108^2)-7.509*F108+6533)*(10^(-4))/F101</f>
        <v>0.163325</v>
      </c>
      <c r="G109" s="1129">
        <f>(-0.161*(G108^2)-7.509*G108+6533)*(10^(-4))/G101</f>
        <v>0.163325</v>
      </c>
      <c r="H109" s="1129">
        <f>(-0.161*(H108^2)-7.509*H108+6533)*(10^(-4))/H101</f>
        <v>0.163325</v>
      </c>
      <c r="I109" s="1129">
        <f>(-0.161*(I108^2)-7.509*I108+6533)*(10^(-4))/I101</f>
        <v>0.163325</v>
      </c>
      <c r="J109" s="1129">
        <f>(-0.214*(J108^2)-21.991*J108+4665)*(10^(-4))/J101</f>
        <v>0.11662500000000001</v>
      </c>
      <c r="K109" s="1129">
        <f>(-0.214*(K108^2)-21.991*K108+4665)*(10^(-4))/K101</f>
        <v>0.11662500000000001</v>
      </c>
      <c r="L109" s="1129">
        <f>(-0.214*(L108^2)-21.991*L108+4665)*(10^(-4))/L101</f>
        <v>0.11662500000000001</v>
      </c>
      <c r="M109" s="1129">
        <f>(-0.214*(M108^2)-21.991*M108+4665)*(10^(-4))/M101</f>
        <v>0.11662500000000001</v>
      </c>
      <c r="N109" s="1129">
        <f>(-0.214*(N108^2)-21.991*N108+4665)*(10^(-4))/N101</f>
        <v>0.11662500000000001</v>
      </c>
    </row>
    <row r="110" spans="1:14">
      <c r="A110" s="3519" t="s">
        <v>1630</v>
      </c>
      <c r="B110" s="3519"/>
      <c r="C110" s="3519"/>
      <c r="D110" s="3519"/>
      <c r="E110" s="3519"/>
      <c r="F110" s="3519"/>
      <c r="G110" s="3519"/>
      <c r="H110" s="3519"/>
      <c r="I110" s="3519"/>
      <c r="J110" s="3519"/>
      <c r="K110" s="2303"/>
      <c r="L110" s="2303"/>
      <c r="M110" s="2303"/>
      <c r="N110" s="2303"/>
    </row>
    <row r="112" spans="1:14" ht="12.75" thickBot="1"/>
    <row r="113" spans="1:13" ht="25.5" thickBot="1">
      <c r="A113" s="1003" t="s">
        <v>887</v>
      </c>
      <c r="B113" s="2306">
        <f>G3</f>
        <v>4</v>
      </c>
      <c r="C113" s="1004" t="s">
        <v>888</v>
      </c>
      <c r="D113" s="1005">
        <f>SUMPRODUCT((A115:A118=F113)*(B114:M114=H113)*B115:M118)</f>
        <v>0</v>
      </c>
      <c r="E113" s="1006" t="s">
        <v>889</v>
      </c>
      <c r="F113" s="1007" t="str">
        <f>E2</f>
        <v>商业</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6" t="s">
        <v>998</v>
      </c>
      <c r="B18" s="1137" t="s">
        <v>1437</v>
      </c>
      <c r="C18" s="1114" t="s">
        <v>1438</v>
      </c>
      <c r="D18" s="1115"/>
      <c r="E18" s="1137">
        <v>1</v>
      </c>
      <c r="F18" s="1116" t="s">
        <v>1439</v>
      </c>
      <c r="G18" s="1117"/>
      <c r="H18" s="1088"/>
      <c r="I18" s="1088"/>
    </row>
    <row r="19" spans="1:9" s="1530" customFormat="1" ht="19.5" customHeight="1">
      <c r="A19" s="3526"/>
      <c r="B19" s="3526" t="s">
        <v>1440</v>
      </c>
      <c r="C19" s="1114" t="s">
        <v>1441</v>
      </c>
      <c r="D19" s="1115"/>
      <c r="E19" s="1137">
        <v>0.9</v>
      </c>
      <c r="F19" s="1116" t="s">
        <v>1442</v>
      </c>
      <c r="G19" s="1117"/>
      <c r="H19" s="1088"/>
      <c r="I19" s="1088"/>
    </row>
    <row r="20" spans="1:9" s="1530" customFormat="1" ht="19.5" customHeight="1">
      <c r="A20" s="3526"/>
      <c r="B20" s="3526"/>
      <c r="C20" s="1114" t="s">
        <v>1443</v>
      </c>
      <c r="D20" s="1115"/>
      <c r="E20" s="1137">
        <v>1.1000000000000001</v>
      </c>
      <c r="F20" s="1116" t="s">
        <v>1444</v>
      </c>
      <c r="G20" s="1117"/>
      <c r="H20" s="1088"/>
      <c r="I20" s="1088"/>
    </row>
    <row r="21" spans="1:9" s="1530" customFormat="1" ht="19.5" customHeight="1">
      <c r="A21" s="3526"/>
      <c r="B21" s="3526"/>
      <c r="C21" s="1114" t="s">
        <v>1445</v>
      </c>
      <c r="D21" s="1115"/>
      <c r="E21" s="1137">
        <v>0.8</v>
      </c>
      <c r="F21" s="1116" t="s">
        <v>1446</v>
      </c>
      <c r="G21" s="1117"/>
      <c r="H21" s="1088"/>
      <c r="I21" s="1088"/>
    </row>
    <row r="22" spans="1:9" s="1530" customFormat="1" ht="19.5" customHeight="1">
      <c r="A22" s="3526"/>
      <c r="B22" s="3526"/>
      <c r="C22" s="1114" t="s">
        <v>1447</v>
      </c>
      <c r="D22" s="1115"/>
      <c r="E22" s="1137">
        <v>0.5</v>
      </c>
      <c r="F22" s="1116"/>
      <c r="G22" s="1117"/>
      <c r="H22" s="1088"/>
      <c r="I22" s="1088"/>
    </row>
    <row r="23" spans="1:9" s="1530" customFormat="1" ht="19.5" customHeight="1">
      <c r="A23" s="3526" t="s">
        <v>1020</v>
      </c>
      <c r="B23" s="1137" t="s">
        <v>1437</v>
      </c>
      <c r="C23" s="1114" t="s">
        <v>1448</v>
      </c>
      <c r="D23" s="1115"/>
      <c r="E23" s="1137">
        <v>1</v>
      </c>
      <c r="F23" s="1116" t="s">
        <v>1449</v>
      </c>
      <c r="G23" s="1117"/>
      <c r="H23" s="1088"/>
      <c r="I23" s="1088"/>
    </row>
    <row r="24" spans="1:9" s="1530" customFormat="1" ht="19.5" customHeight="1">
      <c r="A24" s="3526"/>
      <c r="B24" s="3526" t="s">
        <v>1440</v>
      </c>
      <c r="C24" s="1114" t="s">
        <v>1450</v>
      </c>
      <c r="D24" s="1115"/>
      <c r="E24" s="1137">
        <v>0.5</v>
      </c>
      <c r="F24" s="1116"/>
      <c r="G24" s="1117"/>
      <c r="H24" s="1088"/>
      <c r="I24" s="1088"/>
    </row>
    <row r="25" spans="1:9" s="1530" customFormat="1" ht="19.5" customHeight="1">
      <c r="A25" s="3526"/>
      <c r="B25" s="3526"/>
      <c r="C25" s="1114" t="s">
        <v>1451</v>
      </c>
      <c r="D25" s="1115"/>
      <c r="E25" s="1137">
        <v>1.1000000000000001</v>
      </c>
      <c r="F25" s="1116"/>
      <c r="G25" s="1117"/>
      <c r="H25" s="1088"/>
      <c r="I25" s="1088"/>
    </row>
    <row r="26" spans="1:9" s="1530" customFormat="1" ht="19.5" customHeight="1">
      <c r="A26" s="3526"/>
      <c r="B26" s="3526"/>
      <c r="C26" s="1114" t="s">
        <v>1452</v>
      </c>
      <c r="D26" s="1115"/>
      <c r="E26" s="1137">
        <v>1.1000000000000001</v>
      </c>
      <c r="F26" s="1116"/>
      <c r="G26" s="1117"/>
      <c r="H26" s="1088"/>
      <c r="I26" s="1088"/>
    </row>
    <row r="27" spans="1:9" s="1530" customFormat="1" ht="19.5" customHeight="1">
      <c r="A27" s="3526"/>
      <c r="B27" s="3526"/>
      <c r="C27" s="1114" t="s">
        <v>1453</v>
      </c>
      <c r="D27" s="1115"/>
      <c r="E27" s="1137">
        <v>0.9</v>
      </c>
      <c r="F27" s="1116" t="s">
        <v>1454</v>
      </c>
      <c r="G27" s="1117"/>
      <c r="H27" s="1088"/>
      <c r="I27" s="1088"/>
    </row>
    <row r="28" spans="1:9" s="1530" customFormat="1" ht="19.5" customHeight="1">
      <c r="A28" s="3526"/>
      <c r="B28" s="3526"/>
      <c r="C28" s="1114" t="s">
        <v>1455</v>
      </c>
      <c r="D28" s="1115"/>
      <c r="E28" s="1137">
        <v>0.9</v>
      </c>
      <c r="F28" s="1116" t="s">
        <v>1456</v>
      </c>
      <c r="G28" s="1117"/>
      <c r="H28" s="1088"/>
      <c r="I28" s="1088"/>
    </row>
    <row r="29" spans="1:9" s="1530" customFormat="1" ht="19.5" customHeight="1">
      <c r="A29" s="3526"/>
      <c r="B29" s="3526"/>
      <c r="C29" s="1114" t="s">
        <v>1457</v>
      </c>
      <c r="D29" s="1115"/>
      <c r="E29" s="1137">
        <v>0.9</v>
      </c>
      <c r="F29" s="1116" t="s">
        <v>1458</v>
      </c>
      <c r="G29" s="1117"/>
      <c r="H29" s="1088"/>
      <c r="I29" s="1088"/>
    </row>
    <row r="30" spans="1:9" s="1530" customFormat="1" ht="19.5" customHeight="1">
      <c r="A30" s="3526"/>
      <c r="B30" s="3526"/>
      <c r="C30" s="1114" t="s">
        <v>1459</v>
      </c>
      <c r="D30" s="1115"/>
      <c r="E30" s="1137">
        <v>0.9</v>
      </c>
      <c r="F30" s="1116" t="s">
        <v>1460</v>
      </c>
      <c r="G30" s="1117"/>
      <c r="H30" s="1088"/>
      <c r="I30" s="1088"/>
    </row>
    <row r="31" spans="1:9" s="1530" customFormat="1" ht="19.5" customHeight="1">
      <c r="A31" s="3526"/>
      <c r="B31" s="3526"/>
      <c r="C31" s="1114" t="s">
        <v>1461</v>
      </c>
      <c r="D31" s="1115"/>
      <c r="E31" s="1137">
        <v>0.8</v>
      </c>
      <c r="F31" s="1116" t="s">
        <v>1462</v>
      </c>
      <c r="G31" s="1117"/>
      <c r="H31" s="1088"/>
      <c r="I31" s="1088"/>
    </row>
    <row r="32" spans="1:9" s="1530" customFormat="1" ht="19.5" customHeight="1">
      <c r="A32" s="3526"/>
      <c r="B32" s="3526"/>
      <c r="C32" s="1114" t="s">
        <v>1463</v>
      </c>
      <c r="D32" s="1115"/>
      <c r="E32" s="1137">
        <v>0.8</v>
      </c>
      <c r="F32" s="1116" t="s">
        <v>1464</v>
      </c>
      <c r="G32" s="1117"/>
      <c r="H32" s="1088"/>
      <c r="I32" s="1088"/>
    </row>
    <row r="33" spans="1:9" s="1530" customFormat="1" ht="19.5" customHeight="1">
      <c r="A33" s="3526" t="s">
        <v>1465</v>
      </c>
      <c r="B33" s="1137" t="s">
        <v>1437</v>
      </c>
      <c r="C33" s="1114" t="s">
        <v>1466</v>
      </c>
      <c r="D33" s="1115"/>
      <c r="E33" s="1137">
        <v>1</v>
      </c>
      <c r="F33" s="1116" t="s">
        <v>1467</v>
      </c>
      <c r="G33" s="1117"/>
      <c r="H33" s="1088"/>
      <c r="I33" s="1088"/>
    </row>
    <row r="34" spans="1:9" s="1530" customFormat="1" ht="19.5" customHeight="1">
      <c r="A34" s="3526"/>
      <c r="B34" s="1137" t="s">
        <v>1440</v>
      </c>
      <c r="C34" s="1114" t="s">
        <v>1468</v>
      </c>
      <c r="D34" s="1115"/>
      <c r="E34" s="1137">
        <v>1.5</v>
      </c>
      <c r="F34" s="1116" t="s">
        <v>1469</v>
      </c>
      <c r="G34" s="1117"/>
      <c r="H34" s="1088"/>
      <c r="I34" s="1088"/>
    </row>
    <row r="35" spans="1:9" s="1530" customFormat="1" ht="19.5" customHeight="1">
      <c r="A35" s="3526" t="s">
        <v>1423</v>
      </c>
      <c r="B35" s="1137" t="s">
        <v>1437</v>
      </c>
      <c r="C35" s="1114" t="s">
        <v>1470</v>
      </c>
      <c r="D35" s="1115"/>
      <c r="E35" s="1137">
        <v>1</v>
      </c>
      <c r="F35" s="1116" t="s">
        <v>1471</v>
      </c>
      <c r="G35" s="1117"/>
      <c r="H35" s="1088"/>
      <c r="I35" s="1088"/>
    </row>
    <row r="36" spans="1:9" s="1530" customFormat="1" ht="19.5" customHeight="1">
      <c r="A36" s="3526"/>
      <c r="B36" s="3526" t="s">
        <v>1440</v>
      </c>
      <c r="C36" s="1114" t="s">
        <v>1472</v>
      </c>
      <c r="D36" s="1115"/>
      <c r="E36" s="1137">
        <v>1</v>
      </c>
      <c r="F36" s="1116" t="s">
        <v>1473</v>
      </c>
      <c r="G36" s="1117"/>
      <c r="H36" s="1088"/>
      <c r="I36" s="1088"/>
    </row>
    <row r="37" spans="1:9" s="1530" customFormat="1" ht="19.5" customHeight="1">
      <c r="A37" s="3526"/>
      <c r="B37" s="3526"/>
      <c r="C37" s="1114" t="s">
        <v>1474</v>
      </c>
      <c r="D37" s="1115"/>
      <c r="E37" s="1137">
        <v>1.5</v>
      </c>
      <c r="F37" s="1116" t="s">
        <v>1475</v>
      </c>
      <c r="G37" s="1117"/>
      <c r="H37" s="1088"/>
      <c r="I37" s="1088"/>
    </row>
    <row r="38" spans="1:9" s="1530" customFormat="1" ht="19.5" customHeight="1">
      <c r="A38" s="3526"/>
      <c r="B38" s="3526"/>
      <c r="C38" s="1114" t="s">
        <v>1476</v>
      </c>
      <c r="D38" s="1115"/>
      <c r="E38" s="1137">
        <v>1</v>
      </c>
      <c r="F38" s="1116" t="s">
        <v>1477</v>
      </c>
      <c r="G38" s="1117"/>
      <c r="H38" s="1088"/>
      <c r="I38" s="1088"/>
    </row>
    <row r="39" spans="1:9" s="1530" customFormat="1" ht="19.5" customHeight="1">
      <c r="A39" s="3526"/>
      <c r="B39" s="352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6" t="s">
        <v>1492</v>
      </c>
      <c r="C61" s="1051" t="s">
        <v>1493</v>
      </c>
      <c r="D61" s="1051" t="s">
        <v>1494</v>
      </c>
      <c r="E61" s="1122">
        <v>0.5</v>
      </c>
      <c r="F61" s="1137">
        <v>80</v>
      </c>
      <c r="H61" s="1088">
        <f>SUMIF(C59:C119,基准地价!C8,E59:E119)</f>
        <v>0</v>
      </c>
    </row>
    <row r="62" spans="1:8" s="1088" customFormat="1" ht="24">
      <c r="A62" s="1137">
        <v>2</v>
      </c>
      <c r="B62" s="3526"/>
      <c r="C62" s="1051" t="s">
        <v>1495</v>
      </c>
      <c r="D62" s="1051" t="s">
        <v>1496</v>
      </c>
      <c r="E62" s="1122">
        <v>0.5</v>
      </c>
      <c r="F62" s="1137">
        <v>80</v>
      </c>
    </row>
    <row r="63" spans="1:8" s="1088" customFormat="1" ht="36">
      <c r="A63" s="1137">
        <v>3</v>
      </c>
      <c r="B63" s="3526"/>
      <c r="C63" s="1051" t="s">
        <v>1497</v>
      </c>
      <c r="D63" s="1051" t="s">
        <v>1498</v>
      </c>
      <c r="E63" s="1122">
        <v>0.5</v>
      </c>
      <c r="F63" s="1137">
        <v>80</v>
      </c>
    </row>
    <row r="64" spans="1:8" s="1088" customFormat="1" ht="36">
      <c r="A64" s="1137">
        <v>4</v>
      </c>
      <c r="B64" s="3526"/>
      <c r="C64" s="1051" t="s">
        <v>1499</v>
      </c>
      <c r="D64" s="1051" t="s">
        <v>1500</v>
      </c>
      <c r="E64" s="1122">
        <v>0.4</v>
      </c>
      <c r="F64" s="1137">
        <v>60</v>
      </c>
    </row>
    <row r="65" spans="1:6" s="1088" customFormat="1" ht="36">
      <c r="A65" s="1137">
        <v>5</v>
      </c>
      <c r="B65" s="3526"/>
      <c r="C65" s="1051" t="s">
        <v>1501</v>
      </c>
      <c r="D65" s="1051" t="s">
        <v>1502</v>
      </c>
      <c r="E65" s="1122">
        <v>0.2</v>
      </c>
      <c r="F65" s="1137">
        <v>30</v>
      </c>
    </row>
    <row r="66" spans="1:6" s="1088" customFormat="1" ht="36">
      <c r="A66" s="1137">
        <v>6</v>
      </c>
      <c r="B66" s="3526"/>
      <c r="C66" s="1051" t="s">
        <v>1503</v>
      </c>
      <c r="D66" s="1051" t="s">
        <v>1504</v>
      </c>
      <c r="E66" s="1122">
        <v>0.3</v>
      </c>
      <c r="F66" s="1137">
        <v>50</v>
      </c>
    </row>
    <row r="67" spans="1:6" s="1088" customFormat="1" ht="36">
      <c r="A67" s="1137">
        <v>7</v>
      </c>
      <c r="B67" s="3526"/>
      <c r="C67" s="1051" t="s">
        <v>1505</v>
      </c>
      <c r="D67" s="1051" t="s">
        <v>1506</v>
      </c>
      <c r="E67" s="1122">
        <v>0.2</v>
      </c>
      <c r="F67" s="1137">
        <v>30</v>
      </c>
    </row>
    <row r="68" spans="1:6" s="1088" customFormat="1" ht="36">
      <c r="A68" s="1137">
        <v>8</v>
      </c>
      <c r="B68" s="3526"/>
      <c r="C68" s="1051" t="s">
        <v>1507</v>
      </c>
      <c r="D68" s="1051" t="s">
        <v>1508</v>
      </c>
      <c r="E68" s="1122">
        <v>0.2</v>
      </c>
      <c r="F68" s="1137">
        <v>30</v>
      </c>
    </row>
    <row r="69" spans="1:6" s="1088" customFormat="1" ht="36">
      <c r="A69" s="1137">
        <v>9</v>
      </c>
      <c r="B69" s="3526"/>
      <c r="C69" s="1051" t="s">
        <v>1509</v>
      </c>
      <c r="D69" s="1051" t="s">
        <v>1510</v>
      </c>
      <c r="E69" s="1122">
        <v>0.2</v>
      </c>
      <c r="F69" s="1137">
        <v>30</v>
      </c>
    </row>
    <row r="70" spans="1:6" s="1088" customFormat="1" ht="48">
      <c r="A70" s="1137">
        <v>10</v>
      </c>
      <c r="B70" s="3526"/>
      <c r="C70" s="1051" t="s">
        <v>1511</v>
      </c>
      <c r="D70" s="1051" t="s">
        <v>1512</v>
      </c>
      <c r="E70" s="1122">
        <v>0.2</v>
      </c>
      <c r="F70" s="1137">
        <v>30</v>
      </c>
    </row>
    <row r="71" spans="1:6" s="1088" customFormat="1" ht="48">
      <c r="A71" s="1137">
        <v>11</v>
      </c>
      <c r="B71" s="3526"/>
      <c r="C71" s="1051" t="s">
        <v>1513</v>
      </c>
      <c r="D71" s="1051" t="s">
        <v>1514</v>
      </c>
      <c r="E71" s="1122">
        <v>0.2</v>
      </c>
      <c r="F71" s="1137">
        <v>30</v>
      </c>
    </row>
    <row r="72" spans="1:6" s="1088" customFormat="1" ht="36">
      <c r="A72" s="1137">
        <v>12</v>
      </c>
      <c r="B72" s="3526"/>
      <c r="C72" s="1051" t="s">
        <v>1515</v>
      </c>
      <c r="D72" s="1051" t="s">
        <v>1516</v>
      </c>
      <c r="E72" s="1122">
        <v>0.5</v>
      </c>
      <c r="F72" s="1137">
        <v>80</v>
      </c>
    </row>
    <row r="73" spans="1:6" s="1088" customFormat="1" ht="24">
      <c r="A73" s="1137">
        <v>13</v>
      </c>
      <c r="B73" s="3526"/>
      <c r="C73" s="1051" t="s">
        <v>1517</v>
      </c>
      <c r="D73" s="1051" t="s">
        <v>1518</v>
      </c>
      <c r="E73" s="1122">
        <v>0.4</v>
      </c>
      <c r="F73" s="1137">
        <v>60</v>
      </c>
    </row>
    <row r="74" spans="1:6" s="1088" customFormat="1" ht="24">
      <c r="A74" s="1137">
        <v>14</v>
      </c>
      <c r="B74" s="3526"/>
      <c r="C74" s="1051" t="s">
        <v>1519</v>
      </c>
      <c r="D74" s="1051" t="s">
        <v>1520</v>
      </c>
      <c r="E74" s="1122">
        <v>0.2</v>
      </c>
      <c r="F74" s="1137">
        <v>30</v>
      </c>
    </row>
    <row r="75" spans="1:6" s="1088" customFormat="1" ht="24">
      <c r="A75" s="1137">
        <v>15</v>
      </c>
      <c r="B75" s="3526"/>
      <c r="C75" s="1051" t="s">
        <v>1521</v>
      </c>
      <c r="D75" s="1051" t="s">
        <v>1522</v>
      </c>
      <c r="E75" s="1122">
        <v>0.2</v>
      </c>
      <c r="F75" s="1137">
        <v>30</v>
      </c>
    </row>
    <row r="76" spans="1:6" s="1088" customFormat="1" ht="24">
      <c r="A76" s="1137">
        <v>16</v>
      </c>
      <c r="B76" s="3526" t="s">
        <v>1523</v>
      </c>
      <c r="C76" s="1051" t="s">
        <v>1524</v>
      </c>
      <c r="D76" s="1051" t="s">
        <v>1525</v>
      </c>
      <c r="E76" s="1122">
        <v>0.5</v>
      </c>
      <c r="F76" s="1137">
        <v>80</v>
      </c>
    </row>
    <row r="77" spans="1:6" s="1088" customFormat="1" ht="24">
      <c r="A77" s="1137">
        <v>17</v>
      </c>
      <c r="B77" s="3526"/>
      <c r="C77" s="1051" t="s">
        <v>1526</v>
      </c>
      <c r="D77" s="1051" t="s">
        <v>1527</v>
      </c>
      <c r="E77" s="1122">
        <v>0.5</v>
      </c>
      <c r="F77" s="1137">
        <v>80</v>
      </c>
    </row>
    <row r="78" spans="1:6" s="1088" customFormat="1" ht="24">
      <c r="A78" s="1137">
        <v>18</v>
      </c>
      <c r="B78" s="3526"/>
      <c r="C78" s="1051" t="s">
        <v>1528</v>
      </c>
      <c r="D78" s="1051" t="s">
        <v>1529</v>
      </c>
      <c r="E78" s="1122">
        <v>0.2</v>
      </c>
      <c r="F78" s="1137">
        <v>30</v>
      </c>
    </row>
    <row r="79" spans="1:6" s="1088" customFormat="1" ht="24">
      <c r="A79" s="1137">
        <v>19</v>
      </c>
      <c r="B79" s="3526"/>
      <c r="C79" s="1051" t="s">
        <v>1530</v>
      </c>
      <c r="D79" s="1051" t="s">
        <v>1531</v>
      </c>
      <c r="E79" s="1122">
        <v>0.5</v>
      </c>
      <c r="F79" s="1137">
        <v>80</v>
      </c>
    </row>
    <row r="80" spans="1:6" s="1088" customFormat="1" ht="36">
      <c r="A80" s="1137">
        <v>20</v>
      </c>
      <c r="B80" s="3526"/>
      <c r="C80" s="1051" t="s">
        <v>1532</v>
      </c>
      <c r="D80" s="1051" t="s">
        <v>1533</v>
      </c>
      <c r="E80" s="1122">
        <v>0.2</v>
      </c>
      <c r="F80" s="1137">
        <v>30</v>
      </c>
    </row>
    <row r="81" spans="1:6" s="1088" customFormat="1" ht="36">
      <c r="A81" s="1137">
        <v>21</v>
      </c>
      <c r="B81" s="3526"/>
      <c r="C81" s="1051" t="s">
        <v>1534</v>
      </c>
      <c r="D81" s="1051" t="s">
        <v>1535</v>
      </c>
      <c r="E81" s="1122">
        <v>0.2</v>
      </c>
      <c r="F81" s="1137">
        <v>30</v>
      </c>
    </row>
    <row r="82" spans="1:6" s="1088" customFormat="1" ht="48">
      <c r="A82" s="1137">
        <v>22</v>
      </c>
      <c r="B82" s="3526"/>
      <c r="C82" s="1051" t="s">
        <v>1536</v>
      </c>
      <c r="D82" s="1051" t="s">
        <v>1537</v>
      </c>
      <c r="E82" s="1122">
        <v>0.2</v>
      </c>
      <c r="F82" s="1137">
        <v>30</v>
      </c>
    </row>
    <row r="83" spans="1:6" s="1088" customFormat="1" ht="48">
      <c r="A83" s="1137">
        <v>23</v>
      </c>
      <c r="B83" s="3526"/>
      <c r="C83" s="1051" t="s">
        <v>1538</v>
      </c>
      <c r="D83" s="1051" t="s">
        <v>1539</v>
      </c>
      <c r="E83" s="1122">
        <v>0.2</v>
      </c>
      <c r="F83" s="1137">
        <v>30</v>
      </c>
    </row>
    <row r="84" spans="1:6" s="1088" customFormat="1" ht="36">
      <c r="A84" s="1137">
        <v>24</v>
      </c>
      <c r="B84" s="3526"/>
      <c r="C84" s="1051" t="s">
        <v>1540</v>
      </c>
      <c r="D84" s="1051" t="s">
        <v>1541</v>
      </c>
      <c r="E84" s="1122">
        <v>0.2</v>
      </c>
      <c r="F84" s="1137">
        <v>30</v>
      </c>
    </row>
    <row r="85" spans="1:6" s="1088" customFormat="1" ht="36">
      <c r="A85" s="1137">
        <v>25</v>
      </c>
      <c r="B85" s="3526"/>
      <c r="C85" s="1051" t="s">
        <v>1542</v>
      </c>
      <c r="D85" s="1051" t="s">
        <v>1543</v>
      </c>
      <c r="E85" s="1122">
        <v>0.5</v>
      </c>
      <c r="F85" s="1137">
        <v>80</v>
      </c>
    </row>
    <row r="86" spans="1:6" s="1088" customFormat="1" ht="36">
      <c r="A86" s="1137">
        <v>26</v>
      </c>
      <c r="B86" s="3526"/>
      <c r="C86" s="1051" t="s">
        <v>1544</v>
      </c>
      <c r="D86" s="1051" t="s">
        <v>1545</v>
      </c>
      <c r="E86" s="1122">
        <v>0.2</v>
      </c>
      <c r="F86" s="1137">
        <v>30</v>
      </c>
    </row>
    <row r="87" spans="1:6" s="1088" customFormat="1" ht="36">
      <c r="A87" s="1137">
        <v>27</v>
      </c>
      <c r="B87" s="3526"/>
      <c r="C87" s="1051" t="s">
        <v>1546</v>
      </c>
      <c r="D87" s="1051" t="s">
        <v>1547</v>
      </c>
      <c r="E87" s="1122">
        <v>0.2</v>
      </c>
      <c r="F87" s="1137">
        <v>30</v>
      </c>
    </row>
    <row r="88" spans="1:6" s="1088" customFormat="1" ht="36">
      <c r="A88" s="1137">
        <v>28</v>
      </c>
      <c r="B88" s="3526"/>
      <c r="C88" s="1051" t="s">
        <v>1548</v>
      </c>
      <c r="D88" s="1051" t="s">
        <v>1549</v>
      </c>
      <c r="E88" s="1122">
        <v>0.2</v>
      </c>
      <c r="F88" s="1137">
        <v>30</v>
      </c>
    </row>
    <row r="89" spans="1:6" s="1088" customFormat="1" ht="24">
      <c r="A89" s="1137">
        <v>29</v>
      </c>
      <c r="B89" s="3526"/>
      <c r="C89" s="1051" t="s">
        <v>1550</v>
      </c>
      <c r="D89" s="1051" t="s">
        <v>1551</v>
      </c>
      <c r="E89" s="1122">
        <v>0.2</v>
      </c>
      <c r="F89" s="1137">
        <v>30</v>
      </c>
    </row>
    <row r="90" spans="1:6" s="1088" customFormat="1" ht="24">
      <c r="A90" s="1137">
        <v>30</v>
      </c>
      <c r="B90" s="3526"/>
      <c r="C90" s="1051" t="s">
        <v>1552</v>
      </c>
      <c r="D90" s="1051" t="s">
        <v>1553</v>
      </c>
      <c r="E90" s="1122">
        <v>0.2</v>
      </c>
      <c r="F90" s="1137">
        <v>30</v>
      </c>
    </row>
    <row r="91" spans="1:6" s="1088" customFormat="1" ht="36">
      <c r="A91" s="1137">
        <v>31</v>
      </c>
      <c r="B91" s="3526"/>
      <c r="C91" s="1051" t="s">
        <v>1554</v>
      </c>
      <c r="D91" s="1051" t="s">
        <v>1555</v>
      </c>
      <c r="E91" s="1122">
        <v>0.2</v>
      </c>
      <c r="F91" s="1137">
        <v>30</v>
      </c>
    </row>
    <row r="92" spans="1:6" s="1088" customFormat="1" ht="24">
      <c r="A92" s="1137">
        <v>32</v>
      </c>
      <c r="B92" s="3526" t="s">
        <v>1556</v>
      </c>
      <c r="C92" s="1137" t="s">
        <v>1557</v>
      </c>
      <c r="D92" s="1051" t="s">
        <v>1558</v>
      </c>
      <c r="E92" s="1122">
        <v>0.2</v>
      </c>
      <c r="F92" s="1137">
        <v>30</v>
      </c>
    </row>
    <row r="93" spans="1:6" s="1088" customFormat="1" ht="36">
      <c r="A93" s="1137">
        <v>33</v>
      </c>
      <c r="B93" s="3526"/>
      <c r="C93" s="1137" t="s">
        <v>1559</v>
      </c>
      <c r="D93" s="1051" t="s">
        <v>1560</v>
      </c>
      <c r="E93" s="1122">
        <v>0.2</v>
      </c>
      <c r="F93" s="1137">
        <v>30</v>
      </c>
    </row>
    <row r="94" spans="1:6" s="1088" customFormat="1" ht="48">
      <c r="A94" s="1137">
        <v>34</v>
      </c>
      <c r="B94" s="3526"/>
      <c r="C94" s="1137" t="s">
        <v>1561</v>
      </c>
      <c r="D94" s="1051" t="s">
        <v>1562</v>
      </c>
      <c r="E94" s="1122">
        <v>0.2</v>
      </c>
      <c r="F94" s="1137">
        <v>30</v>
      </c>
    </row>
    <row r="95" spans="1:6" s="1088" customFormat="1" ht="36">
      <c r="A95" s="1137">
        <v>35</v>
      </c>
      <c r="B95" s="3526"/>
      <c r="C95" s="1137" t="s">
        <v>1563</v>
      </c>
      <c r="D95" s="1051" t="s">
        <v>1564</v>
      </c>
      <c r="E95" s="1122">
        <v>0.2</v>
      </c>
      <c r="F95" s="1137">
        <v>30</v>
      </c>
    </row>
    <row r="96" spans="1:6" s="1088" customFormat="1" ht="48">
      <c r="A96" s="1137">
        <v>36</v>
      </c>
      <c r="B96" s="3526"/>
      <c r="C96" s="1051" t="s">
        <v>1565</v>
      </c>
      <c r="D96" s="1051" t="s">
        <v>1566</v>
      </c>
      <c r="E96" s="1122">
        <v>0.2</v>
      </c>
      <c r="F96" s="1137">
        <v>30</v>
      </c>
    </row>
    <row r="97" spans="1:6" s="1088" customFormat="1" ht="36">
      <c r="A97" s="1137">
        <v>37</v>
      </c>
      <c r="B97" s="3526"/>
      <c r="C97" s="1137" t="s">
        <v>1567</v>
      </c>
      <c r="D97" s="1051" t="s">
        <v>1568</v>
      </c>
      <c r="E97" s="1122">
        <v>0.2</v>
      </c>
      <c r="F97" s="1137">
        <v>30</v>
      </c>
    </row>
    <row r="98" spans="1:6" s="1088" customFormat="1" ht="36">
      <c r="A98" s="1137">
        <v>38</v>
      </c>
      <c r="B98" s="3526"/>
      <c r="C98" s="1137" t="s">
        <v>1569</v>
      </c>
      <c r="D98" s="1051" t="s">
        <v>1570</v>
      </c>
      <c r="E98" s="1122">
        <v>0.2</v>
      </c>
      <c r="F98" s="1137">
        <v>30</v>
      </c>
    </row>
    <row r="99" spans="1:6" s="1088" customFormat="1" ht="36">
      <c r="A99" s="1137">
        <v>39</v>
      </c>
      <c r="B99" s="3526" t="s">
        <v>1571</v>
      </c>
      <c r="C99" s="1137" t="s">
        <v>1572</v>
      </c>
      <c r="D99" s="1051" t="s">
        <v>1573</v>
      </c>
      <c r="E99" s="1122">
        <v>0.3</v>
      </c>
      <c r="F99" s="1137">
        <v>50</v>
      </c>
    </row>
    <row r="100" spans="1:6" s="1088" customFormat="1" ht="24">
      <c r="A100" s="1137">
        <v>40</v>
      </c>
      <c r="B100" s="3526"/>
      <c r="C100" s="1137" t="s">
        <v>1574</v>
      </c>
      <c r="D100" s="1051" t="s">
        <v>1575</v>
      </c>
      <c r="E100" s="1122">
        <v>0.2</v>
      </c>
      <c r="F100" s="1137">
        <v>30</v>
      </c>
    </row>
    <row r="101" spans="1:6" s="1088" customFormat="1" ht="36">
      <c r="A101" s="1137">
        <v>41</v>
      </c>
      <c r="B101" s="352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6" t="s">
        <v>1586</v>
      </c>
      <c r="C105" s="1137" t="s">
        <v>1587</v>
      </c>
      <c r="D105" s="1051" t="s">
        <v>1588</v>
      </c>
      <c r="E105" s="1122">
        <v>0.2</v>
      </c>
      <c r="F105" s="1137">
        <v>30</v>
      </c>
    </row>
    <row r="106" spans="1:6" s="1088" customFormat="1" ht="36">
      <c r="A106" s="1137">
        <v>46</v>
      </c>
      <c r="B106" s="3526"/>
      <c r="C106" s="1137" t="s">
        <v>1589</v>
      </c>
      <c r="D106" s="1051" t="s">
        <v>1590</v>
      </c>
      <c r="E106" s="1122">
        <v>0.2</v>
      </c>
      <c r="F106" s="1137">
        <v>30</v>
      </c>
    </row>
    <row r="107" spans="1:6" s="1088" customFormat="1" ht="36">
      <c r="A107" s="1137">
        <v>47</v>
      </c>
      <c r="B107" s="3526" t="s">
        <v>1591</v>
      </c>
      <c r="C107" s="1137" t="s">
        <v>1592</v>
      </c>
      <c r="D107" s="1051" t="s">
        <v>1593</v>
      </c>
      <c r="E107" s="1122">
        <v>0.3</v>
      </c>
      <c r="F107" s="1137">
        <v>50</v>
      </c>
    </row>
    <row r="108" spans="1:6" s="1088" customFormat="1" ht="36">
      <c r="A108" s="1137">
        <v>48</v>
      </c>
      <c r="B108" s="352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6" t="s">
        <v>1602</v>
      </c>
      <c r="C111" s="1137" t="s">
        <v>1603</v>
      </c>
      <c r="D111" s="1051" t="s">
        <v>1604</v>
      </c>
      <c r="E111" s="1122">
        <v>0.2</v>
      </c>
      <c r="F111" s="1137">
        <v>30</v>
      </c>
    </row>
    <row r="112" spans="1:6" s="1088" customFormat="1" ht="24">
      <c r="A112" s="1137">
        <v>52</v>
      </c>
      <c r="B112" s="3526"/>
      <c r="C112" s="1137" t="s">
        <v>1605</v>
      </c>
      <c r="D112" s="1051" t="s">
        <v>1606</v>
      </c>
      <c r="E112" s="1122">
        <v>0.2</v>
      </c>
      <c r="F112" s="1137">
        <v>30</v>
      </c>
    </row>
    <row r="113" spans="1:14" s="1088" customFormat="1" ht="24">
      <c r="A113" s="1137">
        <v>53</v>
      </c>
      <c r="B113" s="352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6" t="s">
        <v>1615</v>
      </c>
      <c r="C116" s="1137" t="s">
        <v>1616</v>
      </c>
      <c r="D116" s="1051" t="s">
        <v>1617</v>
      </c>
      <c r="E116" s="1122">
        <v>0.2</v>
      </c>
      <c r="F116" s="1137">
        <v>30</v>
      </c>
    </row>
    <row r="117" spans="1:14" ht="36">
      <c r="A117" s="1137">
        <v>57</v>
      </c>
      <c r="B117" s="352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5" t="s">
        <v>1624</v>
      </c>
      <c r="B121" s="3525"/>
      <c r="C121" s="3525"/>
      <c r="D121" s="3525"/>
      <c r="E121" s="3525"/>
      <c r="F121" s="3525"/>
      <c r="G121" s="3525"/>
      <c r="H121" s="3525"/>
      <c r="I121" s="3525"/>
      <c r="J121" s="352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7" t="s">
        <v>1030</v>
      </c>
      <c r="B1" s="3527"/>
      <c r="C1" s="3527"/>
      <c r="D1" s="3527"/>
      <c r="E1" s="3527"/>
      <c r="F1" s="352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8" t="s">
        <v>1043</v>
      </c>
      <c r="B2" s="3528"/>
      <c r="C2" s="3528"/>
      <c r="D2" s="3528"/>
      <c r="E2" s="3528"/>
      <c r="F2" s="352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受贵公司委托，我公司对吉林省延吉市爱丹路1709号101出让国有建设用地使用权市场价格进行了预评估。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吉林省延吉市爱丹路1709号101出让国有建设用地使用权。根据《国有土地使用证》[]，估价对象（分摊）出让国有建设用地使用权面积为1442.46平方米。根据《建设工程规划许可证》[]、《出让合同》[]，估价对象规划建筑面积为198.07平方米。</v>
      </c>
    </row>
    <row r="7" spans="1:4" ht="56.25">
      <c r="A7" s="1710" t="s">
        <v>2727</v>
      </c>
    </row>
    <row r="8" spans="1:4" ht="18.75">
      <c r="A8" s="1709" t="s">
        <v>1896</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2014</v>
      </c>
    </row>
    <row r="11" spans="1:4" ht="18.75">
      <c r="A11" s="1695" t="str">
        <f>TEXT(项目基本情况!D3,"yyyy年m月d日;;")&amp;IF(项目基本情况!B3=项目基本情况!D3,"（评估专业人员勘察现场之日）","")</f>
        <v>2021年6月10日（评估专业人员勘察现场之日）</v>
      </c>
    </row>
    <row r="12" spans="1:4" ht="18.75">
      <c r="A12" s="1712" t="s">
        <v>2013</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根据《国有土地使用证》[]，估价对象（分摊）出让国有建设用地使用权面积为1442.46平方米。根据《建设工程规划许可证》[]、《出让合同》[]，估价对象规划建筑面积为198.07平方米。</v>
      </c>
    </row>
    <row r="21" spans="1:1" ht="18.75">
      <c r="A21" s="1706" t="s">
        <v>2062</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6月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10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1" t="s">
        <v>2067</v>
      </c>
      <c r="B1" s="3531"/>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1087</v>
      </c>
      <c r="B6" s="1773" t="s">
        <v>2076</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2077</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2078</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2079</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2080</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2081</v>
      </c>
      <c r="C72" s="1783"/>
      <c r="D72" s="1783"/>
      <c r="E72" s="1783"/>
      <c r="F72" s="1775">
        <v>0.05</v>
      </c>
    </row>
    <row r="73" spans="1:6" ht="14.25" thickBot="1">
      <c r="A73" s="1769" t="s">
        <v>916</v>
      </c>
      <c r="B73" s="1773" t="s">
        <v>2082</v>
      </c>
      <c r="C73" s="1783"/>
      <c r="D73" s="1783"/>
      <c r="E73" s="1783"/>
      <c r="F73" s="1775">
        <v>0.05</v>
      </c>
    </row>
    <row r="74" spans="1:6" ht="14.25" thickBot="1">
      <c r="A74" s="1769" t="s">
        <v>916</v>
      </c>
      <c r="B74" s="1773" t="s">
        <v>2083</v>
      </c>
      <c r="C74" s="1783"/>
      <c r="D74" s="1783"/>
      <c r="E74" s="1783"/>
      <c r="F74" s="1775">
        <v>0.05</v>
      </c>
    </row>
    <row r="75" spans="1:6" ht="14.25" thickBot="1">
      <c r="A75" s="1777" t="s">
        <v>916</v>
      </c>
      <c r="B75" s="1784" t="s">
        <v>2084</v>
      </c>
      <c r="C75" s="1780"/>
      <c r="D75" s="1780"/>
      <c r="E75" s="1780"/>
      <c r="F75" s="1785">
        <v>0.05</v>
      </c>
    </row>
    <row r="76" spans="1:6" ht="14.25" thickBot="1">
      <c r="A76" s="1769" t="s">
        <v>1398</v>
      </c>
      <c r="B76" s="1770" t="s">
        <v>2085</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2086</v>
      </c>
      <c r="C102" s="1783"/>
      <c r="D102" s="1783"/>
      <c r="E102" s="1783"/>
      <c r="F102" s="1775">
        <v>0.05</v>
      </c>
    </row>
    <row r="103" spans="1:6" ht="24.75" thickBot="1">
      <c r="A103" s="1769" t="s">
        <v>1398</v>
      </c>
      <c r="B103" s="1773" t="s">
        <v>2087</v>
      </c>
      <c r="C103" s="1783"/>
      <c r="D103" s="1783"/>
      <c r="E103" s="1783"/>
      <c r="F103" s="1775">
        <v>0.05</v>
      </c>
    </row>
    <row r="104" spans="1:6" ht="14.25" thickBot="1">
      <c r="A104" s="1769" t="s">
        <v>1398</v>
      </c>
      <c r="B104" s="1773" t="s">
        <v>2088</v>
      </c>
      <c r="C104" s="1783"/>
      <c r="D104" s="1783"/>
      <c r="E104" s="1783"/>
      <c r="F104" s="1775">
        <v>0.05</v>
      </c>
    </row>
    <row r="105" spans="1:6" ht="14.25" thickBot="1">
      <c r="A105" s="1769" t="s">
        <v>1398</v>
      </c>
      <c r="B105" s="1773" t="s">
        <v>2089</v>
      </c>
      <c r="C105" s="1783"/>
      <c r="D105" s="1783"/>
      <c r="E105" s="1783"/>
      <c r="F105" s="1775">
        <v>0.05</v>
      </c>
    </row>
    <row r="106" spans="1:6" ht="14.25" thickBot="1">
      <c r="A106" s="1769" t="s">
        <v>1398</v>
      </c>
      <c r="B106" s="1773" t="s">
        <v>2090</v>
      </c>
      <c r="C106" s="1783"/>
      <c r="D106" s="1783"/>
      <c r="E106" s="1783"/>
      <c r="F106" s="1775">
        <v>0.05</v>
      </c>
    </row>
    <row r="107" spans="1:6" ht="24.75" thickBot="1">
      <c r="A107" s="1769" t="s">
        <v>1398</v>
      </c>
      <c r="B107" s="1773" t="s">
        <v>2091</v>
      </c>
      <c r="C107" s="1783"/>
      <c r="D107" s="1783"/>
      <c r="E107" s="1783"/>
      <c r="F107" s="1775">
        <v>0.05</v>
      </c>
    </row>
    <row r="108" spans="1:6" ht="24.75" thickBot="1">
      <c r="A108" s="1769" t="s">
        <v>1398</v>
      </c>
      <c r="B108" s="1773" t="s">
        <v>2092</v>
      </c>
      <c r="C108" s="1783"/>
      <c r="D108" s="1783"/>
      <c r="E108" s="1783"/>
      <c r="F108" s="1775">
        <v>0.05</v>
      </c>
    </row>
    <row r="109" spans="1:6" ht="24.75" thickBot="1">
      <c r="A109" s="1777" t="s">
        <v>1398</v>
      </c>
      <c r="B109" s="1784" t="s">
        <v>2093</v>
      </c>
      <c r="C109" s="1780"/>
      <c r="D109" s="1780"/>
      <c r="E109" s="1780"/>
      <c r="F109" s="1785">
        <v>0.05</v>
      </c>
    </row>
    <row r="110" spans="1:6" ht="14.25" thickBot="1">
      <c r="A110" s="1769" t="s">
        <v>1400</v>
      </c>
      <c r="B110" s="1770" t="s">
        <v>2094</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2095</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2096</v>
      </c>
      <c r="C138" s="1774">
        <v>0.105</v>
      </c>
      <c r="D138" s="1774">
        <v>0.125</v>
      </c>
      <c r="E138" s="1774">
        <v>0.112</v>
      </c>
      <c r="F138" s="1782"/>
    </row>
    <row r="139" spans="1:6" ht="14.25" thickBot="1">
      <c r="A139" s="1769" t="s">
        <v>1400</v>
      </c>
      <c r="B139" s="1773" t="s">
        <v>2097</v>
      </c>
      <c r="C139" s="1774">
        <v>0.127</v>
      </c>
      <c r="D139" s="1774">
        <v>0.127</v>
      </c>
      <c r="E139" s="1774">
        <v>0.122</v>
      </c>
      <c r="F139" s="1775">
        <v>0.13</v>
      </c>
    </row>
    <row r="140" spans="1:6" ht="14.25" thickBot="1">
      <c r="A140" s="1769" t="s">
        <v>1400</v>
      </c>
      <c r="B140" s="1773" t="s">
        <v>2098</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2099</v>
      </c>
      <c r="C144" s="1787">
        <v>0.126</v>
      </c>
      <c r="D144" s="1787">
        <v>0.126</v>
      </c>
      <c r="E144" s="1787">
        <v>0.121</v>
      </c>
      <c r="F144" s="1782"/>
    </row>
    <row r="145" spans="1:6" ht="14.25" thickBot="1">
      <c r="A145" s="1777" t="s">
        <v>1400</v>
      </c>
      <c r="B145" s="1788" t="s">
        <v>2100</v>
      </c>
      <c r="C145" s="1789"/>
      <c r="D145" s="1789"/>
      <c r="E145" s="1789"/>
      <c r="F145" s="1790">
        <v>0.05</v>
      </c>
    </row>
    <row r="146" spans="1:6" ht="24.75" thickBot="1">
      <c r="A146" s="1791" t="s">
        <v>1400</v>
      </c>
      <c r="B146" s="1776" t="s">
        <v>2101</v>
      </c>
      <c r="C146" s="1783"/>
      <c r="D146" s="1783"/>
      <c r="E146" s="1783"/>
      <c r="F146" s="1792">
        <v>0.05</v>
      </c>
    </row>
    <row r="147" spans="1:6" ht="24.75" thickBot="1">
      <c r="A147" s="1769" t="s">
        <v>1400</v>
      </c>
      <c r="B147" s="1773" t="s">
        <v>2102</v>
      </c>
      <c r="C147" s="1783"/>
      <c r="D147" s="1783"/>
      <c r="E147" s="1783"/>
      <c r="F147" s="1775">
        <v>0.05</v>
      </c>
    </row>
    <row r="148" spans="1:6" ht="24.75" thickBot="1">
      <c r="A148" s="1769" t="s">
        <v>1400</v>
      </c>
      <c r="B148" s="1773" t="s">
        <v>2103</v>
      </c>
      <c r="C148" s="1783"/>
      <c r="D148" s="1783"/>
      <c r="E148" s="1783"/>
      <c r="F148" s="1775">
        <v>0.05</v>
      </c>
    </row>
    <row r="149" spans="1:6" ht="24.75" thickBot="1">
      <c r="A149" s="1769" t="s">
        <v>1400</v>
      </c>
      <c r="B149" s="1773" t="s">
        <v>2104</v>
      </c>
      <c r="C149" s="1783"/>
      <c r="D149" s="1783"/>
      <c r="E149" s="1783"/>
      <c r="F149" s="1775">
        <v>0.05</v>
      </c>
    </row>
    <row r="150" spans="1:6" ht="24.75" thickBot="1">
      <c r="A150" s="1769" t="s">
        <v>1400</v>
      </c>
      <c r="B150" s="1773" t="s">
        <v>2105</v>
      </c>
      <c r="C150" s="1783"/>
      <c r="D150" s="1783"/>
      <c r="E150" s="1783"/>
      <c r="F150" s="1775">
        <v>0.05</v>
      </c>
    </row>
    <row r="151" spans="1:6" ht="24.75" thickBot="1">
      <c r="A151" s="1769" t="s">
        <v>1400</v>
      </c>
      <c r="B151" s="1773" t="s">
        <v>2106</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2107</v>
      </c>
      <c r="C153" s="1783"/>
      <c r="D153" s="1783"/>
      <c r="E153" s="1783"/>
      <c r="F153" s="1775">
        <v>0.05</v>
      </c>
    </row>
    <row r="154" spans="1:6" ht="14.25" thickBot="1">
      <c r="A154" s="1769" t="s">
        <v>1400</v>
      </c>
      <c r="B154" s="1773" t="s">
        <v>2108</v>
      </c>
      <c r="C154" s="1783"/>
      <c r="D154" s="1783"/>
      <c r="E154" s="1783"/>
      <c r="F154" s="1775">
        <v>0.05</v>
      </c>
    </row>
    <row r="155" spans="1:6" ht="24.75" thickBot="1">
      <c r="A155" s="1769" t="s">
        <v>1400</v>
      </c>
      <c r="B155" s="1773" t="s">
        <v>2109</v>
      </c>
      <c r="C155" s="1783"/>
      <c r="D155" s="1783"/>
      <c r="E155" s="1783"/>
      <c r="F155" s="1775">
        <v>0.05</v>
      </c>
    </row>
    <row r="156" spans="1:6" ht="24.75" thickBot="1">
      <c r="A156" s="1769" t="s">
        <v>1400</v>
      </c>
      <c r="B156" s="1773" t="s">
        <v>2110</v>
      </c>
      <c r="C156" s="1783"/>
      <c r="D156" s="1783"/>
      <c r="E156" s="1783"/>
      <c r="F156" s="1775">
        <v>0.05</v>
      </c>
    </row>
    <row r="157" spans="1:6" ht="14.25" thickBot="1">
      <c r="A157" s="1777" t="s">
        <v>1400</v>
      </c>
      <c r="B157" s="1784" t="s">
        <v>2111</v>
      </c>
      <c r="C157" s="1780"/>
      <c r="D157" s="1780"/>
      <c r="E157" s="1780"/>
      <c r="F157" s="1785">
        <v>0.05</v>
      </c>
    </row>
    <row r="158" spans="1:6" ht="14.25" thickBot="1">
      <c r="A158" s="1769" t="s">
        <v>1402</v>
      </c>
      <c r="B158" s="1770" t="s">
        <v>2112</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2113</v>
      </c>
      <c r="C171" s="1774">
        <v>0.127</v>
      </c>
      <c r="D171" s="1774">
        <v>0.126</v>
      </c>
      <c r="E171" s="1774">
        <v>0.126</v>
      </c>
      <c r="F171" s="1775">
        <v>0.11799999999999999</v>
      </c>
    </row>
    <row r="172" spans="1:6" ht="14.25" thickBot="1">
      <c r="A172" s="1769" t="s">
        <v>1402</v>
      </c>
      <c r="B172" s="1773" t="s">
        <v>2114</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2115</v>
      </c>
      <c r="C174" s="1774">
        <v>0.13</v>
      </c>
      <c r="D174" s="1774">
        <v>0.13</v>
      </c>
      <c r="E174" s="1774">
        <v>0.13</v>
      </c>
      <c r="F174" s="1775">
        <v>0.13</v>
      </c>
    </row>
    <row r="175" spans="1:6" ht="14.25" thickBot="1">
      <c r="A175" s="1769" t="s">
        <v>1402</v>
      </c>
      <c r="B175" s="1773" t="s">
        <v>2116</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2117</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2118</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2119</v>
      </c>
      <c r="C185" s="1774">
        <v>0.127</v>
      </c>
      <c r="D185" s="1774">
        <v>0.127</v>
      </c>
      <c r="E185" s="1774">
        <v>0.128</v>
      </c>
      <c r="F185" s="1775">
        <v>0.13</v>
      </c>
    </row>
    <row r="186" spans="1:6" ht="24.75" thickBot="1">
      <c r="A186" s="1769" t="s">
        <v>1402</v>
      </c>
      <c r="B186" s="1773" t="s">
        <v>2120</v>
      </c>
      <c r="C186" s="1783"/>
      <c r="D186" s="1783"/>
      <c r="E186" s="1783"/>
      <c r="F186" s="1775">
        <v>0.05</v>
      </c>
    </row>
    <row r="187" spans="1:6" ht="14.25" thickBot="1">
      <c r="A187" s="1769" t="s">
        <v>1402</v>
      </c>
      <c r="B187" s="1773" t="s">
        <v>2121</v>
      </c>
      <c r="C187" s="1783"/>
      <c r="D187" s="1783"/>
      <c r="E187" s="1783"/>
      <c r="F187" s="1775">
        <v>0.05</v>
      </c>
    </row>
    <row r="188" spans="1:6" ht="14.25" thickBot="1">
      <c r="A188" s="1769" t="s">
        <v>1402</v>
      </c>
      <c r="B188" s="1773" t="s">
        <v>2122</v>
      </c>
      <c r="C188" s="1783"/>
      <c r="D188" s="1783"/>
      <c r="E188" s="1783"/>
      <c r="F188" s="1775">
        <v>0.05</v>
      </c>
    </row>
    <row r="189" spans="1:6" ht="24.75" thickBot="1">
      <c r="A189" s="1769" t="s">
        <v>1402</v>
      </c>
      <c r="B189" s="1773" t="s">
        <v>2123</v>
      </c>
      <c r="C189" s="1783"/>
      <c r="D189" s="1783"/>
      <c r="E189" s="1783"/>
      <c r="F189" s="1775">
        <v>0.05</v>
      </c>
    </row>
    <row r="190" spans="1:6" ht="24.75" thickBot="1">
      <c r="A190" s="1769" t="s">
        <v>1402</v>
      </c>
      <c r="B190" s="1773" t="s">
        <v>2124</v>
      </c>
      <c r="C190" s="1783"/>
      <c r="D190" s="1783"/>
      <c r="E190" s="1783"/>
      <c r="F190" s="1775">
        <v>0.05</v>
      </c>
    </row>
    <row r="191" spans="1:6" ht="24.75" thickBot="1">
      <c r="A191" s="1769" t="s">
        <v>1402</v>
      </c>
      <c r="B191" s="1773" t="s">
        <v>2125</v>
      </c>
      <c r="C191" s="1783"/>
      <c r="D191" s="1783"/>
      <c r="E191" s="1783"/>
      <c r="F191" s="1775">
        <v>0.05</v>
      </c>
    </row>
    <row r="192" spans="1:6" ht="24.75" thickBot="1">
      <c r="A192" s="1769" t="s">
        <v>1402</v>
      </c>
      <c r="B192" s="1773" t="s">
        <v>2126</v>
      </c>
      <c r="C192" s="1783"/>
      <c r="D192" s="1783"/>
      <c r="E192" s="1783"/>
      <c r="F192" s="1775">
        <v>0.05</v>
      </c>
    </row>
    <row r="193" spans="1:6" ht="24.75" thickBot="1">
      <c r="A193" s="1769" t="s">
        <v>1402</v>
      </c>
      <c r="B193" s="1773" t="s">
        <v>2127</v>
      </c>
      <c r="C193" s="1783"/>
      <c r="D193" s="1783"/>
      <c r="E193" s="1783"/>
      <c r="F193" s="1775">
        <v>0.05</v>
      </c>
    </row>
    <row r="194" spans="1:6" ht="24.75" thickBot="1">
      <c r="A194" s="1769" t="s">
        <v>1402</v>
      </c>
      <c r="B194" s="1773" t="s">
        <v>2128</v>
      </c>
      <c r="C194" s="1783"/>
      <c r="D194" s="1783"/>
      <c r="E194" s="1783"/>
      <c r="F194" s="1775">
        <v>0.05</v>
      </c>
    </row>
    <row r="195" spans="1:6" ht="14.25" thickBot="1">
      <c r="A195" s="1769" t="s">
        <v>1402</v>
      </c>
      <c r="B195" s="1773" t="s">
        <v>2129</v>
      </c>
      <c r="C195" s="1783"/>
      <c r="D195" s="1783"/>
      <c r="E195" s="1783"/>
      <c r="F195" s="1775">
        <v>0.05</v>
      </c>
    </row>
    <row r="196" spans="1:6" ht="24.75" thickBot="1">
      <c r="A196" s="1769" t="s">
        <v>1402</v>
      </c>
      <c r="B196" s="1773" t="s">
        <v>2130</v>
      </c>
      <c r="C196" s="1783"/>
      <c r="D196" s="1783"/>
      <c r="E196" s="1783"/>
      <c r="F196" s="1775">
        <v>0.05</v>
      </c>
    </row>
    <row r="197" spans="1:6" ht="24.75" thickBot="1">
      <c r="A197" s="1769" t="s">
        <v>1402</v>
      </c>
      <c r="B197" s="1773" t="s">
        <v>2131</v>
      </c>
      <c r="C197" s="1783"/>
      <c r="D197" s="1783"/>
      <c r="E197" s="1783"/>
      <c r="F197" s="1775">
        <v>0.05</v>
      </c>
    </row>
    <row r="198" spans="1:6" ht="24.75" thickBot="1">
      <c r="A198" s="1769" t="s">
        <v>1402</v>
      </c>
      <c r="B198" s="1773" t="s">
        <v>2132</v>
      </c>
      <c r="C198" s="1783"/>
      <c r="D198" s="1783"/>
      <c r="E198" s="1783"/>
      <c r="F198" s="1775">
        <v>0.05</v>
      </c>
    </row>
    <row r="199" spans="1:6" ht="24.75" thickBot="1">
      <c r="A199" s="1769" t="s">
        <v>1402</v>
      </c>
      <c r="B199" s="1773" t="s">
        <v>2133</v>
      </c>
      <c r="C199" s="1783"/>
      <c r="D199" s="1783"/>
      <c r="E199" s="1783"/>
      <c r="F199" s="1775">
        <v>0.05</v>
      </c>
    </row>
    <row r="200" spans="1:6" ht="24.75" thickBot="1">
      <c r="A200" s="1769" t="s">
        <v>1402</v>
      </c>
      <c r="B200" s="1773" t="s">
        <v>2134</v>
      </c>
      <c r="C200" s="1783"/>
      <c r="D200" s="1783"/>
      <c r="E200" s="1783"/>
      <c r="F200" s="1775">
        <v>0.05</v>
      </c>
    </row>
    <row r="201" spans="1:6" ht="24.75" thickBot="1">
      <c r="A201" s="1769" t="s">
        <v>1402</v>
      </c>
      <c r="B201" s="1773" t="s">
        <v>2135</v>
      </c>
      <c r="C201" s="1783"/>
      <c r="D201" s="1783"/>
      <c r="E201" s="1783"/>
      <c r="F201" s="1775">
        <v>0.05</v>
      </c>
    </row>
    <row r="202" spans="1:6" ht="24.75" thickBot="1">
      <c r="A202" s="1769" t="s">
        <v>1402</v>
      </c>
      <c r="B202" s="1773" t="s">
        <v>2136</v>
      </c>
      <c r="C202" s="1783"/>
      <c r="D202" s="1783"/>
      <c r="E202" s="1783"/>
      <c r="F202" s="1775">
        <v>0.05</v>
      </c>
    </row>
    <row r="203" spans="1:6" ht="24.75" thickBot="1">
      <c r="A203" s="1769" t="s">
        <v>1402</v>
      </c>
      <c r="B203" s="1773" t="s">
        <v>2137</v>
      </c>
      <c r="C203" s="1783"/>
      <c r="D203" s="1783"/>
      <c r="E203" s="1783"/>
      <c r="F203" s="1775">
        <v>0.05</v>
      </c>
    </row>
    <row r="204" spans="1:6" ht="14.25" thickBot="1">
      <c r="A204" s="1769" t="s">
        <v>1402</v>
      </c>
      <c r="B204" s="1773" t="s">
        <v>2138</v>
      </c>
      <c r="C204" s="1783"/>
      <c r="D204" s="1783"/>
      <c r="E204" s="1783"/>
      <c r="F204" s="1775">
        <v>0.05</v>
      </c>
    </row>
    <row r="205" spans="1:6" ht="14.25" thickBot="1">
      <c r="A205" s="1777" t="s">
        <v>1402</v>
      </c>
      <c r="B205" s="1784" t="s">
        <v>2139</v>
      </c>
      <c r="C205" s="1780"/>
      <c r="D205" s="1780"/>
      <c r="E205" s="1780"/>
      <c r="F205" s="1785">
        <v>0.05</v>
      </c>
    </row>
    <row r="206" spans="1:6" ht="14.25" thickBot="1">
      <c r="A206" s="1769" t="s">
        <v>1404</v>
      </c>
      <c r="B206" s="1770" t="s">
        <v>2140</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2141</v>
      </c>
      <c r="C210" s="1774">
        <v>0.15</v>
      </c>
      <c r="D210" s="1774">
        <v>0.15</v>
      </c>
      <c r="E210" s="1774">
        <v>0.15</v>
      </c>
      <c r="F210" s="1775">
        <v>0.13800000000000001</v>
      </c>
    </row>
    <row r="211" spans="1:6" ht="14.25" thickBot="1">
      <c r="A211" s="1769" t="s">
        <v>1404</v>
      </c>
      <c r="B211" s="1773" t="s">
        <v>2142</v>
      </c>
      <c r="C211" s="1774">
        <v>0.13700000000000001</v>
      </c>
      <c r="D211" s="1774">
        <v>0.13500000000000001</v>
      </c>
      <c r="E211" s="1774">
        <v>0.13600000000000001</v>
      </c>
      <c r="F211" s="1775">
        <v>0.1</v>
      </c>
    </row>
    <row r="212" spans="1:6" ht="14.25" thickBot="1">
      <c r="A212" s="1769" t="s">
        <v>1404</v>
      </c>
      <c r="B212" s="1773" t="s">
        <v>2143</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2144</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2145</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2146</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2147</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2148</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2149</v>
      </c>
      <c r="C231" s="1774">
        <v>0.128</v>
      </c>
      <c r="D231" s="1774">
        <v>0.125</v>
      </c>
      <c r="E231" s="1774">
        <v>0.13200000000000001</v>
      </c>
      <c r="F231" s="1782"/>
    </row>
    <row r="232" spans="1:6" ht="14.25" thickBot="1">
      <c r="A232" s="1769" t="s">
        <v>1404</v>
      </c>
      <c r="B232" s="1773" t="s">
        <v>2150</v>
      </c>
      <c r="C232" s="1774">
        <v>0.14499999999999999</v>
      </c>
      <c r="D232" s="1774">
        <v>0.14399999999999999</v>
      </c>
      <c r="E232" s="1774">
        <v>0.14599999999999999</v>
      </c>
      <c r="F232" s="1775">
        <v>0.13800000000000001</v>
      </c>
    </row>
    <row r="233" spans="1:6" ht="14.25" thickBot="1">
      <c r="A233" s="1769" t="s">
        <v>1404</v>
      </c>
      <c r="B233" s="1773" t="s">
        <v>2151</v>
      </c>
      <c r="C233" s="1774">
        <v>0.14499999999999999</v>
      </c>
      <c r="D233" s="1774">
        <v>0.14299999999999999</v>
      </c>
      <c r="E233" s="1774">
        <v>0.14199999999999999</v>
      </c>
      <c r="F233" s="1782"/>
    </row>
    <row r="234" spans="1:6" ht="14.25" thickBot="1">
      <c r="A234" s="1769" t="s">
        <v>1404</v>
      </c>
      <c r="B234" s="1773" t="s">
        <v>2152</v>
      </c>
      <c r="C234" s="1774">
        <v>0.14000000000000001</v>
      </c>
      <c r="D234" s="1774">
        <v>0.14000000000000001</v>
      </c>
      <c r="E234" s="1774">
        <v>0.14399999999999999</v>
      </c>
      <c r="F234" s="1782"/>
    </row>
    <row r="235" spans="1:6" ht="14.25" thickBot="1">
      <c r="A235" s="1769" t="s">
        <v>1404</v>
      </c>
      <c r="B235" s="1773" t="s">
        <v>2153</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2154</v>
      </c>
      <c r="C237" s="1783"/>
      <c r="D237" s="1783"/>
      <c r="E237" s="1783"/>
      <c r="F237" s="1775">
        <v>0.05</v>
      </c>
    </row>
    <row r="238" spans="1:6" ht="24.75" thickBot="1">
      <c r="A238" s="1769" t="s">
        <v>1404</v>
      </c>
      <c r="B238" s="1773" t="s">
        <v>2155</v>
      </c>
      <c r="C238" s="1783"/>
      <c r="D238" s="1783"/>
      <c r="E238" s="1783"/>
      <c r="F238" s="1775">
        <v>0.05</v>
      </c>
    </row>
    <row r="239" spans="1:6" ht="24.75" thickBot="1">
      <c r="A239" s="1769" t="s">
        <v>1404</v>
      </c>
      <c r="B239" s="1773" t="s">
        <v>2156</v>
      </c>
      <c r="C239" s="1783"/>
      <c r="D239" s="1783"/>
      <c r="E239" s="1783"/>
      <c r="F239" s="1775">
        <v>0.05</v>
      </c>
    </row>
    <row r="240" spans="1:6" ht="24.75" thickBot="1">
      <c r="A240" s="1769" t="s">
        <v>1404</v>
      </c>
      <c r="B240" s="1773" t="s">
        <v>2157</v>
      </c>
      <c r="C240" s="1783"/>
      <c r="D240" s="1783"/>
      <c r="E240" s="1783"/>
      <c r="F240" s="1775">
        <v>0.05</v>
      </c>
    </row>
    <row r="241" spans="1:6" ht="24.75" thickBot="1">
      <c r="A241" s="1769" t="s">
        <v>1404</v>
      </c>
      <c r="B241" s="1773" t="s">
        <v>2158</v>
      </c>
      <c r="C241" s="1783"/>
      <c r="D241" s="1783"/>
      <c r="E241" s="1783"/>
      <c r="F241" s="1775">
        <v>0.05</v>
      </c>
    </row>
    <row r="242" spans="1:6" ht="24.75" thickBot="1">
      <c r="A242" s="1769" t="s">
        <v>1404</v>
      </c>
      <c r="B242" s="1773" t="s">
        <v>2159</v>
      </c>
      <c r="C242" s="1783"/>
      <c r="D242" s="1783"/>
      <c r="E242" s="1783"/>
      <c r="F242" s="1775">
        <v>0.05</v>
      </c>
    </row>
    <row r="243" spans="1:6" ht="24.75" thickBot="1">
      <c r="A243" s="1769" t="s">
        <v>1404</v>
      </c>
      <c r="B243" s="1773" t="s">
        <v>2160</v>
      </c>
      <c r="C243" s="1783"/>
      <c r="D243" s="1783"/>
      <c r="E243" s="1783"/>
      <c r="F243" s="1775">
        <v>0.05</v>
      </c>
    </row>
    <row r="244" spans="1:6" ht="24.75" thickBot="1">
      <c r="A244" s="1777" t="s">
        <v>1404</v>
      </c>
      <c r="B244" s="1784" t="s">
        <v>2161</v>
      </c>
      <c r="C244" s="1780"/>
      <c r="D244" s="1780"/>
      <c r="E244" s="1780"/>
      <c r="F244" s="1785">
        <v>0.05</v>
      </c>
    </row>
    <row r="245" spans="1:6" ht="14.25" thickBot="1">
      <c r="A245" s="1769" t="s">
        <v>1406</v>
      </c>
      <c r="B245" s="1770" t="s">
        <v>2162</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2163</v>
      </c>
      <c r="C247" s="1774">
        <v>0.15</v>
      </c>
      <c r="D247" s="1774">
        <v>0.15</v>
      </c>
      <c r="E247" s="1774">
        <v>0.15</v>
      </c>
      <c r="F247" s="1775">
        <v>0.15</v>
      </c>
    </row>
    <row r="248" spans="1:6" ht="14.25" thickBot="1">
      <c r="A248" s="1769" t="s">
        <v>1406</v>
      </c>
      <c r="B248" s="1773" t="s">
        <v>2164</v>
      </c>
      <c r="C248" s="1774">
        <v>0.15</v>
      </c>
      <c r="D248" s="1774">
        <v>0.15</v>
      </c>
      <c r="E248" s="1774">
        <v>0.15</v>
      </c>
      <c r="F248" s="1775">
        <v>0.14000000000000001</v>
      </c>
    </row>
    <row r="249" spans="1:6" ht="14.25" thickBot="1">
      <c r="A249" s="1769" t="s">
        <v>1406</v>
      </c>
      <c r="B249" s="1773" t="s">
        <v>2165</v>
      </c>
      <c r="C249" s="1774">
        <v>0.15</v>
      </c>
      <c r="D249" s="1774">
        <v>0.14899999999999999</v>
      </c>
      <c r="E249" s="1774">
        <v>0.15</v>
      </c>
      <c r="F249" s="1775">
        <v>0.1</v>
      </c>
    </row>
    <row r="250" spans="1:6" ht="14.25" thickBot="1">
      <c r="A250" s="1769" t="s">
        <v>1406</v>
      </c>
      <c r="B250" s="1773" t="s">
        <v>2166</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2167</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2168</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2169</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2170</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2171</v>
      </c>
      <c r="C273" s="1774">
        <v>0.14199999999999999</v>
      </c>
      <c r="D273" s="1774">
        <v>0.14299999999999999</v>
      </c>
      <c r="E273" s="1774">
        <v>0.15</v>
      </c>
      <c r="F273" s="1775">
        <v>0.1</v>
      </c>
    </row>
    <row r="274" spans="1:6" ht="14.25" thickBot="1">
      <c r="A274" s="1769" t="s">
        <v>1406</v>
      </c>
      <c r="B274" s="1773" t="s">
        <v>2172</v>
      </c>
      <c r="C274" s="1774">
        <v>0.14799999999999999</v>
      </c>
      <c r="D274" s="1774">
        <v>0.14799999999999999</v>
      </c>
      <c r="E274" s="1774">
        <v>0.15</v>
      </c>
      <c r="F274" s="1775">
        <v>6.7000000000000004E-2</v>
      </c>
    </row>
    <row r="275" spans="1:6" ht="14.25" thickBot="1">
      <c r="A275" s="1769" t="s">
        <v>1406</v>
      </c>
      <c r="B275" s="1773" t="s">
        <v>2173</v>
      </c>
      <c r="C275" s="1774">
        <v>0.15</v>
      </c>
      <c r="D275" s="1774">
        <v>0.15</v>
      </c>
      <c r="E275" s="1774">
        <v>0.15</v>
      </c>
      <c r="F275" s="1775">
        <v>0.15</v>
      </c>
    </row>
    <row r="276" spans="1:6" ht="14.25" thickBot="1">
      <c r="A276" s="1769" t="s">
        <v>1406</v>
      </c>
      <c r="B276" s="1773" t="s">
        <v>2174</v>
      </c>
      <c r="C276" s="1774">
        <v>0.14499999999999999</v>
      </c>
      <c r="D276" s="1774">
        <v>0.14299999999999999</v>
      </c>
      <c r="E276" s="1774">
        <v>0.15</v>
      </c>
      <c r="F276" s="1775">
        <v>5.8999999999999997E-2</v>
      </c>
    </row>
    <row r="277" spans="1:6" ht="14.25" thickBot="1">
      <c r="A277" s="1769" t="s">
        <v>1406</v>
      </c>
      <c r="B277" s="1773" t="s">
        <v>2175</v>
      </c>
      <c r="C277" s="1774">
        <v>0.15</v>
      </c>
      <c r="D277" s="1774">
        <v>0.15</v>
      </c>
      <c r="E277" s="1774">
        <v>0.15</v>
      </c>
      <c r="F277" s="1775">
        <v>0.121</v>
      </c>
    </row>
    <row r="278" spans="1:6" ht="14.25" thickBot="1">
      <c r="A278" s="1769" t="s">
        <v>1406</v>
      </c>
      <c r="B278" s="1773" t="s">
        <v>2176</v>
      </c>
      <c r="C278" s="1774">
        <v>0.15</v>
      </c>
      <c r="D278" s="1774">
        <v>0.15</v>
      </c>
      <c r="E278" s="1774">
        <v>0.15</v>
      </c>
      <c r="F278" s="1775">
        <v>0.13800000000000001</v>
      </c>
    </row>
    <row r="279" spans="1:6" ht="24.75" thickBot="1">
      <c r="A279" s="1769" t="s">
        <v>1406</v>
      </c>
      <c r="B279" s="1773" t="s">
        <v>2177</v>
      </c>
      <c r="C279" s="1783"/>
      <c r="D279" s="1783"/>
      <c r="E279" s="1783"/>
      <c r="F279" s="1775">
        <v>0.05</v>
      </c>
    </row>
    <row r="280" spans="1:6" ht="24.75" thickBot="1">
      <c r="A280" s="1769" t="s">
        <v>1406</v>
      </c>
      <c r="B280" s="1773" t="s">
        <v>2178</v>
      </c>
      <c r="C280" s="1783"/>
      <c r="D280" s="1783"/>
      <c r="E280" s="1783"/>
      <c r="F280" s="1775">
        <v>0.05</v>
      </c>
    </row>
    <row r="281" spans="1:6" ht="24.75" thickBot="1">
      <c r="A281" s="1769" t="s">
        <v>1406</v>
      </c>
      <c r="B281" s="1773" t="s">
        <v>2179</v>
      </c>
      <c r="C281" s="1783"/>
      <c r="D281" s="1783"/>
      <c r="E281" s="1783"/>
      <c r="F281" s="1775">
        <v>0.05</v>
      </c>
    </row>
    <row r="282" spans="1:6" ht="24.75" thickBot="1">
      <c r="A282" s="1769" t="s">
        <v>1406</v>
      </c>
      <c r="B282" s="1773" t="s">
        <v>2180</v>
      </c>
      <c r="C282" s="1783"/>
      <c r="D282" s="1783"/>
      <c r="E282" s="1783"/>
      <c r="F282" s="1775">
        <v>0.05</v>
      </c>
    </row>
    <row r="283" spans="1:6" ht="24.75" thickBot="1">
      <c r="A283" s="1769" t="s">
        <v>1406</v>
      </c>
      <c r="B283" s="1773" t="s">
        <v>2181</v>
      </c>
      <c r="C283" s="1783"/>
      <c r="D283" s="1783"/>
      <c r="E283" s="1783"/>
      <c r="F283" s="1775">
        <v>0.05</v>
      </c>
    </row>
    <row r="284" spans="1:6" ht="24.75" thickBot="1">
      <c r="A284" s="1769" t="s">
        <v>1406</v>
      </c>
      <c r="B284" s="1773" t="s">
        <v>2182</v>
      </c>
      <c r="C284" s="1783"/>
      <c r="D284" s="1783"/>
      <c r="E284" s="1783"/>
      <c r="F284" s="1775">
        <v>0.05</v>
      </c>
    </row>
    <row r="285" spans="1:6" ht="24.75" thickBot="1">
      <c r="A285" s="1769" t="s">
        <v>1406</v>
      </c>
      <c r="B285" s="1773" t="s">
        <v>2183</v>
      </c>
      <c r="C285" s="1783"/>
      <c r="D285" s="1783"/>
      <c r="E285" s="1783"/>
      <c r="F285" s="1775">
        <v>0.05</v>
      </c>
    </row>
    <row r="286" spans="1:6" ht="24.75" thickBot="1">
      <c r="A286" s="1769" t="s">
        <v>1406</v>
      </c>
      <c r="B286" s="1773" t="s">
        <v>2184</v>
      </c>
      <c r="C286" s="1783"/>
      <c r="D286" s="1783"/>
      <c r="E286" s="1783"/>
      <c r="F286" s="1775">
        <v>0.05</v>
      </c>
    </row>
    <row r="287" spans="1:6" ht="24.75" thickBot="1">
      <c r="A287" s="1769" t="s">
        <v>1406</v>
      </c>
      <c r="B287" s="1773" t="s">
        <v>2185</v>
      </c>
      <c r="C287" s="1783"/>
      <c r="D287" s="1783"/>
      <c r="E287" s="1783"/>
      <c r="F287" s="1775">
        <v>0.05</v>
      </c>
    </row>
    <row r="288" spans="1:6" ht="24.75" thickBot="1">
      <c r="A288" s="1769" t="s">
        <v>1406</v>
      </c>
      <c r="B288" s="1773" t="s">
        <v>2186</v>
      </c>
      <c r="C288" s="1783"/>
      <c r="D288" s="1783"/>
      <c r="E288" s="1783"/>
      <c r="F288" s="1775">
        <v>0.05</v>
      </c>
    </row>
    <row r="289" spans="1:6" ht="24.75" thickBot="1">
      <c r="A289" s="1777" t="s">
        <v>1406</v>
      </c>
      <c r="B289" s="1784" t="s">
        <v>2187</v>
      </c>
      <c r="C289" s="1780"/>
      <c r="D289" s="1780"/>
      <c r="E289" s="1780"/>
      <c r="F289" s="1785">
        <v>0.05</v>
      </c>
    </row>
    <row r="290" spans="1:6" ht="14.25" thickBot="1">
      <c r="A290" s="1769" t="s">
        <v>1410</v>
      </c>
      <c r="B290" s="1770" t="s">
        <v>2188</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2189</v>
      </c>
      <c r="C292" s="1774">
        <v>0.15</v>
      </c>
      <c r="D292" s="1774">
        <v>0.15</v>
      </c>
      <c r="E292" s="1774">
        <v>0.15</v>
      </c>
      <c r="F292" s="1775">
        <v>0.14699999999999999</v>
      </c>
    </row>
    <row r="293" spans="1:6" ht="14.25" thickBot="1">
      <c r="A293" s="1769" t="s">
        <v>1410</v>
      </c>
      <c r="B293" s="1773" t="s">
        <v>2190</v>
      </c>
      <c r="C293" s="1783"/>
      <c r="D293" s="1783"/>
      <c r="E293" s="1783"/>
      <c r="F293" s="1775">
        <v>0.1</v>
      </c>
    </row>
    <row r="294" spans="1:6" ht="14.25" thickBot="1">
      <c r="A294" s="1769" t="s">
        <v>1410</v>
      </c>
      <c r="B294" s="1773" t="s">
        <v>2191</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2192</v>
      </c>
      <c r="C296" s="1774">
        <v>0.15</v>
      </c>
      <c r="D296" s="1774">
        <v>0.15</v>
      </c>
      <c r="E296" s="1774">
        <v>0.15</v>
      </c>
      <c r="F296" s="1775">
        <v>0.15</v>
      </c>
    </row>
    <row r="297" spans="1:6" ht="14.25" thickBot="1">
      <c r="A297" s="1769" t="s">
        <v>1410</v>
      </c>
      <c r="B297" s="1773" t="s">
        <v>2193</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2194</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2195</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2196</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2197</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2198</v>
      </c>
      <c r="C310" s="1774">
        <v>0.15</v>
      </c>
      <c r="D310" s="1774">
        <v>0.15</v>
      </c>
      <c r="E310" s="1774">
        <v>0.15</v>
      </c>
      <c r="F310" s="1775">
        <v>0.13700000000000001</v>
      </c>
    </row>
    <row r="311" spans="1:6" ht="14.25" thickBot="1">
      <c r="A311" s="1769" t="s">
        <v>1410</v>
      </c>
      <c r="B311" s="1773" t="s">
        <v>2199</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2200</v>
      </c>
      <c r="C313" s="1774">
        <v>0.15</v>
      </c>
      <c r="D313" s="1774">
        <v>0.15</v>
      </c>
      <c r="E313" s="1774">
        <v>0.15</v>
      </c>
      <c r="F313" s="1775">
        <v>0.15</v>
      </c>
    </row>
    <row r="314" spans="1:6" ht="24.75" thickBot="1">
      <c r="A314" s="1769" t="s">
        <v>1410</v>
      </c>
      <c r="B314" s="1773" t="s">
        <v>2201</v>
      </c>
      <c r="C314" s="1783"/>
      <c r="D314" s="1783"/>
      <c r="E314" s="1783"/>
      <c r="F314" s="1775">
        <v>0.05</v>
      </c>
    </row>
    <row r="315" spans="1:6" ht="24.75" thickBot="1">
      <c r="A315" s="1769" t="s">
        <v>1410</v>
      </c>
      <c r="B315" s="1773" t="s">
        <v>2202</v>
      </c>
      <c r="C315" s="1783"/>
      <c r="D315" s="1783"/>
      <c r="E315" s="1783"/>
      <c r="F315" s="1775">
        <v>0.05</v>
      </c>
    </row>
    <row r="316" spans="1:6" ht="24.75" thickBot="1">
      <c r="A316" s="1777" t="s">
        <v>1410</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1098</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1167</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1187</v>
      </c>
      <c r="C328" s="1774">
        <v>0.15</v>
      </c>
      <c r="D328" s="1774">
        <v>0.15</v>
      </c>
      <c r="E328" s="1774">
        <v>0.15</v>
      </c>
      <c r="F328" s="1775">
        <v>0.14099999999999999</v>
      </c>
    </row>
    <row r="329" spans="1:6" ht="14.25" thickBot="1">
      <c r="A329" s="1769" t="s">
        <v>2204</v>
      </c>
      <c r="B329" s="1773" t="s">
        <v>1197</v>
      </c>
      <c r="C329" s="1774">
        <v>0.15</v>
      </c>
      <c r="D329" s="1774">
        <v>0.15</v>
      </c>
      <c r="E329" s="1774">
        <v>0.15</v>
      </c>
      <c r="F329" s="1775">
        <v>0.15</v>
      </c>
    </row>
    <row r="330" spans="1:6" ht="14.25" thickBot="1">
      <c r="A330" s="1769" t="s">
        <v>2204</v>
      </c>
      <c r="B330" s="1773" t="s">
        <v>1207</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1227</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1247</v>
      </c>
      <c r="C334" s="1774">
        <v>0.15</v>
      </c>
      <c r="D334" s="1774">
        <v>0.15</v>
      </c>
      <c r="E334" s="1774">
        <v>0.15</v>
      </c>
      <c r="F334" s="1775">
        <v>0.15</v>
      </c>
    </row>
    <row r="335" spans="1:6" ht="14.25" thickBot="1">
      <c r="A335" s="1769" t="s">
        <v>2204</v>
      </c>
      <c r="B335" s="1773" t="s">
        <v>1257</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1275</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3" sqref="I3"/>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9" t="s">
        <v>2556</v>
      </c>
      <c r="C1" s="3539"/>
      <c r="D1" s="3539"/>
      <c r="E1" s="3539"/>
      <c r="F1" s="3539"/>
      <c r="G1" s="3538" t="s">
        <v>2557</v>
      </c>
      <c r="H1" s="3538"/>
      <c r="I1" s="3538"/>
      <c r="J1" s="3538"/>
      <c r="K1" s="3538"/>
      <c r="L1" s="3538"/>
      <c r="N1" s="3538" t="s">
        <v>2558</v>
      </c>
      <c r="O1" s="3538"/>
      <c r="P1" s="3538"/>
      <c r="Q1" s="3538"/>
      <c r="S1" s="3538" t="s">
        <v>2559</v>
      </c>
      <c r="T1" s="3538"/>
      <c r="U1" s="3538"/>
      <c r="V1" s="3538"/>
      <c r="X1" s="3537" t="s">
        <v>2619</v>
      </c>
      <c r="Y1" s="3538"/>
      <c r="Z1" s="3538"/>
      <c r="AA1" s="3538"/>
      <c r="AB1" s="3538"/>
      <c r="AD1" s="3537" t="s">
        <v>2623</v>
      </c>
      <c r="AE1" s="3538"/>
      <c r="AF1" s="3538"/>
      <c r="AG1" s="3538"/>
      <c r="AH1" s="3538"/>
    </row>
    <row r="2" spans="1:34" s="2865" customFormat="1" ht="14.25" thickBot="1">
      <c r="B2" s="2866" t="s">
        <v>2560</v>
      </c>
      <c r="C2" s="2866" t="s">
        <v>2621</v>
      </c>
      <c r="D2" s="2867" t="s">
        <v>1635</v>
      </c>
      <c r="E2" s="2867" t="s">
        <v>1937</v>
      </c>
      <c r="F2" s="2866" t="s">
        <v>2622</v>
      </c>
      <c r="G2" s="2868"/>
      <c r="I2" s="2866" t="s">
        <v>2922</v>
      </c>
      <c r="J2" s="2867" t="s">
        <v>2924</v>
      </c>
      <c r="K2" s="2867" t="s">
        <v>2925</v>
      </c>
      <c r="L2" s="2866" t="s">
        <v>2926</v>
      </c>
      <c r="N2" s="2866" t="s">
        <v>2560</v>
      </c>
      <c r="O2" s="2867" t="s">
        <v>2923</v>
      </c>
      <c r="P2" s="2867" t="s">
        <v>1937</v>
      </c>
      <c r="Q2" s="2866" t="s">
        <v>2622</v>
      </c>
      <c r="S2" s="2866" t="s">
        <v>2560</v>
      </c>
      <c r="T2" s="2867" t="s">
        <v>2923</v>
      </c>
      <c r="U2" s="2867" t="s">
        <v>1937</v>
      </c>
      <c r="V2" s="2866" t="s">
        <v>2622</v>
      </c>
      <c r="X2" s="2866" t="s">
        <v>2560</v>
      </c>
      <c r="Y2" s="2866" t="s">
        <v>2621</v>
      </c>
      <c r="Z2" s="2867" t="s">
        <v>1635</v>
      </c>
      <c r="AA2" s="2867" t="s">
        <v>1937</v>
      </c>
      <c r="AB2" s="2866" t="s">
        <v>2622</v>
      </c>
      <c r="AD2" s="2866" t="s">
        <v>2560</v>
      </c>
      <c r="AE2" s="2866" t="s">
        <v>2621</v>
      </c>
      <c r="AF2" s="2867" t="s">
        <v>1635</v>
      </c>
      <c r="AG2" s="2867" t="s">
        <v>1937</v>
      </c>
      <c r="AH2" s="2866" t="s">
        <v>2622</v>
      </c>
    </row>
    <row r="3" spans="1:34" s="2875" customFormat="1" ht="14.25">
      <c r="A3" s="2869" t="s">
        <v>2933</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3000</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ROUND(SUMPRODUCT(PRODUCT(1+N5:N$34)),4)</f>
        <v>1.6671</v>
      </c>
      <c r="Y5" s="2896">
        <f>ROUND(SUMPRODUCT(PRODUCT(1+O5:O$34)),4)</f>
        <v>1.3807</v>
      </c>
      <c r="Z5" s="2896">
        <f t="shared" ref="Z5" si="11">Y5</f>
        <v>1.3807</v>
      </c>
      <c r="AA5" s="2896">
        <f>ROUND(SUMPRODUCT(PRODUCT(1+P5:P$34)),4)</f>
        <v>1.7545999999999999</v>
      </c>
      <c r="AB5" s="2896">
        <f>ROUND(SUMPRODUCT(PRODUCT(1+Q5:Q$34)),4)</f>
        <v>1.4510000000000001</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c r="A6" s="2898" t="s">
        <v>2999</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ROUND(SUMPRODUCT(PRODUCT(1+N6:N$34)),4)</f>
        <v>1.6671</v>
      </c>
      <c r="Y6" s="2886">
        <f>ROUND(SUMPRODUCT(PRODUCT(1+O6:O$34)),4)</f>
        <v>1.3807</v>
      </c>
      <c r="Z6" s="2886">
        <f t="shared" ref="Z6" si="22">Y6</f>
        <v>1.3807</v>
      </c>
      <c r="AA6" s="2886">
        <f>ROUND(SUMPRODUCT(PRODUCT(1+P6:P$34)),4)</f>
        <v>1.7545999999999999</v>
      </c>
      <c r="AB6" s="2886">
        <f>ROUND(SUMPRODUCT(PRODUCT(1+Q6:Q$34)),4)</f>
        <v>1.4510000000000001</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c r="A7" s="2898" t="s">
        <v>2998</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ROUND(SUMPRODUCT(PRODUCT(1+N7:N$34)),4)</f>
        <v>1.6511</v>
      </c>
      <c r="Y7" s="2886">
        <f>ROUND(SUMPRODUCT(PRODUCT(1+O7:O$34)),4)</f>
        <v>1.3785000000000001</v>
      </c>
      <c r="Z7" s="2886">
        <f t="shared" ref="Z7" si="33">Y7</f>
        <v>1.3785000000000001</v>
      </c>
      <c r="AA7" s="2886">
        <f>ROUND(SUMPRODUCT(PRODUCT(1+P7:P$34)),4)</f>
        <v>1.7353000000000001</v>
      </c>
      <c r="AB7" s="2886">
        <f>ROUND(SUMPRODUCT(PRODUCT(1+Q7:Q$34)),4)</f>
        <v>1.4458</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c r="A8" s="2898" t="s">
        <v>2997</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ROUND(SUMPRODUCT(PRODUCT(1+N8:N$34)),4)</f>
        <v>1.6175999999999999</v>
      </c>
      <c r="Y8" s="2886">
        <f>ROUND(SUMPRODUCT(PRODUCT(1+O8:O$34)),4)</f>
        <v>1.3734</v>
      </c>
      <c r="Z8" s="2886">
        <f t="shared" ref="Z8" si="44">Y8</f>
        <v>1.3734</v>
      </c>
      <c r="AA8" s="2886">
        <f>ROUND(SUMPRODUCT(PRODUCT(1+P8:P$34)),4)</f>
        <v>1.6955</v>
      </c>
      <c r="AB8" s="2886">
        <f>ROUND(SUMPRODUCT(PRODUCT(1+Q8:Q$34)),4)</f>
        <v>1.4078999999999999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c r="A9" s="2898" t="s">
        <v>2960</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ROUND(SUMPRODUCT(PRODUCT(1+N9:N$34)),4)</f>
        <v>1.6117999999999999</v>
      </c>
      <c r="Y9" s="2886">
        <f>ROUND(SUMPRODUCT(PRODUCT(1+O9:O$34)),4)</f>
        <v>1.3788</v>
      </c>
      <c r="Z9" s="2886">
        <f t="shared" ref="Z9" si="55">Y9</f>
        <v>1.3788</v>
      </c>
      <c r="AA9" s="2886">
        <f>ROUND(SUMPRODUCT(PRODUCT(1+P9:P$34)),4)</f>
        <v>1.6872</v>
      </c>
      <c r="AB9" s="2886">
        <f>ROUND(SUMPRODUCT(PRODUCT(1+Q9:Q$34)),4)</f>
        <v>1.4069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c r="A10" s="2898" t="s">
        <v>2958</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ROUND(SUMPRODUCT(PRODUCT(1+N10:N$34)),4)</f>
        <v>1.6068</v>
      </c>
      <c r="Y10" s="2886">
        <f>ROUND(SUMPRODUCT(PRODUCT(1+O10:O$34)),4)</f>
        <v>1.3895999999999999</v>
      </c>
      <c r="Z10" s="2886">
        <f t="shared" ref="Z10:Z33" si="66">Y10</f>
        <v>1.3895999999999999</v>
      </c>
      <c r="AA10" s="2886">
        <f>ROUND(SUMPRODUCT(PRODUCT(1+P10:P$34)),4)</f>
        <v>1.6788000000000001</v>
      </c>
      <c r="AB10" s="2886">
        <f>ROUND(SUMPRODUCT(PRODUCT(1+Q10:Q$34)),4)</f>
        <v>1.4004000000000001</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c r="A11" s="2898" t="s">
        <v>2955</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ROUND(SUMPRODUCT(PRODUCT(1+N11:N$34)),4)</f>
        <v>1.6049</v>
      </c>
      <c r="Y11" s="2886">
        <f>ROUND(SUMPRODUCT(PRODUCT(1+O11:O$34)),4)</f>
        <v>1.3952</v>
      </c>
      <c r="Z11" s="2886">
        <f t="shared" si="66"/>
        <v>1.3952</v>
      </c>
      <c r="AA11" s="2886">
        <f>ROUND(SUMPRODUCT(PRODUCT(1+P11:P$34)),4)</f>
        <v>1.6753</v>
      </c>
      <c r="AB11" s="2886">
        <f>ROUND(SUMPRODUCT(PRODUCT(1+Q11:Q$34)),4)</f>
        <v>1.3966000000000001</v>
      </c>
      <c r="AC11" s="2886"/>
      <c r="AD11" s="2887">
        <f>ROUND(AVERAGE(I11:I$34)/100,4)</f>
        <v>0.02</v>
      </c>
      <c r="AE11" s="2887">
        <f>ROUND(AVERAGE(J11:J$34)/100,4)</f>
        <v>1.4E-2</v>
      </c>
      <c r="AF11" s="2887">
        <f t="shared" ref="AF11" si="77">AE11</f>
        <v>1.4E-2</v>
      </c>
      <c r="AG11" s="2887">
        <f>ROUND(AVERAGE(K11:K$34)/100,4)</f>
        <v>2.1899999999999999E-2</v>
      </c>
      <c r="AH11" s="2887">
        <f>ROUND(AVERAGE(L11:L$34)/100,4)</f>
        <v>1.4E-2</v>
      </c>
    </row>
    <row r="12" spans="1:34" s="2905" customFormat="1" ht="13.5" thickBot="1">
      <c r="A12" s="2898" t="s">
        <v>2954</v>
      </c>
      <c r="B12" s="2899">
        <f t="shared" ref="B12" si="78">B13*(1+N12)</f>
        <v>477.19997390765138</v>
      </c>
      <c r="C12" s="2899">
        <f t="shared" ref="C12" si="79">C13*(1+O12)</f>
        <v>351.84874729536665</v>
      </c>
      <c r="D12" s="2899">
        <f t="shared" ref="D12" si="80">C12</f>
        <v>351.84874729536665</v>
      </c>
      <c r="E12" s="2899">
        <f t="shared" ref="E12" si="81">E13*(1+P12)</f>
        <v>682.29768951465201</v>
      </c>
      <c r="F12" s="2899">
        <f t="shared" ref="F12" si="82">F13*(1+Q12)</f>
        <v>315.26985675409043</v>
      </c>
      <c r="G12" s="2882">
        <v>2019</v>
      </c>
      <c r="H12" s="2900">
        <v>3</v>
      </c>
      <c r="I12" s="2900">
        <v>0.61</v>
      </c>
      <c r="J12" s="2900">
        <v>0.67</v>
      </c>
      <c r="K12" s="2900">
        <v>0.6</v>
      </c>
      <c r="L12" s="2906">
        <v>1.03</v>
      </c>
      <c r="M12" s="2886"/>
      <c r="N12" s="2901">
        <f t="shared" ref="N12" si="83">I12/100</f>
        <v>6.0999999999999995E-3</v>
      </c>
      <c r="O12" s="2887">
        <f t="shared" ref="O12" si="84">J12/100</f>
        <v>6.7000000000000002E-3</v>
      </c>
      <c r="P12" s="2887">
        <f t="shared" ref="P12" si="85">K12/100</f>
        <v>6.0000000000000001E-3</v>
      </c>
      <c r="Q12" s="2887">
        <f t="shared" ref="Q12" si="86">L12/100</f>
        <v>1.03E-2</v>
      </c>
      <c r="R12" s="2902"/>
      <c r="S12" s="2903"/>
      <c r="T12" s="2904"/>
      <c r="U12" s="2904"/>
      <c r="V12" s="2904"/>
      <c r="W12" s="2886"/>
      <c r="X12" s="2886">
        <f>ROUND(SUMPRODUCT(PRODUCT(1+N12:N$34)),4)</f>
        <v>1.5976999999999999</v>
      </c>
      <c r="Y12" s="2886">
        <f>ROUND(SUMPRODUCT(PRODUCT(1+O12:O$34)),4)</f>
        <v>1.3969</v>
      </c>
      <c r="Z12" s="2886">
        <f t="shared" si="66"/>
        <v>1.3969</v>
      </c>
      <c r="AA12" s="2886">
        <f>ROUND(SUMPRODUCT(PRODUCT(1+P12:P$34)),4)</f>
        <v>1.6662999999999999</v>
      </c>
      <c r="AB12" s="2886">
        <f>ROUND(SUMPRODUCT(PRODUCT(1+Q12:Q$34)),4)</f>
        <v>1.3898999999999999</v>
      </c>
      <c r="AC12" s="2886"/>
      <c r="AD12" s="2887">
        <f>ROUND(AVERAGE(I12:I$34)/100,4)</f>
        <v>2.07E-2</v>
      </c>
      <c r="AE12" s="2887">
        <f>ROUND(AVERAGE(J12:J$34)/100,4)</f>
        <v>1.47E-2</v>
      </c>
      <c r="AF12" s="2887">
        <f t="shared" ref="AF12" si="87">AE12</f>
        <v>1.47E-2</v>
      </c>
      <c r="AG12" s="2887">
        <f>ROUND(AVERAGE(K12:K$34)/100,4)</f>
        <v>2.2599999999999999E-2</v>
      </c>
      <c r="AH12" s="2887">
        <f>ROUND(AVERAGE(L12:L$34)/100,4)</f>
        <v>1.44E-2</v>
      </c>
    </row>
    <row r="13" spans="1:34" s="2905" customFormat="1">
      <c r="A13" s="2898" t="s">
        <v>2953</v>
      </c>
      <c r="B13" s="2899">
        <f t="shared" ref="B13:B18" si="88">B14*(1+N13)</f>
        <v>474.30670301923408</v>
      </c>
      <c r="C13" s="2899">
        <f t="shared" ref="C13" si="89">C14*(1+O13)</f>
        <v>349.50705005996491</v>
      </c>
      <c r="D13" s="2899">
        <f t="shared" ref="D13" si="90">C13</f>
        <v>349.50705005996491</v>
      </c>
      <c r="E13" s="2899">
        <f t="shared" ref="E13" si="91">E14*(1+P13)</f>
        <v>678.22831959706957</v>
      </c>
      <c r="F13" s="2899">
        <f t="shared" ref="F13" si="92">F14*(1+Q13)</f>
        <v>312.0556832169558</v>
      </c>
      <c r="G13" s="2882">
        <v>2019</v>
      </c>
      <c r="H13" s="2907">
        <v>2</v>
      </c>
      <c r="I13" s="2907">
        <v>1.53</v>
      </c>
      <c r="J13" s="2907">
        <v>1.01</v>
      </c>
      <c r="K13" s="2907">
        <v>1.62</v>
      </c>
      <c r="L13" s="2908">
        <v>1.25</v>
      </c>
      <c r="M13" s="2886"/>
      <c r="N13" s="2901">
        <f t="shared" ref="N13" si="93">I13/100</f>
        <v>1.5300000000000001E-2</v>
      </c>
      <c r="O13" s="2887">
        <f t="shared" ref="O13" si="94">J13/100</f>
        <v>1.01E-2</v>
      </c>
      <c r="P13" s="2887">
        <f t="shared" ref="P13" si="95">K13/100</f>
        <v>1.6200000000000003E-2</v>
      </c>
      <c r="Q13" s="2887">
        <f t="shared" ref="Q13" si="96">L13/100</f>
        <v>1.2500000000000001E-2</v>
      </c>
      <c r="R13" s="2902"/>
      <c r="S13" s="2903"/>
      <c r="T13" s="2904"/>
      <c r="U13" s="2904"/>
      <c r="V13" s="2904"/>
      <c r="W13" s="2886"/>
      <c r="X13" s="2886">
        <f>ROUND(SUMPRODUCT(PRODUCT(1+N13:N$34)),4)</f>
        <v>1.5880000000000001</v>
      </c>
      <c r="Y13" s="2886">
        <f>ROUND(SUMPRODUCT(PRODUCT(1+O13:O$34)),4)</f>
        <v>1.3875999999999999</v>
      </c>
      <c r="Z13" s="2886">
        <f t="shared" si="66"/>
        <v>1.3875999999999999</v>
      </c>
      <c r="AA13" s="2886">
        <f>ROUND(SUMPRODUCT(PRODUCT(1+P13:P$34)),4)</f>
        <v>1.6563000000000001</v>
      </c>
      <c r="AB13" s="2886">
        <f>ROUND(SUMPRODUCT(PRODUCT(1+Q13:Q$34)),4)</f>
        <v>1.3756999999999999</v>
      </c>
      <c r="AC13" s="2886"/>
      <c r="AD13" s="2887">
        <f>ROUND(AVERAGE(I13:I$34)/100,4)</f>
        <v>2.1299999999999999E-2</v>
      </c>
      <c r="AE13" s="2887">
        <f>ROUND(AVERAGE(J13:J$34)/100,4)</f>
        <v>1.4999999999999999E-2</v>
      </c>
      <c r="AF13" s="2887">
        <f t="shared" ref="AF13" si="97">AE13</f>
        <v>1.4999999999999999E-2</v>
      </c>
      <c r="AG13" s="2887">
        <f>ROUND(AVERAGE(K13:K$34)/100,4)</f>
        <v>2.3300000000000001E-2</v>
      </c>
      <c r="AH13" s="2887">
        <f>ROUND(AVERAGE(L13:L$34)/100,4)</f>
        <v>1.46E-2</v>
      </c>
    </row>
    <row r="14" spans="1:34" s="2905" customFormat="1" ht="13.5" thickBot="1">
      <c r="A14" s="2898" t="s">
        <v>2952</v>
      </c>
      <c r="B14" s="2899">
        <f t="shared" si="88"/>
        <v>467.15916775261894</v>
      </c>
      <c r="C14" s="2899">
        <f t="shared" ref="C14" si="98">C15*(1+O14)</f>
        <v>346.01232557169084</v>
      </c>
      <c r="D14" s="2899">
        <f t="shared" ref="D14" si="99">C14</f>
        <v>346.01232557169084</v>
      </c>
      <c r="E14" s="2899">
        <f t="shared" ref="E14" si="100">E15*(1+P14)</f>
        <v>667.41617752122568</v>
      </c>
      <c r="F14" s="2899">
        <f t="shared" ref="F14" si="101">F15*(1+Q14)</f>
        <v>308.20314391798104</v>
      </c>
      <c r="G14" s="2882">
        <v>2019</v>
      </c>
      <c r="H14" s="2900">
        <v>1</v>
      </c>
      <c r="I14" s="2900">
        <v>0.6</v>
      </c>
      <c r="J14" s="2900">
        <v>0.37</v>
      </c>
      <c r="K14" s="2900">
        <v>0.63</v>
      </c>
      <c r="L14" s="2906">
        <v>1.1299999999999999</v>
      </c>
      <c r="M14" s="2886"/>
      <c r="N14" s="2901">
        <f t="shared" ref="N14" si="102">I14/100</f>
        <v>6.0000000000000001E-3</v>
      </c>
      <c r="O14" s="2887">
        <f t="shared" ref="O14" si="103">J14/100</f>
        <v>3.7000000000000002E-3</v>
      </c>
      <c r="P14" s="2887">
        <f t="shared" ref="P14" si="104">K14/100</f>
        <v>6.3E-3</v>
      </c>
      <c r="Q14" s="2887">
        <f t="shared" ref="Q14" si="105">L14/100</f>
        <v>1.1299999999999999E-2</v>
      </c>
      <c r="R14" s="2902"/>
      <c r="S14" s="2903">
        <f>B14/B15-1</f>
        <v>6.0000000000000053E-3</v>
      </c>
      <c r="T14" s="2904">
        <f>C14/C15-1</f>
        <v>3.7000000000000366E-3</v>
      </c>
      <c r="U14" s="2904">
        <f>E14/E15-1</f>
        <v>6.2999999999999723E-3</v>
      </c>
      <c r="V14" s="2904">
        <f>F14/F15-1</f>
        <v>1.1300000000000088E-2</v>
      </c>
      <c r="W14" s="2886"/>
      <c r="X14" s="2886">
        <f>ROUND(SUMPRODUCT(PRODUCT(1+N14:N$34)),4)</f>
        <v>1.5641</v>
      </c>
      <c r="Y14" s="2886">
        <f>ROUND(SUMPRODUCT(PRODUCT(1+O14:O$34)),4)</f>
        <v>1.3736999999999999</v>
      </c>
      <c r="Z14" s="2886">
        <f t="shared" si="66"/>
        <v>1.3736999999999999</v>
      </c>
      <c r="AA14" s="2886">
        <f>ROUND(SUMPRODUCT(PRODUCT(1+P14:P$34)),4)</f>
        <v>1.6298999999999999</v>
      </c>
      <c r="AB14" s="2886">
        <f>ROUND(SUMPRODUCT(PRODUCT(1+Q14:Q$34)),4)</f>
        <v>1.3588</v>
      </c>
      <c r="AC14" s="2886"/>
      <c r="AD14" s="2887">
        <f>ROUND(AVERAGE(I14:I$34)/100,4)</f>
        <v>2.1600000000000001E-2</v>
      </c>
      <c r="AE14" s="2887">
        <f>ROUND(AVERAGE(J14:J$34)/100,4)</f>
        <v>1.5299999999999999E-2</v>
      </c>
      <c r="AF14" s="2887">
        <f t="shared" ref="AF14" si="106">AE14</f>
        <v>1.5299999999999999E-2</v>
      </c>
      <c r="AG14" s="2887">
        <f>ROUND(AVERAGE(K14:K$34)/100,4)</f>
        <v>2.3699999999999999E-2</v>
      </c>
      <c r="AH14" s="2887">
        <f>ROUND(AVERAGE(L14:L$34)/100,4)</f>
        <v>1.47E-2</v>
      </c>
    </row>
    <row r="15" spans="1:34" s="2905" customFormat="1">
      <c r="A15" s="2898" t="s">
        <v>2950</v>
      </c>
      <c r="B15" s="2909">
        <f t="shared" si="88"/>
        <v>464.37293017158942</v>
      </c>
      <c r="C15" s="2909">
        <f t="shared" ref="C15" si="107">C16*(1+O15)</f>
        <v>344.73679941385956</v>
      </c>
      <c r="D15" s="2909">
        <f t="shared" ref="D15" si="108">C15</f>
        <v>344.73679941385956</v>
      </c>
      <c r="E15" s="2909">
        <f t="shared" ref="E15" si="109">E16*(1+P15)</f>
        <v>663.2377795103107</v>
      </c>
      <c r="F15" s="2910">
        <f t="shared" ref="F15" si="110">F16*(1+Q15)</f>
        <v>304.75936311478398</v>
      </c>
      <c r="G15" s="3533">
        <v>2018</v>
      </c>
      <c r="H15" s="2907">
        <v>4</v>
      </c>
      <c r="I15" s="2907">
        <v>0.96</v>
      </c>
      <c r="J15" s="2907">
        <v>1.03</v>
      </c>
      <c r="K15" s="2907">
        <v>0.92</v>
      </c>
      <c r="L15" s="2908">
        <v>1.29</v>
      </c>
      <c r="M15" s="2886"/>
      <c r="N15" s="2901">
        <f t="shared" ref="N15" si="111">I15/100</f>
        <v>9.5999999999999992E-3</v>
      </c>
      <c r="O15" s="2887">
        <f t="shared" ref="O15" si="112">J15/100</f>
        <v>1.03E-2</v>
      </c>
      <c r="P15" s="2887">
        <f t="shared" ref="P15" si="113">K15/100</f>
        <v>9.1999999999999998E-3</v>
      </c>
      <c r="Q15" s="2887">
        <f t="shared" ref="Q15" si="114">L15/100</f>
        <v>1.29E-2</v>
      </c>
      <c r="R15" s="2902"/>
      <c r="S15" s="2911"/>
      <c r="T15" s="2912"/>
      <c r="U15" s="2912"/>
      <c r="V15" s="2912"/>
      <c r="W15" s="2886"/>
      <c r="X15" s="2886">
        <f>ROUND(SUMPRODUCT(PRODUCT(1+N15:N$34)),4)</f>
        <v>1.5548</v>
      </c>
      <c r="Y15" s="2886">
        <f>ROUND(SUMPRODUCT(PRODUCT(1+O15:O$34)),4)</f>
        <v>1.3686</v>
      </c>
      <c r="Z15" s="2886">
        <f t="shared" si="66"/>
        <v>1.3686</v>
      </c>
      <c r="AA15" s="2886">
        <f>ROUND(SUMPRODUCT(PRODUCT(1+P15:P$34)),4)</f>
        <v>1.6196999999999999</v>
      </c>
      <c r="AB15" s="2886">
        <f>ROUND(SUMPRODUCT(PRODUCT(1+Q15:Q$34)),4)</f>
        <v>1.3435999999999999</v>
      </c>
      <c r="AC15" s="2886"/>
      <c r="AD15" s="2887">
        <f>ROUND(AVERAGE(I15:I$34)/100,4)</f>
        <v>2.24E-2</v>
      </c>
      <c r="AE15" s="2887">
        <f>ROUND(AVERAGE(J15:J$34)/100,4)</f>
        <v>1.5800000000000002E-2</v>
      </c>
      <c r="AF15" s="2887">
        <f t="shared" ref="AF15" si="115">AE15</f>
        <v>1.5800000000000002E-2</v>
      </c>
      <c r="AG15" s="2887">
        <f>ROUND(AVERAGE(K15:K$34)/100,4)</f>
        <v>2.4500000000000001E-2</v>
      </c>
      <c r="AH15" s="2887">
        <f>ROUND(AVERAGE(L15:L$34)/100,4)</f>
        <v>1.49E-2</v>
      </c>
    </row>
    <row r="16" spans="1:34" s="2905" customFormat="1" ht="14.45" customHeight="1">
      <c r="A16" s="2898" t="s">
        <v>2943</v>
      </c>
      <c r="B16" s="2899">
        <f t="shared" si="88"/>
        <v>459.95733971036987</v>
      </c>
      <c r="C16" s="2899">
        <f t="shared" ref="C16" si="116">C17*(1+O16)</f>
        <v>341.22221064422405</v>
      </c>
      <c r="D16" s="2899">
        <f t="shared" ref="D16" si="117">C16</f>
        <v>341.22221064422405</v>
      </c>
      <c r="E16" s="2899">
        <f t="shared" ref="E16" si="118">E17*(1+P16)</f>
        <v>657.19161663724799</v>
      </c>
      <c r="F16" s="2899">
        <f t="shared" ref="F16" si="119">F17*(1+Q16)</f>
        <v>300.87803644464805</v>
      </c>
      <c r="G16" s="3533"/>
      <c r="H16" s="2900">
        <v>3</v>
      </c>
      <c r="I16" s="2900">
        <v>1.51</v>
      </c>
      <c r="J16" s="2900">
        <v>1.41</v>
      </c>
      <c r="K16" s="2900">
        <v>1.52</v>
      </c>
      <c r="L16" s="2906">
        <v>1.74</v>
      </c>
      <c r="M16" s="2886"/>
      <c r="N16" s="2901">
        <f t="shared" ref="N16" si="120">I16/100</f>
        <v>1.5100000000000001E-2</v>
      </c>
      <c r="O16" s="2887">
        <f t="shared" ref="O16" si="121">J16/100</f>
        <v>1.41E-2</v>
      </c>
      <c r="P16" s="2887">
        <f t="shared" ref="P16" si="122">K16/100</f>
        <v>1.52E-2</v>
      </c>
      <c r="Q16" s="2887">
        <f t="shared" ref="Q16" si="123">L16/100</f>
        <v>1.7399999999999999E-2</v>
      </c>
      <c r="R16" s="2902"/>
      <c r="S16" s="2901"/>
      <c r="T16" s="2887"/>
      <c r="U16" s="2887"/>
      <c r="V16" s="2887"/>
      <c r="W16" s="2886"/>
      <c r="X16" s="2886">
        <f>ROUND(SUMPRODUCT(PRODUCT(1+N16:N$34)),4)</f>
        <v>1.54</v>
      </c>
      <c r="Y16" s="2886">
        <f>ROUND(SUMPRODUCT(PRODUCT(1+O16:O$34)),4)</f>
        <v>1.3547</v>
      </c>
      <c r="Z16" s="2886">
        <f t="shared" si="66"/>
        <v>1.3547</v>
      </c>
      <c r="AA16" s="2886">
        <f>ROUND(SUMPRODUCT(PRODUCT(1+P16:P$34)),4)</f>
        <v>1.605</v>
      </c>
      <c r="AB16" s="2886">
        <f>ROUND(SUMPRODUCT(PRODUCT(1+Q16:Q$34)),4)</f>
        <v>1.3265</v>
      </c>
      <c r="AC16" s="2886"/>
      <c r="AD16" s="2887">
        <f>ROUND(AVERAGE(I16:I$34)/100,4)</f>
        <v>2.3099999999999999E-2</v>
      </c>
      <c r="AE16" s="2887">
        <f>ROUND(AVERAGE(J16:J$34)/100,4)</f>
        <v>1.61E-2</v>
      </c>
      <c r="AF16" s="2887">
        <f t="shared" ref="AF16" si="124">AE16</f>
        <v>1.61E-2</v>
      </c>
      <c r="AG16" s="2887">
        <f>ROUND(AVERAGE(K16:K$34)/100,4)</f>
        <v>2.53E-2</v>
      </c>
      <c r="AH16" s="2887">
        <f>ROUND(AVERAGE(L16:L$34)/100,4)</f>
        <v>1.4999999999999999E-2</v>
      </c>
    </row>
    <row r="17" spans="1:34" s="2905" customFormat="1" ht="14.45" customHeight="1">
      <c r="A17" s="2898" t="s">
        <v>2944</v>
      </c>
      <c r="B17" s="2899">
        <f t="shared" si="88"/>
        <v>453.11529869999993</v>
      </c>
      <c r="C17" s="2899">
        <f t="shared" ref="C17" si="125">C18*(1+O17)</f>
        <v>336.47787264000004</v>
      </c>
      <c r="D17" s="2899">
        <f t="shared" ref="D17" si="126">C17</f>
        <v>336.47787264000004</v>
      </c>
      <c r="E17" s="2899">
        <f t="shared" ref="E17" si="127">E18*(1+P17)</f>
        <v>647.35186823999993</v>
      </c>
      <c r="F17" s="2899">
        <f t="shared" ref="F17" si="128">F18*(1+Q17)</f>
        <v>295.73229452000004</v>
      </c>
      <c r="G17" s="3533"/>
      <c r="H17" s="2913">
        <v>2</v>
      </c>
      <c r="I17" s="2913">
        <v>1.49</v>
      </c>
      <c r="J17" s="2913">
        <v>0.96</v>
      </c>
      <c r="K17" s="2913">
        <v>1.58</v>
      </c>
      <c r="L17" s="2914">
        <v>2.44</v>
      </c>
      <c r="M17" s="2886"/>
      <c r="N17" s="2901">
        <f t="shared" ref="N17" si="129">I17/100</f>
        <v>1.49E-2</v>
      </c>
      <c r="O17" s="2887">
        <f t="shared" ref="O17" si="130">J17/100</f>
        <v>9.5999999999999992E-3</v>
      </c>
      <c r="P17" s="2887">
        <f t="shared" ref="P17" si="131">K17/100</f>
        <v>1.5800000000000002E-2</v>
      </c>
      <c r="Q17" s="2887">
        <f t="shared" ref="Q17" si="132">L17/100</f>
        <v>2.4399999999999998E-2</v>
      </c>
      <c r="R17" s="2902"/>
      <c r="S17" s="2901"/>
      <c r="T17" s="2887"/>
      <c r="U17" s="2887"/>
      <c r="V17" s="2887"/>
      <c r="W17" s="2886"/>
      <c r="X17" s="2886">
        <f>ROUND(SUMPRODUCT(PRODUCT(1+N17:N$34)),4)</f>
        <v>1.5170999999999999</v>
      </c>
      <c r="Y17" s="2886">
        <f>ROUND(SUMPRODUCT(PRODUCT(1+O17:O$34)),4)</f>
        <v>1.3358000000000001</v>
      </c>
      <c r="Z17" s="2886">
        <f t="shared" si="66"/>
        <v>1.3358000000000001</v>
      </c>
      <c r="AA17" s="2886">
        <f>ROUND(SUMPRODUCT(PRODUCT(1+P17:P$34)),4)</f>
        <v>1.5809</v>
      </c>
      <c r="AB17" s="2886">
        <f>ROUND(SUMPRODUCT(PRODUCT(1+Q17:Q$34)),4)</f>
        <v>1.3038000000000001</v>
      </c>
      <c r="AC17" s="2886"/>
      <c r="AD17" s="2887">
        <f>ROUND(AVERAGE(I17:I$34)/100,4)</f>
        <v>2.35E-2</v>
      </c>
      <c r="AE17" s="2887">
        <f>ROUND(AVERAGE(J17:J$34)/100,4)</f>
        <v>1.6199999999999999E-2</v>
      </c>
      <c r="AF17" s="2887">
        <f t="shared" ref="AF17" si="133">AE17</f>
        <v>1.6199999999999999E-2</v>
      </c>
      <c r="AG17" s="2887">
        <f>ROUND(AVERAGE(K17:K$34)/100,4)</f>
        <v>2.5899999999999999E-2</v>
      </c>
      <c r="AH17" s="2887">
        <f>ROUND(AVERAGE(L17:L$34)/100,4)</f>
        <v>1.49E-2</v>
      </c>
    </row>
    <row r="18" spans="1:34" s="2905" customFormat="1" ht="15" customHeight="1" thickBot="1">
      <c r="A18" s="2898" t="s">
        <v>2940</v>
      </c>
      <c r="B18" s="2899">
        <f t="shared" si="88"/>
        <v>446.46299999999997</v>
      </c>
      <c r="C18" s="2899">
        <f t="shared" ref="C18" si="134">C19*(1+O18)</f>
        <v>333.27840000000003</v>
      </c>
      <c r="D18" s="2899">
        <f t="shared" ref="D18:D23" si="135">C18</f>
        <v>333.27840000000003</v>
      </c>
      <c r="E18" s="2899">
        <f t="shared" ref="E18" si="136">E19*(1+P18)</f>
        <v>637.28279999999995</v>
      </c>
      <c r="F18" s="2899">
        <f t="shared" ref="F18" si="137">F19*(1+Q18)</f>
        <v>288.68830000000003</v>
      </c>
      <c r="G18" s="3534"/>
      <c r="H18" s="2900">
        <v>1</v>
      </c>
      <c r="I18" s="2900">
        <v>1.7</v>
      </c>
      <c r="J18" s="2900">
        <v>1.92</v>
      </c>
      <c r="K18" s="2900">
        <v>1.64</v>
      </c>
      <c r="L18" s="2906">
        <v>2.0099999999999998</v>
      </c>
      <c r="M18" s="2886"/>
      <c r="N18" s="2901">
        <f t="shared" ref="N18:N23" si="138">I18/100</f>
        <v>1.7000000000000001E-2</v>
      </c>
      <c r="O18" s="2887">
        <f t="shared" ref="O18" si="139">J18/100</f>
        <v>1.9199999999999998E-2</v>
      </c>
      <c r="P18" s="2887">
        <f t="shared" ref="P18" si="140">K18/100</f>
        <v>1.6399999999999998E-2</v>
      </c>
      <c r="Q18" s="2887">
        <f t="shared" ref="Q18" si="141">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ROUND(SUMPRODUCT(PRODUCT(1+N18:N$34)),4)</f>
        <v>1.4947999999999999</v>
      </c>
      <c r="Y18" s="2886">
        <f>ROUND(SUMPRODUCT(PRODUCT(1+O18:O$34)),4)</f>
        <v>1.3230999999999999</v>
      </c>
      <c r="Z18" s="2886">
        <f t="shared" si="66"/>
        <v>1.3230999999999999</v>
      </c>
      <c r="AA18" s="2886">
        <f>ROUND(SUMPRODUCT(PRODUCT(1+P18:P$34)),4)</f>
        <v>1.5564</v>
      </c>
      <c r="AB18" s="2886">
        <f>ROUND(SUMPRODUCT(PRODUCT(1+Q18:Q$34)),4)</f>
        <v>1.2726999999999999</v>
      </c>
      <c r="AC18" s="2886"/>
      <c r="AD18" s="2887">
        <f>ROUND(AVERAGE(I18:I$34)/100,4)</f>
        <v>2.4E-2</v>
      </c>
      <c r="AE18" s="2887">
        <f>ROUND(AVERAGE(J18:J$34)/100,4)</f>
        <v>1.66E-2</v>
      </c>
      <c r="AF18" s="2887">
        <f t="shared" ref="AF18" si="142">AE18</f>
        <v>1.66E-2</v>
      </c>
      <c r="AG18" s="2887">
        <f>ROUND(AVERAGE(K18:K$34)/100,4)</f>
        <v>2.6499999999999999E-2</v>
      </c>
      <c r="AH18" s="2887">
        <f>ROUND(AVERAGE(L18:L$34)/100,4)</f>
        <v>1.43E-2</v>
      </c>
    </row>
    <row r="19" spans="1:34">
      <c r="A19" s="2898" t="s">
        <v>2932</v>
      </c>
      <c r="B19" s="2915">
        <v>439</v>
      </c>
      <c r="C19" s="2915">
        <v>327</v>
      </c>
      <c r="D19" s="2915">
        <f t="shared" si="135"/>
        <v>327</v>
      </c>
      <c r="E19" s="2915">
        <v>627</v>
      </c>
      <c r="F19" s="2916">
        <v>283</v>
      </c>
      <c r="G19" s="3532">
        <v>2017</v>
      </c>
      <c r="H19" s="2907">
        <v>4</v>
      </c>
      <c r="I19" s="2907">
        <v>1.71</v>
      </c>
      <c r="J19" s="2907">
        <v>1.78</v>
      </c>
      <c r="K19" s="2907">
        <v>1.71</v>
      </c>
      <c r="L19" s="2908">
        <v>1.43</v>
      </c>
      <c r="N19" s="2917">
        <f t="shared" si="138"/>
        <v>1.7100000000000001E-2</v>
      </c>
      <c r="O19" s="2918">
        <f t="shared" ref="O19" si="143">J19/100</f>
        <v>1.78E-2</v>
      </c>
      <c r="P19" s="2918">
        <f t="shared" ref="P19" si="144">K19/100</f>
        <v>1.7100000000000001E-2</v>
      </c>
      <c r="Q19" s="2918">
        <f t="shared" ref="Q19" si="145">L19/100</f>
        <v>1.43E-2</v>
      </c>
      <c r="R19" s="2902"/>
      <c r="S19" s="2911"/>
      <c r="T19" s="2912"/>
      <c r="U19" s="2912"/>
      <c r="V19" s="2912"/>
      <c r="X19" s="2886">
        <f>ROUND(SUMPRODUCT(PRODUCT(1+N19:N$34)),4)</f>
        <v>1.4698</v>
      </c>
      <c r="Y19" s="2886">
        <f>ROUND(SUMPRODUCT(PRODUCT(1+O19:O$34)),4)</f>
        <v>1.2982</v>
      </c>
      <c r="Z19" s="2886">
        <f t="shared" si="66"/>
        <v>1.2982</v>
      </c>
      <c r="AA19" s="2886">
        <f>ROUND(SUMPRODUCT(PRODUCT(1+P19:P$34)),4)</f>
        <v>1.5311999999999999</v>
      </c>
      <c r="AB19" s="2886">
        <f>ROUND(SUMPRODUCT(PRODUCT(1+Q19:Q$34)),4)</f>
        <v>1.2476</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45" customHeight="1">
      <c r="A20" s="2898" t="s">
        <v>2935</v>
      </c>
      <c r="B20" s="2899">
        <f t="shared" ref="B20:C22" si="146">B21*(1+N20)</f>
        <v>431.80730811680002</v>
      </c>
      <c r="C20" s="2899">
        <f t="shared" si="146"/>
        <v>320.57880516480003</v>
      </c>
      <c r="D20" s="2899">
        <f t="shared" si="135"/>
        <v>320.57880516480003</v>
      </c>
      <c r="E20" s="2899">
        <f t="shared" ref="E20:F22" si="147">E21*(1+P20)</f>
        <v>615.96110553196797</v>
      </c>
      <c r="F20" s="2899">
        <f t="shared" si="147"/>
        <v>279.46777300108801</v>
      </c>
      <c r="G20" s="3533"/>
      <c r="H20" s="2900">
        <v>3</v>
      </c>
      <c r="I20" s="2900">
        <v>2.98</v>
      </c>
      <c r="J20" s="2900">
        <v>2.11</v>
      </c>
      <c r="K20" s="2900">
        <v>3.24</v>
      </c>
      <c r="L20" s="2906">
        <v>1.72</v>
      </c>
      <c r="M20" s="2886"/>
      <c r="N20" s="2901">
        <f t="shared" si="138"/>
        <v>2.98E-2</v>
      </c>
      <c r="O20" s="2919">
        <f t="shared" ref="O20:O21" si="148">J20/100</f>
        <v>2.1099999999999997E-2</v>
      </c>
      <c r="P20" s="2919">
        <f t="shared" ref="P20:P21" si="149">K20/100</f>
        <v>3.2400000000000005E-2</v>
      </c>
      <c r="Q20" s="2919">
        <f t="shared" ref="Q20:Q21" si="150">L20/100</f>
        <v>1.72E-2</v>
      </c>
      <c r="R20" s="2902"/>
      <c r="S20" s="2901"/>
      <c r="T20" s="2887"/>
      <c r="U20" s="2887"/>
      <c r="V20" s="2887"/>
      <c r="W20" s="2886"/>
      <c r="X20" s="2886">
        <f>ROUND(SUMPRODUCT(PRODUCT(1+N20:N$34)),4)</f>
        <v>1.4451000000000001</v>
      </c>
      <c r="Y20" s="2886">
        <f>ROUND(SUMPRODUCT(PRODUCT(1+O20:O$34)),4)</f>
        <v>1.2755000000000001</v>
      </c>
      <c r="Z20" s="2886">
        <f t="shared" si="66"/>
        <v>1.2755000000000001</v>
      </c>
      <c r="AA20" s="2886">
        <f>ROUND(SUMPRODUCT(PRODUCT(1+P20:P$34)),4)</f>
        <v>1.5055000000000001</v>
      </c>
      <c r="AB20" s="2886">
        <f>ROUND(SUMPRODUCT(PRODUCT(1+Q20:Q$34)),4)</f>
        <v>1.2301</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45" customHeight="1">
      <c r="A21" s="2898" t="s">
        <v>2561</v>
      </c>
      <c r="B21" s="2899">
        <f t="shared" si="146"/>
        <v>419.31181600000002</v>
      </c>
      <c r="C21" s="2899">
        <f t="shared" si="146"/>
        <v>313.95436800000004</v>
      </c>
      <c r="D21" s="2899">
        <f t="shared" si="135"/>
        <v>313.95436800000004</v>
      </c>
      <c r="E21" s="2899">
        <f t="shared" si="147"/>
        <v>596.63028431999999</v>
      </c>
      <c r="F21" s="2899">
        <f t="shared" si="147"/>
        <v>274.74220703999998</v>
      </c>
      <c r="G21" s="3533"/>
      <c r="H21" s="2913">
        <v>2</v>
      </c>
      <c r="I21" s="2913">
        <v>3.4</v>
      </c>
      <c r="J21" s="2913">
        <v>2</v>
      </c>
      <c r="K21" s="2913">
        <v>3.82</v>
      </c>
      <c r="L21" s="2914">
        <v>1.68</v>
      </c>
      <c r="N21" s="2901">
        <f t="shared" si="138"/>
        <v>3.4000000000000002E-2</v>
      </c>
      <c r="O21" s="2919">
        <f t="shared" si="148"/>
        <v>0.02</v>
      </c>
      <c r="P21" s="2919">
        <f t="shared" si="149"/>
        <v>3.8199999999999998E-2</v>
      </c>
      <c r="Q21" s="2919">
        <f t="shared" si="150"/>
        <v>1.6799999999999999E-2</v>
      </c>
      <c r="S21" s="2901"/>
      <c r="T21" s="2887"/>
      <c r="U21" s="2887"/>
      <c r="V21" s="2887"/>
      <c r="X21" s="2886">
        <f>ROUND(SUMPRODUCT(PRODUCT(1+N21:N$34)),4)</f>
        <v>1.4033</v>
      </c>
      <c r="Y21" s="2886">
        <f>ROUND(SUMPRODUCT(PRODUCT(1+O21:O$34)),4)</f>
        <v>1.2491000000000001</v>
      </c>
      <c r="Z21" s="2886">
        <f t="shared" si="66"/>
        <v>1.2491000000000001</v>
      </c>
      <c r="AA21" s="2886">
        <f>ROUND(SUMPRODUCT(PRODUCT(1+P21:P$34)),4)</f>
        <v>1.4581999999999999</v>
      </c>
      <c r="AB21" s="2886">
        <f>ROUND(SUMPRODUCT(PRODUCT(1+Q21:Q$34)),4)</f>
        <v>1.2093</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2562</v>
      </c>
      <c r="B22" s="2899">
        <f t="shared" si="146"/>
        <v>405.524</v>
      </c>
      <c r="C22" s="2899">
        <f t="shared" si="146"/>
        <v>307.79840000000002</v>
      </c>
      <c r="D22" s="2899">
        <f t="shared" si="135"/>
        <v>307.79840000000002</v>
      </c>
      <c r="E22" s="2899">
        <f t="shared" si="147"/>
        <v>574.67759999999998</v>
      </c>
      <c r="F22" s="2899">
        <f t="shared" si="147"/>
        <v>270.20280000000002</v>
      </c>
      <c r="G22" s="3534"/>
      <c r="H22" s="2900">
        <v>1</v>
      </c>
      <c r="I22" s="2900">
        <v>3.45</v>
      </c>
      <c r="J22" s="2900">
        <v>1.92</v>
      </c>
      <c r="K22" s="2900">
        <v>3.92</v>
      </c>
      <c r="L22" s="2906">
        <v>1.58</v>
      </c>
      <c r="M22" s="2886"/>
      <c r="N22" s="2903">
        <f t="shared" si="138"/>
        <v>3.4500000000000003E-2</v>
      </c>
      <c r="O22" s="2904">
        <f t="shared" ref="O22" si="151">J22/100</f>
        <v>1.9199999999999998E-2</v>
      </c>
      <c r="P22" s="2904">
        <f t="shared" ref="P22" si="152">K22/100</f>
        <v>3.9199999999999999E-2</v>
      </c>
      <c r="Q22" s="2904">
        <f t="shared" ref="Q22" si="153">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ROUND(SUMPRODUCT(PRODUCT(1+N22:N$34)),4)</f>
        <v>1.3571</v>
      </c>
      <c r="Y22" s="2886">
        <f>ROUND(SUMPRODUCT(PRODUCT(1+O22:O$34)),4)</f>
        <v>1.2245999999999999</v>
      </c>
      <c r="Z22" s="2886">
        <f t="shared" si="66"/>
        <v>1.2245999999999999</v>
      </c>
      <c r="AA22" s="2886">
        <f>ROUND(SUMPRODUCT(PRODUCT(1+P22:P$34)),4)</f>
        <v>1.4046000000000001</v>
      </c>
      <c r="AB22" s="2886">
        <f>ROUND(SUMPRODUCT(PRODUCT(1+Q22:Q$34)),4)</f>
        <v>1.1893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c r="A23" s="2898" t="s">
        <v>961</v>
      </c>
      <c r="B23" s="2920">
        <v>392</v>
      </c>
      <c r="C23" s="2920">
        <v>302</v>
      </c>
      <c r="D23" s="2920">
        <f t="shared" si="135"/>
        <v>302</v>
      </c>
      <c r="E23" s="2920">
        <v>553</v>
      </c>
      <c r="F23" s="2921">
        <v>266</v>
      </c>
      <c r="G23" s="3532">
        <v>2016</v>
      </c>
      <c r="H23" s="2907">
        <v>4</v>
      </c>
      <c r="I23" s="2907">
        <v>4.5599999999999996</v>
      </c>
      <c r="J23" s="2907">
        <v>2.15</v>
      </c>
      <c r="K23" s="2907">
        <v>5.32</v>
      </c>
      <c r="L23" s="2908">
        <v>1.57</v>
      </c>
      <c r="N23" s="2901">
        <f t="shared" si="138"/>
        <v>4.5599999999999995E-2</v>
      </c>
      <c r="O23" s="2887">
        <f t="shared" ref="O23:Q38" si="154">J23/100</f>
        <v>2.1499999999999998E-2</v>
      </c>
      <c r="P23" s="2887">
        <f t="shared" si="154"/>
        <v>5.3200000000000004E-2</v>
      </c>
      <c r="Q23" s="2887">
        <f t="shared" si="154"/>
        <v>1.5700000000000002E-2</v>
      </c>
      <c r="R23" s="2902"/>
      <c r="S23" s="2911"/>
      <c r="T23" s="2912"/>
      <c r="U23" s="2912"/>
      <c r="V23" s="2912"/>
      <c r="X23" s="2886">
        <f>ROUND(SUMPRODUCT(PRODUCT(1+N23:N$34)),4)</f>
        <v>1.3119000000000001</v>
      </c>
      <c r="Y23" s="2886">
        <f>ROUND(SUMPRODUCT(PRODUCT(1+O23:O$34)),4)</f>
        <v>1.2016</v>
      </c>
      <c r="Z23" s="2886">
        <f t="shared" si="66"/>
        <v>1.2016</v>
      </c>
      <c r="AA23" s="2886">
        <f>ROUND(SUMPRODUCT(PRODUCT(1+P23:P$34)),4)</f>
        <v>1.3515999999999999</v>
      </c>
      <c r="AB23" s="2886">
        <f>ROUND(SUMPRODUCT(PRODUCT(1+Q23:Q$34)),4)</f>
        <v>1.1708000000000001</v>
      </c>
      <c r="AD23" s="2887">
        <f>ROUND(AVERAGE(I23:I$34)/100,4)</f>
        <v>2.3E-2</v>
      </c>
      <c r="AE23" s="2887">
        <f>ROUND(AVERAGE(J23:J$34)/100,4)</f>
        <v>1.55E-2</v>
      </c>
      <c r="AF23" s="2887">
        <f t="shared" si="1"/>
        <v>1.55E-2</v>
      </c>
      <c r="AG23" s="2887">
        <f>ROUND(AVERAGE(K23:K$34)/100,4)</f>
        <v>2.5600000000000001E-2</v>
      </c>
      <c r="AH23" s="2887">
        <f>ROUND(AVERAGE(L23:L$34)/100,4)</f>
        <v>1.32E-2</v>
      </c>
    </row>
    <row r="24" spans="1:34">
      <c r="A24" s="2898" t="s">
        <v>960</v>
      </c>
      <c r="B24" s="2899">
        <f t="shared" ref="B24:C26" si="155">B23/(1+N23)</f>
        <v>374.90436113236416</v>
      </c>
      <c r="C24" s="2899">
        <f t="shared" si="155"/>
        <v>295.64366128242779</v>
      </c>
      <c r="D24" s="2899">
        <f t="shared" ref="D24:D83" si="156">C24</f>
        <v>295.64366128242779</v>
      </c>
      <c r="E24" s="2899">
        <f t="shared" ref="E24:F26" si="157">E23/(1+P23)</f>
        <v>525.06646410938095</v>
      </c>
      <c r="F24" s="2899">
        <f t="shared" si="157"/>
        <v>261.88835286009646</v>
      </c>
      <c r="G24" s="3533"/>
      <c r="H24" s="2900">
        <v>3</v>
      </c>
      <c r="I24" s="2900">
        <v>4.12</v>
      </c>
      <c r="J24" s="2900">
        <v>2</v>
      </c>
      <c r="K24" s="2900">
        <v>4.79</v>
      </c>
      <c r="L24" s="2906">
        <v>1.97</v>
      </c>
      <c r="N24" s="2901">
        <f t="shared" ref="N24:Q58" si="158">I24/100</f>
        <v>4.1200000000000001E-2</v>
      </c>
      <c r="O24" s="2887">
        <f t="shared" si="154"/>
        <v>0.02</v>
      </c>
      <c r="P24" s="2887">
        <f t="shared" si="154"/>
        <v>4.7899999999999998E-2</v>
      </c>
      <c r="Q24" s="2887">
        <f t="shared" si="154"/>
        <v>1.9699999999999999E-2</v>
      </c>
      <c r="R24" s="2902"/>
      <c r="S24" s="2901"/>
      <c r="T24" s="2887"/>
      <c r="U24" s="2887"/>
      <c r="V24" s="2887"/>
      <c r="X24" s="2886">
        <f>ROUND(SUMPRODUCT(PRODUCT(1+N24:N$34)),4)</f>
        <v>1.2546999999999999</v>
      </c>
      <c r="Y24" s="2886">
        <f>ROUND(SUMPRODUCT(PRODUCT(1+O24:O$34)),4)</f>
        <v>1.1762999999999999</v>
      </c>
      <c r="Z24" s="2886">
        <f t="shared" si="66"/>
        <v>1.1762999999999999</v>
      </c>
      <c r="AA24" s="2886">
        <f>ROUND(SUMPRODUCT(PRODUCT(1+P24:P$34)),4)</f>
        <v>1.2833000000000001</v>
      </c>
      <c r="AB24" s="2886">
        <f>ROUND(SUMPRODUCT(PRODUCT(1+Q24:Q$34)),4)</f>
        <v>1.1527000000000001</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c r="A25" s="2898" t="s">
        <v>950</v>
      </c>
      <c r="B25" s="2899">
        <f t="shared" si="155"/>
        <v>360.06949782209392</v>
      </c>
      <c r="C25" s="2899">
        <f t="shared" si="155"/>
        <v>289.84672674747821</v>
      </c>
      <c r="D25" s="2899">
        <f t="shared" si="156"/>
        <v>289.84672674747821</v>
      </c>
      <c r="E25" s="2899">
        <f t="shared" si="157"/>
        <v>501.06543001181495</v>
      </c>
      <c r="F25" s="2899">
        <f t="shared" si="157"/>
        <v>256.82882500744967</v>
      </c>
      <c r="G25" s="3533"/>
      <c r="H25" s="2913">
        <v>2</v>
      </c>
      <c r="I25" s="2913">
        <v>3.85</v>
      </c>
      <c r="J25" s="2913">
        <v>1.95</v>
      </c>
      <c r="K25" s="2913">
        <v>4.4800000000000004</v>
      </c>
      <c r="L25" s="2914">
        <v>1.41</v>
      </c>
      <c r="N25" s="2901">
        <f t="shared" si="158"/>
        <v>3.85E-2</v>
      </c>
      <c r="O25" s="2887">
        <f t="shared" si="154"/>
        <v>1.95E-2</v>
      </c>
      <c r="P25" s="2887">
        <f t="shared" si="154"/>
        <v>4.4800000000000006E-2</v>
      </c>
      <c r="Q25" s="2887">
        <f t="shared" si="154"/>
        <v>1.41E-2</v>
      </c>
      <c r="R25" s="2902"/>
      <c r="S25" s="2901"/>
      <c r="T25" s="2887"/>
      <c r="U25" s="2887"/>
      <c r="V25" s="2887"/>
      <c r="X25" s="2886">
        <f>ROUND(SUMPRODUCT(PRODUCT(1+N25:N$34)),4)</f>
        <v>1.2050000000000001</v>
      </c>
      <c r="Y25" s="2886">
        <f>ROUND(SUMPRODUCT(PRODUCT(1+O25:O$34)),4)</f>
        <v>1.1532</v>
      </c>
      <c r="Z25" s="2886">
        <f t="shared" si="66"/>
        <v>1.1532</v>
      </c>
      <c r="AA25" s="2886">
        <f>ROUND(SUMPRODUCT(PRODUCT(1+P25:P$34)),4)</f>
        <v>1.2246999999999999</v>
      </c>
      <c r="AB25" s="2886">
        <f>ROUND(SUMPRODUCT(PRODUCT(1+Q25:Q$34)),4)</f>
        <v>1.1304000000000001</v>
      </c>
      <c r="AD25" s="2887">
        <f>ROUND(AVERAGE(I25:I$34)/100,4)</f>
        <v>1.89E-2</v>
      </c>
      <c r="AE25" s="2887">
        <f>ROUND(AVERAGE(J25:J$34)/100,4)</f>
        <v>1.44E-2</v>
      </c>
      <c r="AF25" s="2887">
        <f t="shared" si="1"/>
        <v>1.44E-2</v>
      </c>
      <c r="AG25" s="2887">
        <f>ROUND(AVERAGE(K25:K$34)/100,4)</f>
        <v>2.06E-2</v>
      </c>
      <c r="AH25" s="2887">
        <f>ROUND(AVERAGE(L25:L$34)/100,4)</f>
        <v>1.23E-2</v>
      </c>
    </row>
    <row r="26" spans="1:34" ht="13.5" thickBot="1">
      <c r="A26" s="2898" t="s">
        <v>959</v>
      </c>
      <c r="B26" s="2899">
        <f t="shared" si="155"/>
        <v>346.720748986128</v>
      </c>
      <c r="C26" s="2899">
        <f t="shared" si="155"/>
        <v>284.30282172386285</v>
      </c>
      <c r="D26" s="2899">
        <f t="shared" si="156"/>
        <v>284.30282172386285</v>
      </c>
      <c r="E26" s="2899">
        <f t="shared" si="157"/>
        <v>479.58023546306947</v>
      </c>
      <c r="F26" s="2899">
        <f t="shared" si="157"/>
        <v>253.25788877571213</v>
      </c>
      <c r="G26" s="3536"/>
      <c r="H26" s="2900">
        <v>1</v>
      </c>
      <c r="I26" s="2900">
        <v>4.09</v>
      </c>
      <c r="J26" s="2900">
        <v>2.93</v>
      </c>
      <c r="K26" s="2900">
        <v>4.54</v>
      </c>
      <c r="L26" s="2906">
        <v>1.48</v>
      </c>
      <c r="N26" s="2901">
        <f t="shared" si="158"/>
        <v>4.0899999999999999E-2</v>
      </c>
      <c r="O26" s="2887">
        <f t="shared" si="154"/>
        <v>2.9300000000000003E-2</v>
      </c>
      <c r="P26" s="2887">
        <f t="shared" si="154"/>
        <v>4.5400000000000003E-2</v>
      </c>
      <c r="Q26" s="2887">
        <f t="shared" si="154"/>
        <v>1.4800000000000001E-2</v>
      </c>
      <c r="R26" s="2902"/>
      <c r="S26" s="2903">
        <f>B26/B27-1</f>
        <v>4.1203450408792808E-2</v>
      </c>
      <c r="T26" s="2904">
        <f>C26/C27-1</f>
        <v>2.6363977342465095E-2</v>
      </c>
      <c r="U26" s="2904">
        <f>E26/E27-1</f>
        <v>4.4837114298626357E-2</v>
      </c>
      <c r="V26" s="2904">
        <f>F26/F27-1</f>
        <v>1.7099954922538574E-2</v>
      </c>
      <c r="X26" s="2886">
        <f>ROUND(SUMPRODUCT(PRODUCT(1+N26:N$34)),4)</f>
        <v>1.1604000000000001</v>
      </c>
      <c r="Y26" s="2886">
        <f>ROUND(SUMPRODUCT(PRODUCT(1+O26:O$34)),4)</f>
        <v>1.1312</v>
      </c>
      <c r="Z26" s="2886">
        <f t="shared" si="66"/>
        <v>1.1312</v>
      </c>
      <c r="AA26" s="2886">
        <f>ROUND(SUMPRODUCT(PRODUCT(1+P26:P$34)),4)</f>
        <v>1.1721999999999999</v>
      </c>
      <c r="AB26" s="2886">
        <f>ROUND(SUMPRODUCT(PRODUCT(1+Q26:Q$34)),4)</f>
        <v>1.1147</v>
      </c>
      <c r="AD26" s="2887">
        <f>ROUND(AVERAGE(I26:I$34)/100,4)</f>
        <v>1.67E-2</v>
      </c>
      <c r="AE26" s="2887">
        <f>ROUND(AVERAGE(J26:J$34)/100,4)</f>
        <v>1.38E-2</v>
      </c>
      <c r="AF26" s="2887">
        <f t="shared" si="1"/>
        <v>1.38E-2</v>
      </c>
      <c r="AG26" s="2887">
        <f>ROUND(AVERAGE(K26:K$34)/100,4)</f>
        <v>1.7899999999999999E-2</v>
      </c>
      <c r="AH26" s="2887">
        <f>ROUND(AVERAGE(L26:L$34)/100,4)</f>
        <v>1.21E-2</v>
      </c>
    </row>
    <row r="27" spans="1:34" ht="13.5" thickBot="1">
      <c r="A27" s="2898" t="s">
        <v>958</v>
      </c>
      <c r="B27" s="2920">
        <v>333</v>
      </c>
      <c r="C27" s="2920">
        <v>277</v>
      </c>
      <c r="D27" s="2920">
        <f t="shared" si="156"/>
        <v>277</v>
      </c>
      <c r="E27" s="2920">
        <v>459</v>
      </c>
      <c r="F27" s="2921">
        <v>249</v>
      </c>
      <c r="G27" s="3535">
        <v>2015</v>
      </c>
      <c r="H27" s="2922">
        <v>4</v>
      </c>
      <c r="I27" s="2922">
        <v>1.63</v>
      </c>
      <c r="J27" s="2922">
        <v>1.1100000000000001</v>
      </c>
      <c r="K27" s="2922">
        <v>1.77</v>
      </c>
      <c r="L27" s="2923">
        <v>1.89</v>
      </c>
      <c r="N27" s="2917">
        <f t="shared" si="158"/>
        <v>1.6299999999999999E-2</v>
      </c>
      <c r="O27" s="2918">
        <f t="shared" si="154"/>
        <v>1.11E-2</v>
      </c>
      <c r="P27" s="2918">
        <f t="shared" si="154"/>
        <v>1.77E-2</v>
      </c>
      <c r="Q27" s="2918">
        <f t="shared" si="154"/>
        <v>1.89E-2</v>
      </c>
      <c r="R27" s="2902"/>
      <c r="X27" s="2886">
        <f>ROUND(SUMPRODUCT(PRODUCT(1+N27:N$34)),4)</f>
        <v>1.1148</v>
      </c>
      <c r="Y27" s="2886">
        <f>ROUND(SUMPRODUCT(PRODUCT(1+O27:O$34)),4)</f>
        <v>1.099</v>
      </c>
      <c r="Z27" s="2886">
        <f t="shared" si="66"/>
        <v>1.099</v>
      </c>
      <c r="AA27" s="2886">
        <f>ROUND(SUMPRODUCT(PRODUCT(1+P27:P$34)),4)</f>
        <v>1.1213</v>
      </c>
      <c r="AB27" s="2886">
        <f>ROUND(SUMPRODUCT(PRODUCT(1+Q27:Q$34)),4)</f>
        <v>1.0984</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c r="A28" s="2898" t="s">
        <v>957</v>
      </c>
      <c r="B28" s="2899">
        <f t="shared" ref="B28:C30" si="159">B27/(1+N27)</f>
        <v>327.65915576109415</v>
      </c>
      <c r="C28" s="2899">
        <f t="shared" si="159"/>
        <v>273.95905449510434</v>
      </c>
      <c r="D28" s="2899">
        <f t="shared" si="156"/>
        <v>273.95905449510434</v>
      </c>
      <c r="E28" s="2899">
        <f t="shared" ref="E28:F30" si="160">E27/(1+P27)</f>
        <v>451.01699911565294</v>
      </c>
      <c r="F28" s="2899">
        <f t="shared" si="160"/>
        <v>244.38119540681129</v>
      </c>
      <c r="G28" s="3533"/>
      <c r="H28" s="2925">
        <v>3</v>
      </c>
      <c r="I28" s="2925">
        <v>1.65</v>
      </c>
      <c r="J28" s="2925">
        <v>0.92</v>
      </c>
      <c r="K28" s="2925">
        <v>1.88</v>
      </c>
      <c r="L28" s="2926">
        <v>1.26</v>
      </c>
      <c r="N28" s="2901">
        <f t="shared" si="158"/>
        <v>1.6500000000000001E-2</v>
      </c>
      <c r="O28" s="2919">
        <f t="shared" si="154"/>
        <v>9.1999999999999998E-3</v>
      </c>
      <c r="P28" s="2919">
        <f t="shared" si="154"/>
        <v>1.8799999999999997E-2</v>
      </c>
      <c r="Q28" s="2919">
        <f t="shared" si="154"/>
        <v>1.26E-2</v>
      </c>
      <c r="R28" s="2902"/>
      <c r="S28" s="2901"/>
      <c r="T28" s="2887"/>
      <c r="U28" s="2887"/>
      <c r="V28" s="2887"/>
      <c r="X28" s="2886">
        <f>ROUND(SUMPRODUCT(PRODUCT(1+N28:N$34)),4)</f>
        <v>1.0969</v>
      </c>
      <c r="Y28" s="2886">
        <f>ROUND(SUMPRODUCT(PRODUCT(1+O28:O$34)),4)</f>
        <v>1.0869</v>
      </c>
      <c r="Z28" s="2886">
        <f t="shared" si="66"/>
        <v>1.0869</v>
      </c>
      <c r="AA28" s="2886">
        <f>ROUND(SUMPRODUCT(PRODUCT(1+P28:P$34)),4)</f>
        <v>1.1017999999999999</v>
      </c>
      <c r="AB28" s="2886">
        <f>ROUND(SUMPRODUCT(PRODUCT(1+Q28:Q$34)),4)</f>
        <v>1.0781000000000001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c r="A29" s="2898" t="s">
        <v>956</v>
      </c>
      <c r="B29" s="2899">
        <f t="shared" si="159"/>
        <v>322.34053690220776</v>
      </c>
      <c r="C29" s="2899">
        <f t="shared" si="159"/>
        <v>271.46160770422546</v>
      </c>
      <c r="D29" s="2899">
        <f t="shared" si="156"/>
        <v>271.46160770422546</v>
      </c>
      <c r="E29" s="2899">
        <f t="shared" si="160"/>
        <v>442.69434542172456</v>
      </c>
      <c r="F29" s="2899">
        <f t="shared" si="160"/>
        <v>241.34030753190925</v>
      </c>
      <c r="G29" s="3533"/>
      <c r="H29" s="2913">
        <v>2</v>
      </c>
      <c r="I29" s="2913">
        <v>0.77</v>
      </c>
      <c r="J29" s="2913">
        <v>0.69</v>
      </c>
      <c r="K29" s="2913">
        <v>0.8</v>
      </c>
      <c r="L29" s="2914">
        <v>0.88</v>
      </c>
      <c r="N29" s="2901">
        <f t="shared" si="158"/>
        <v>7.7000000000000002E-3</v>
      </c>
      <c r="O29" s="2919">
        <f t="shared" si="154"/>
        <v>6.8999999999999999E-3</v>
      </c>
      <c r="P29" s="2919">
        <f t="shared" si="154"/>
        <v>8.0000000000000002E-3</v>
      </c>
      <c r="Q29" s="2919">
        <f t="shared" si="154"/>
        <v>8.8000000000000005E-3</v>
      </c>
      <c r="R29" s="2902"/>
      <c r="S29" s="2901"/>
      <c r="T29" s="2887"/>
      <c r="U29" s="2887"/>
      <c r="V29" s="2887"/>
      <c r="X29" s="2886">
        <f>ROUND(SUMPRODUCT(PRODUCT(1+N29:N$34)),4)</f>
        <v>1.0790999999999999</v>
      </c>
      <c r="Y29" s="2886">
        <f>ROUND(SUMPRODUCT(PRODUCT(1+O29:O$34)),4)</f>
        <v>1.077</v>
      </c>
      <c r="Z29" s="2886">
        <f t="shared" si="66"/>
        <v>1.077</v>
      </c>
      <c r="AA29" s="2886">
        <f>ROUND(SUMPRODUCT(PRODUCT(1+P29:P$34)),4)</f>
        <v>1.0813999999999999</v>
      </c>
      <c r="AB29" s="2886">
        <f>ROUND(SUMPRODUCT(PRODUCT(1+Q29:Q$34)),4)</f>
        <v>1.0647</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c r="A30" s="2898" t="s">
        <v>955</v>
      </c>
      <c r="B30" s="2899">
        <f t="shared" si="159"/>
        <v>319.87748030386797</v>
      </c>
      <c r="C30" s="2899">
        <f t="shared" si="159"/>
        <v>269.60135833173649</v>
      </c>
      <c r="D30" s="2899">
        <f t="shared" si="156"/>
        <v>269.60135833173649</v>
      </c>
      <c r="E30" s="2899">
        <f t="shared" si="160"/>
        <v>439.18089823583784</v>
      </c>
      <c r="F30" s="2899">
        <f t="shared" si="160"/>
        <v>239.23503918706311</v>
      </c>
      <c r="G30" s="3536"/>
      <c r="H30" s="2900">
        <v>1</v>
      </c>
      <c r="I30" s="2900">
        <v>0.51</v>
      </c>
      <c r="J30" s="2900">
        <v>0.54</v>
      </c>
      <c r="K30" s="2900">
        <v>0.48</v>
      </c>
      <c r="L30" s="2906">
        <v>0.93</v>
      </c>
      <c r="N30" s="2903">
        <f t="shared" si="158"/>
        <v>5.1000000000000004E-3</v>
      </c>
      <c r="O30" s="2904">
        <f t="shared" si="154"/>
        <v>5.4000000000000003E-3</v>
      </c>
      <c r="P30" s="2904">
        <f t="shared" si="154"/>
        <v>4.7999999999999996E-3</v>
      </c>
      <c r="Q30" s="2904">
        <f t="shared" si="154"/>
        <v>9.300000000000001E-3</v>
      </c>
      <c r="R30" s="2902"/>
      <c r="S30" s="2903">
        <f>B30/B31-1</f>
        <v>5.9040261127922822E-3</v>
      </c>
      <c r="T30" s="2904">
        <f>C30/C31-1</f>
        <v>5.9752176557332781E-3</v>
      </c>
      <c r="U30" s="2904">
        <f>E30/E31-1</f>
        <v>4.9906138119859556E-3</v>
      </c>
      <c r="V30" s="2904">
        <f>F30/F31-1</f>
        <v>9.4305450930933787E-3</v>
      </c>
      <c r="X30" s="2886">
        <f>ROUND(SUMPRODUCT(PRODUCT(1+N30:N$34)),4)</f>
        <v>1.0708</v>
      </c>
      <c r="Y30" s="2886">
        <f>ROUND(SUMPRODUCT(PRODUCT(1+O30:O$34)),4)</f>
        <v>1.0696000000000001</v>
      </c>
      <c r="Z30" s="2886">
        <f t="shared" si="66"/>
        <v>1.0696000000000001</v>
      </c>
      <c r="AA30" s="2886">
        <f>ROUND(SUMPRODUCT(PRODUCT(1+P30:P$34)),4)</f>
        <v>1.0728</v>
      </c>
      <c r="AB30" s="2886">
        <f>ROUND(SUMPRODUCT(PRODUCT(1+Q30:Q$34)),4)</f>
        <v>1.0553999999999999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3.5" thickBot="1">
      <c r="A31" s="2898" t="s">
        <v>954</v>
      </c>
      <c r="B31" s="2927">
        <v>318</v>
      </c>
      <c r="C31" s="2927">
        <v>268</v>
      </c>
      <c r="D31" s="2927">
        <f t="shared" si="156"/>
        <v>268</v>
      </c>
      <c r="E31" s="2927">
        <v>437</v>
      </c>
      <c r="F31" s="2928">
        <v>237</v>
      </c>
      <c r="G31" s="3535">
        <v>2014</v>
      </c>
      <c r="H31" s="2922">
        <v>4</v>
      </c>
      <c r="I31" s="2922">
        <v>0.21</v>
      </c>
      <c r="J31" s="2922">
        <v>0.41</v>
      </c>
      <c r="K31" s="2922">
        <v>0.12</v>
      </c>
      <c r="L31" s="2923">
        <v>0.89</v>
      </c>
      <c r="N31" s="2901">
        <f t="shared" si="158"/>
        <v>2.0999999999999999E-3</v>
      </c>
      <c r="O31" s="2887">
        <f t="shared" si="154"/>
        <v>4.0999999999999995E-3</v>
      </c>
      <c r="P31" s="2887">
        <f t="shared" si="154"/>
        <v>1.1999999999999999E-3</v>
      </c>
      <c r="Q31" s="2887">
        <f t="shared" si="154"/>
        <v>8.8999999999999999E-3</v>
      </c>
      <c r="R31" s="2902"/>
      <c r="S31" s="2911"/>
      <c r="T31" s="2912"/>
      <c r="U31" s="2912"/>
      <c r="V31" s="2912"/>
      <c r="X31" s="2886">
        <f>ROUND(SUMPRODUCT(PRODUCT(1+N31:N$34)),4)</f>
        <v>1.0653999999999999</v>
      </c>
      <c r="Y31" s="2886">
        <f>ROUND(SUMPRODUCT(PRODUCT(1+O31:O$34)),4)</f>
        <v>1.0639000000000001</v>
      </c>
      <c r="Z31" s="2886">
        <f t="shared" si="66"/>
        <v>1.0639000000000001</v>
      </c>
      <c r="AA31" s="2886">
        <f>ROUND(SUMPRODUCT(PRODUCT(1+P31:P$34)),4)</f>
        <v>1.0677000000000001</v>
      </c>
      <c r="AB31" s="2886">
        <f>ROUND(SUMPRODUCT(PRODUCT(1+Q31:Q$34)),4)</f>
        <v>1.0456000000000001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c r="A32" s="2898" t="s">
        <v>953</v>
      </c>
      <c r="B32" s="2899">
        <f t="shared" ref="B32:C34" si="161">B31/(1+N31)</f>
        <v>317.33359944117353</v>
      </c>
      <c r="C32" s="2899">
        <f t="shared" si="161"/>
        <v>266.90568668459315</v>
      </c>
      <c r="D32" s="2899">
        <f t="shared" si="156"/>
        <v>266.90568668459315</v>
      </c>
      <c r="E32" s="2899">
        <f t="shared" ref="E32:F34" si="162">E31/(1+P31)</f>
        <v>436.47622852576905</v>
      </c>
      <c r="F32" s="2899">
        <f t="shared" si="162"/>
        <v>234.90930716622066</v>
      </c>
      <c r="G32" s="3533"/>
      <c r="H32" s="2929">
        <v>3</v>
      </c>
      <c r="I32" s="2929">
        <v>0.83</v>
      </c>
      <c r="J32" s="2929">
        <v>1.47</v>
      </c>
      <c r="K32" s="2929">
        <v>0.65</v>
      </c>
      <c r="L32" s="2930">
        <v>0.72</v>
      </c>
      <c r="N32" s="2901">
        <f t="shared" si="158"/>
        <v>8.3000000000000001E-3</v>
      </c>
      <c r="O32" s="2887">
        <f t="shared" si="154"/>
        <v>1.47E-2</v>
      </c>
      <c r="P32" s="2887">
        <f t="shared" si="154"/>
        <v>6.5000000000000006E-3</v>
      </c>
      <c r="Q32" s="2887">
        <f t="shared" si="154"/>
        <v>7.1999999999999998E-3</v>
      </c>
      <c r="R32" s="2902"/>
      <c r="S32" s="2901"/>
      <c r="T32" s="2887"/>
      <c r="U32" s="2887"/>
      <c r="V32" s="2887"/>
      <c r="X32" s="2886">
        <f>ROUND(SUMPRODUCT(PRODUCT(1+N32:N$34)),4)</f>
        <v>1.0631999999999999</v>
      </c>
      <c r="Y32" s="2886">
        <f>ROUND(SUMPRODUCT(PRODUCT(1+O32:O$34)),4)</f>
        <v>1.0595000000000001</v>
      </c>
      <c r="Z32" s="2886">
        <f t="shared" si="66"/>
        <v>1.0595000000000001</v>
      </c>
      <c r="AA32" s="2886">
        <f>ROUND(SUMPRODUCT(PRODUCT(1+P32:P$34)),4)</f>
        <v>1.0664</v>
      </c>
      <c r="AB32" s="2886">
        <f>ROUND(SUMPRODUCT(PRODUCT(1+Q32:Q$34)),4)</f>
        <v>1.0364</v>
      </c>
      <c r="AD32" s="2887">
        <f>ROUND(AVERAGE(I32:I$34)/100,4)</f>
        <v>2.07E-2</v>
      </c>
      <c r="AE32" s="2887">
        <f>ROUND(AVERAGE(J32:J$34)/100,4)</f>
        <v>1.95E-2</v>
      </c>
      <c r="AF32" s="2887">
        <f t="shared" si="1"/>
        <v>1.95E-2</v>
      </c>
      <c r="AG32" s="2887">
        <f>ROUND(AVERAGE(K32:K$34)/100,4)</f>
        <v>2.1700000000000001E-2</v>
      </c>
      <c r="AH32" s="2887">
        <f>ROUND(AVERAGE(L32:L$34)/100,4)</f>
        <v>1.2E-2</v>
      </c>
    </row>
    <row r="33" spans="1:34" ht="13.5" thickBot="1">
      <c r="A33" s="2898" t="s">
        <v>952</v>
      </c>
      <c r="B33" s="2899">
        <f t="shared" si="161"/>
        <v>314.72141172386546</v>
      </c>
      <c r="C33" s="2899">
        <f t="shared" si="161"/>
        <v>263.03901319069001</v>
      </c>
      <c r="D33" s="2899">
        <f t="shared" si="156"/>
        <v>263.03901319069001</v>
      </c>
      <c r="E33" s="2899">
        <f t="shared" si="162"/>
        <v>433.65745506782821</v>
      </c>
      <c r="F33" s="2899">
        <f t="shared" si="162"/>
        <v>233.23005080045735</v>
      </c>
      <c r="G33" s="3533"/>
      <c r="H33" s="2922">
        <v>2</v>
      </c>
      <c r="I33" s="2922">
        <v>2.4</v>
      </c>
      <c r="J33" s="2922">
        <v>2.0299999999999998</v>
      </c>
      <c r="K33" s="2922">
        <v>2.59</v>
      </c>
      <c r="L33" s="2923">
        <v>1.52</v>
      </c>
      <c r="N33" s="2901">
        <f t="shared" si="158"/>
        <v>2.4E-2</v>
      </c>
      <c r="O33" s="2887">
        <f t="shared" si="154"/>
        <v>2.0299999999999999E-2</v>
      </c>
      <c r="P33" s="2887">
        <f t="shared" si="154"/>
        <v>2.5899999999999999E-2</v>
      </c>
      <c r="Q33" s="2887">
        <f t="shared" si="154"/>
        <v>1.52E-2</v>
      </c>
      <c r="R33" s="2902"/>
      <c r="S33" s="2901"/>
      <c r="T33" s="2887"/>
      <c r="U33" s="2887"/>
      <c r="V33" s="2887"/>
      <c r="X33" s="2886">
        <f>ROUND(SUMPRODUCT(PRODUCT(1+N33:N$34)),4)</f>
        <v>1.0544</v>
      </c>
      <c r="Y33" s="2886">
        <f>ROUND(SUMPRODUCT(PRODUCT(1+O33:O$34)),4)</f>
        <v>1.0442</v>
      </c>
      <c r="Z33" s="2886">
        <f t="shared" si="66"/>
        <v>1.0442</v>
      </c>
      <c r="AA33" s="2886">
        <f>ROUND(SUMPRODUCT(PRODUCT(1+P33:P$34)),4)</f>
        <v>1.0595000000000001</v>
      </c>
      <c r="AB33" s="2886">
        <f>ROUND(SUMPRODUCT(PRODUCT(1+Q33:Q$34)),4)</f>
        <v>1.0289999999999999</v>
      </c>
      <c r="AD33" s="2887">
        <f>ROUND(AVERAGE(I33:I$34)/100,4)</f>
        <v>2.69E-2</v>
      </c>
      <c r="AE33" s="2887">
        <f>ROUND(AVERAGE(J33:J$34)/100,4)</f>
        <v>2.1899999999999999E-2</v>
      </c>
      <c r="AF33" s="2887">
        <f t="shared" ref="AF33" si="163">AE33</f>
        <v>2.1899999999999999E-2</v>
      </c>
      <c r="AG33" s="2887">
        <f>ROUND(AVERAGE(K33:K$34)/100,4)</f>
        <v>2.9399999999999999E-2</v>
      </c>
      <c r="AH33" s="2887">
        <f>ROUND(AVERAGE(L33:L$34)/100,4)</f>
        <v>1.44E-2</v>
      </c>
    </row>
    <row r="34" spans="1:34" s="2935" customFormat="1" ht="13.5" thickBot="1">
      <c r="A34" s="2931" t="s">
        <v>951</v>
      </c>
      <c r="B34" s="2932">
        <f t="shared" si="161"/>
        <v>307.34512863658733</v>
      </c>
      <c r="C34" s="2932">
        <f t="shared" si="161"/>
        <v>257.80556031626975</v>
      </c>
      <c r="D34" s="2932">
        <f t="shared" si="156"/>
        <v>257.80556031626975</v>
      </c>
      <c r="E34" s="2932">
        <f t="shared" si="162"/>
        <v>422.70928459677179</v>
      </c>
      <c r="F34" s="2932">
        <f t="shared" si="162"/>
        <v>229.73803270336617</v>
      </c>
      <c r="G34" s="3536"/>
      <c r="H34" s="2933">
        <v>1</v>
      </c>
      <c r="I34" s="2933">
        <v>2.97</v>
      </c>
      <c r="J34" s="2933">
        <v>2.34</v>
      </c>
      <c r="K34" s="2933">
        <v>3.28</v>
      </c>
      <c r="L34" s="2934">
        <v>1.36</v>
      </c>
      <c r="N34" s="2936">
        <f t="shared" si="158"/>
        <v>2.9700000000000001E-2</v>
      </c>
      <c r="O34" s="2937">
        <f t="shared" si="154"/>
        <v>2.3399999999999997E-2</v>
      </c>
      <c r="P34" s="2937">
        <f t="shared" si="154"/>
        <v>3.2799999999999996E-2</v>
      </c>
      <c r="Q34" s="2937">
        <f t="shared" si="154"/>
        <v>1.3600000000000001E-2</v>
      </c>
      <c r="R34" s="2938"/>
      <c r="S34" s="2939">
        <f>B34/B35-1</f>
        <v>2.7910129219355539E-2</v>
      </c>
      <c r="T34" s="2940">
        <f>C34/C35-1</f>
        <v>2.3037937762975247E-2</v>
      </c>
      <c r="U34" s="2940">
        <f>E34/E35-1</f>
        <v>3.3519033243940788E-2</v>
      </c>
      <c r="V34" s="2940">
        <f>F34/F35-1</f>
        <v>1.2061818076502862E-2</v>
      </c>
      <c r="W34" s="2941" t="s">
        <v>2620</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3.5" thickBot="1">
      <c r="A35" s="2898" t="s">
        <v>2563</v>
      </c>
      <c r="B35" s="2920">
        <v>299</v>
      </c>
      <c r="C35" s="2920">
        <v>252</v>
      </c>
      <c r="D35" s="2920">
        <f t="shared" si="156"/>
        <v>252</v>
      </c>
      <c r="E35" s="2920">
        <v>409</v>
      </c>
      <c r="F35" s="2921">
        <v>227</v>
      </c>
      <c r="G35" s="3540">
        <v>2013</v>
      </c>
      <c r="H35" s="2943">
        <v>4</v>
      </c>
      <c r="I35" s="2943">
        <v>1.83</v>
      </c>
      <c r="J35" s="2943">
        <v>1.68</v>
      </c>
      <c r="K35" s="2943">
        <v>1.97</v>
      </c>
      <c r="L35" s="2944">
        <v>0.87</v>
      </c>
      <c r="N35" s="2917">
        <f t="shared" si="158"/>
        <v>1.83E-2</v>
      </c>
      <c r="O35" s="2918">
        <f t="shared" si="154"/>
        <v>1.6799999999999999E-2</v>
      </c>
      <c r="P35" s="2918">
        <f t="shared" si="154"/>
        <v>1.9699999999999999E-2</v>
      </c>
      <c r="Q35" s="2918">
        <f t="shared" si="154"/>
        <v>8.6999999999999994E-3</v>
      </c>
      <c r="R35" s="2902"/>
      <c r="S35" s="2911"/>
      <c r="T35" s="2912"/>
      <c r="U35" s="2912"/>
      <c r="V35" s="2912"/>
      <c r="X35" s="2912"/>
      <c r="Y35" s="2912"/>
      <c r="Z35" s="2912"/>
    </row>
    <row r="36" spans="1:34">
      <c r="A36" s="2898" t="s">
        <v>2564</v>
      </c>
      <c r="B36" s="2899">
        <f t="shared" ref="B36:C38" si="164">B35/(1+N35)</f>
        <v>293.62663262299913</v>
      </c>
      <c r="C36" s="2899">
        <f t="shared" si="164"/>
        <v>247.83634933123525</v>
      </c>
      <c r="D36" s="2899">
        <f t="shared" si="156"/>
        <v>247.83634933123525</v>
      </c>
      <c r="E36" s="2899">
        <f t="shared" ref="E36:F38" si="165">E35/(1+P35)</f>
        <v>401.09836226341076</v>
      </c>
      <c r="F36" s="2899">
        <f t="shared" si="165"/>
        <v>225.04213343908003</v>
      </c>
      <c r="G36" s="3541"/>
      <c r="H36" s="2925">
        <v>3</v>
      </c>
      <c r="I36" s="2925">
        <v>1.86</v>
      </c>
      <c r="J36" s="2925">
        <v>1.72</v>
      </c>
      <c r="K36" s="2925">
        <v>1.98</v>
      </c>
      <c r="L36" s="2926">
        <v>0.88</v>
      </c>
      <c r="N36" s="2901">
        <f t="shared" si="158"/>
        <v>1.8600000000000002E-2</v>
      </c>
      <c r="O36" s="2919">
        <f t="shared" si="154"/>
        <v>1.72E-2</v>
      </c>
      <c r="P36" s="2919">
        <f t="shared" si="154"/>
        <v>1.9799999999999998E-2</v>
      </c>
      <c r="Q36" s="2919">
        <f t="shared" si="154"/>
        <v>8.8000000000000005E-3</v>
      </c>
      <c r="R36" s="2902"/>
      <c r="S36" s="2901"/>
      <c r="T36" s="2887"/>
      <c r="U36" s="2887"/>
      <c r="V36" s="2887"/>
    </row>
    <row r="37" spans="1:34">
      <c r="A37" s="2898" t="s">
        <v>2565</v>
      </c>
      <c r="B37" s="2899">
        <f t="shared" si="164"/>
        <v>288.2649053828776</v>
      </c>
      <c r="C37" s="2899">
        <f t="shared" si="164"/>
        <v>243.64564425013293</v>
      </c>
      <c r="D37" s="2899">
        <f t="shared" si="156"/>
        <v>243.64564425013293</v>
      </c>
      <c r="E37" s="2899">
        <f t="shared" si="165"/>
        <v>393.31080825986544</v>
      </c>
      <c r="F37" s="2899">
        <f t="shared" si="165"/>
        <v>223.07903790551154</v>
      </c>
      <c r="G37" s="3541"/>
      <c r="H37" s="2913">
        <v>2</v>
      </c>
      <c r="I37" s="2913">
        <v>2.04</v>
      </c>
      <c r="J37" s="2913">
        <v>2.33</v>
      </c>
      <c r="K37" s="2913">
        <v>2.0699999999999998</v>
      </c>
      <c r="L37" s="2914">
        <v>0.69</v>
      </c>
      <c r="N37" s="2901">
        <f t="shared" si="158"/>
        <v>2.0400000000000001E-2</v>
      </c>
      <c r="O37" s="2919">
        <f t="shared" si="154"/>
        <v>2.3300000000000001E-2</v>
      </c>
      <c r="P37" s="2919">
        <f t="shared" si="154"/>
        <v>2.07E-2</v>
      </c>
      <c r="Q37" s="2919">
        <f t="shared" si="154"/>
        <v>6.8999999999999999E-3</v>
      </c>
      <c r="R37" s="2902"/>
      <c r="S37" s="2901"/>
      <c r="T37" s="2887"/>
      <c r="U37" s="2887"/>
      <c r="V37" s="2887"/>
      <c r="X37" s="2945"/>
      <c r="Y37" s="2946"/>
    </row>
    <row r="38" spans="1:34">
      <c r="A38" s="2898" t="s">
        <v>2566</v>
      </c>
      <c r="B38" s="2899">
        <f t="shared" si="164"/>
        <v>282.50186729015837</v>
      </c>
      <c r="C38" s="2899">
        <f t="shared" si="164"/>
        <v>238.09796174155468</v>
      </c>
      <c r="D38" s="2899">
        <f t="shared" si="156"/>
        <v>238.09796174155468</v>
      </c>
      <c r="E38" s="2899">
        <f t="shared" si="165"/>
        <v>385.33438646014054</v>
      </c>
      <c r="F38" s="2899">
        <f t="shared" si="165"/>
        <v>221.55034055567739</v>
      </c>
      <c r="G38" s="3542"/>
      <c r="H38" s="2900">
        <v>1</v>
      </c>
      <c r="I38" s="2900">
        <v>1.67</v>
      </c>
      <c r="J38" s="2900">
        <v>1.31</v>
      </c>
      <c r="K38" s="2900">
        <v>1.85</v>
      </c>
      <c r="L38" s="2906">
        <v>0.96</v>
      </c>
      <c r="N38" s="2903">
        <f t="shared" si="158"/>
        <v>1.67E-2</v>
      </c>
      <c r="O38" s="2904">
        <f t="shared" si="154"/>
        <v>1.3100000000000001E-2</v>
      </c>
      <c r="P38" s="2904">
        <f t="shared" si="154"/>
        <v>1.8500000000000003E-2</v>
      </c>
      <c r="Q38" s="2904">
        <f t="shared" si="154"/>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3.5" thickBot="1">
      <c r="A39" s="2898" t="s">
        <v>2567</v>
      </c>
      <c r="B39" s="2948">
        <v>278</v>
      </c>
      <c r="C39" s="2948">
        <v>234</v>
      </c>
      <c r="D39" s="2948">
        <f t="shared" si="156"/>
        <v>234</v>
      </c>
      <c r="E39" s="2948">
        <v>379</v>
      </c>
      <c r="F39" s="2949">
        <v>220</v>
      </c>
      <c r="G39" s="3535">
        <v>2012</v>
      </c>
      <c r="H39" s="2922">
        <v>4</v>
      </c>
      <c r="I39" s="2922">
        <v>0.91</v>
      </c>
      <c r="J39" s="2922">
        <v>0.68</v>
      </c>
      <c r="K39" s="2922">
        <v>0.98</v>
      </c>
      <c r="L39" s="2923">
        <v>0.9</v>
      </c>
      <c r="N39" s="2901">
        <f t="shared" si="158"/>
        <v>9.1000000000000004E-3</v>
      </c>
      <c r="O39" s="2887">
        <f t="shared" si="158"/>
        <v>6.8000000000000005E-3</v>
      </c>
      <c r="P39" s="2887">
        <f t="shared" si="158"/>
        <v>9.7999999999999997E-3</v>
      </c>
      <c r="Q39" s="2887">
        <f t="shared" si="158"/>
        <v>9.0000000000000011E-3</v>
      </c>
      <c r="R39" s="2902"/>
      <c r="S39" s="2911"/>
      <c r="T39" s="2912"/>
      <c r="U39" s="2912"/>
      <c r="V39" s="2912"/>
      <c r="X39" s="2912"/>
      <c r="Y39" s="2912"/>
      <c r="Z39" s="2912"/>
    </row>
    <row r="40" spans="1:34">
      <c r="A40" s="2898" t="s">
        <v>2568</v>
      </c>
      <c r="B40" s="2899">
        <f>B39/(1+N39)</f>
        <v>275.49301357645425</v>
      </c>
      <c r="C40" s="2899">
        <f>C39/(1+O39)</f>
        <v>232.41954707985698</v>
      </c>
      <c r="D40" s="2899">
        <f t="shared" si="156"/>
        <v>232.41954707985698</v>
      </c>
      <c r="E40" s="2899">
        <f t="shared" ref="E40:F42" si="166">E39/(1+P39)</f>
        <v>375.32184591008121</v>
      </c>
      <c r="F40" s="2899">
        <f t="shared" si="166"/>
        <v>218.03766105054513</v>
      </c>
      <c r="G40" s="3533"/>
      <c r="H40" s="2925">
        <v>3</v>
      </c>
      <c r="I40" s="2925">
        <v>0.09</v>
      </c>
      <c r="J40" s="2925">
        <v>0.28999999999999998</v>
      </c>
      <c r="K40" s="2925">
        <v>-0.01</v>
      </c>
      <c r="L40" s="2926">
        <v>0.57999999999999996</v>
      </c>
      <c r="N40" s="2901">
        <f t="shared" si="158"/>
        <v>8.9999999999999998E-4</v>
      </c>
      <c r="O40" s="2887">
        <f t="shared" si="158"/>
        <v>2.8999999999999998E-3</v>
      </c>
      <c r="P40" s="2887">
        <f t="shared" si="158"/>
        <v>-1E-4</v>
      </c>
      <c r="Q40" s="2887">
        <f t="shared" si="158"/>
        <v>5.7999999999999996E-3</v>
      </c>
      <c r="R40" s="2902"/>
      <c r="S40" s="2901"/>
      <c r="T40" s="2887"/>
      <c r="U40" s="2887"/>
      <c r="V40" s="2887"/>
    </row>
    <row r="41" spans="1:34">
      <c r="A41" s="2898" t="s">
        <v>2569</v>
      </c>
      <c r="B41" s="2899">
        <f>B40/(1+N40)</f>
        <v>275.24529281292263</v>
      </c>
      <c r="C41" s="2899">
        <f>C40/(1+O40)</f>
        <v>231.74747938962707</v>
      </c>
      <c r="D41" s="2899">
        <f t="shared" si="156"/>
        <v>231.74747938962707</v>
      </c>
      <c r="E41" s="2899">
        <f t="shared" si="166"/>
        <v>375.35938184826603</v>
      </c>
      <c r="F41" s="2899">
        <f t="shared" si="166"/>
        <v>216.78033510692495</v>
      </c>
      <c r="G41" s="3533"/>
      <c r="H41" s="2913">
        <v>2</v>
      </c>
      <c r="I41" s="2913">
        <v>0.02</v>
      </c>
      <c r="J41" s="2913">
        <v>0.12</v>
      </c>
      <c r="K41" s="2913">
        <v>-0.08</v>
      </c>
      <c r="L41" s="2914">
        <v>1.24</v>
      </c>
      <c r="N41" s="2901">
        <f t="shared" si="158"/>
        <v>2.0000000000000001E-4</v>
      </c>
      <c r="O41" s="2887">
        <f t="shared" si="158"/>
        <v>1.1999999999999999E-3</v>
      </c>
      <c r="P41" s="2887">
        <f t="shared" si="158"/>
        <v>-8.0000000000000004E-4</v>
      </c>
      <c r="Q41" s="2887">
        <f t="shared" si="158"/>
        <v>1.24E-2</v>
      </c>
      <c r="R41" s="2902"/>
      <c r="S41" s="2901"/>
      <c r="T41" s="2887"/>
      <c r="U41" s="2887"/>
      <c r="V41" s="2887"/>
    </row>
    <row r="42" spans="1:34" ht="13.5" thickBot="1">
      <c r="A42" s="2898" t="s">
        <v>2570</v>
      </c>
      <c r="B42" s="2899">
        <f>B41/(1+N41)</f>
        <v>275.19025476197027</v>
      </c>
      <c r="C42" s="2950">
        <v>232</v>
      </c>
      <c r="D42" s="2950">
        <f t="shared" si="156"/>
        <v>232</v>
      </c>
      <c r="E42" s="2899">
        <f t="shared" si="166"/>
        <v>375.65990977608692</v>
      </c>
      <c r="F42" s="2899">
        <f t="shared" si="166"/>
        <v>214.12518283971252</v>
      </c>
      <c r="G42" s="3536"/>
      <c r="H42" s="2900">
        <v>1</v>
      </c>
      <c r="I42" s="2900">
        <v>0.02</v>
      </c>
      <c r="J42" s="2900">
        <v>0.13</v>
      </c>
      <c r="K42" s="2900">
        <v>-0.04</v>
      </c>
      <c r="L42" s="2906">
        <v>0.46</v>
      </c>
      <c r="N42" s="2901">
        <f t="shared" si="158"/>
        <v>2.0000000000000001E-4</v>
      </c>
      <c r="O42" s="2887">
        <f t="shared" si="158"/>
        <v>1.2999999999999999E-3</v>
      </c>
      <c r="P42" s="2887">
        <f t="shared" si="158"/>
        <v>-4.0000000000000002E-4</v>
      </c>
      <c r="Q42" s="2887">
        <f t="shared" si="158"/>
        <v>4.5999999999999999E-3</v>
      </c>
      <c r="R42" s="2902"/>
      <c r="S42" s="2903">
        <f>B42/B43-1</f>
        <v>6.9183549807361189E-4</v>
      </c>
      <c r="T42" s="2904">
        <f>C42/C43-1</f>
        <v>0</v>
      </c>
      <c r="U42" s="2904">
        <f>E42/E43-1</f>
        <v>-9.0449527636460303E-4</v>
      </c>
      <c r="V42" s="2904">
        <f>F42/F43-1</f>
        <v>5.2825485432512753E-3</v>
      </c>
      <c r="X42" s="2887"/>
      <c r="Y42" s="2887"/>
      <c r="Z42" s="2887"/>
    </row>
    <row r="43" spans="1:34" ht="13.5" thickBot="1">
      <c r="A43" s="2898" t="s">
        <v>2571</v>
      </c>
      <c r="B43" s="2920">
        <v>275</v>
      </c>
      <c r="C43" s="2920">
        <v>232</v>
      </c>
      <c r="D43" s="2920">
        <f t="shared" si="156"/>
        <v>232</v>
      </c>
      <c r="E43" s="2920">
        <v>376</v>
      </c>
      <c r="F43" s="2921">
        <v>213</v>
      </c>
      <c r="G43" s="3535">
        <v>2011</v>
      </c>
      <c r="H43" s="2922">
        <v>4</v>
      </c>
      <c r="I43" s="2922">
        <v>-0.2</v>
      </c>
      <c r="J43" s="2922">
        <v>0.04</v>
      </c>
      <c r="K43" s="2922">
        <v>-0.34</v>
      </c>
      <c r="L43" s="2923">
        <v>0.46</v>
      </c>
      <c r="N43" s="2917">
        <f t="shared" si="158"/>
        <v>-2E-3</v>
      </c>
      <c r="O43" s="2918">
        <f t="shared" si="158"/>
        <v>4.0000000000000002E-4</v>
      </c>
      <c r="P43" s="2918">
        <f t="shared" si="158"/>
        <v>-3.4000000000000002E-3</v>
      </c>
      <c r="Q43" s="2918">
        <f t="shared" si="158"/>
        <v>4.5999999999999999E-3</v>
      </c>
      <c r="R43" s="2902"/>
      <c r="S43" s="2911"/>
      <c r="T43" s="2912"/>
      <c r="U43" s="2912"/>
      <c r="V43" s="2912"/>
      <c r="X43" s="2912"/>
      <c r="Y43" s="2912"/>
      <c r="Z43" s="2912"/>
    </row>
    <row r="44" spans="1:34">
      <c r="A44" s="2898" t="s">
        <v>2572</v>
      </c>
      <c r="B44" s="2899">
        <f t="shared" ref="B44:C46" si="167">B43/(1+N43)</f>
        <v>275.55110220440883</v>
      </c>
      <c r="C44" s="2899">
        <f t="shared" si="167"/>
        <v>231.90723710515795</v>
      </c>
      <c r="D44" s="2899">
        <f t="shared" si="156"/>
        <v>231.90723710515795</v>
      </c>
      <c r="E44" s="2899">
        <f t="shared" ref="E44:F46" si="168">E43/(1+P43)</f>
        <v>377.28276138872161</v>
      </c>
      <c r="F44" s="2899">
        <f t="shared" si="168"/>
        <v>212.02468644236512</v>
      </c>
      <c r="G44" s="3533">
        <v>2011</v>
      </c>
      <c r="H44" s="2925">
        <v>3</v>
      </c>
      <c r="I44" s="2925">
        <v>0.13</v>
      </c>
      <c r="J44" s="2925">
        <v>0.75</v>
      </c>
      <c r="K44" s="2925">
        <v>-0.08</v>
      </c>
      <c r="L44" s="2926">
        <v>0.53</v>
      </c>
      <c r="N44" s="2901">
        <f t="shared" si="158"/>
        <v>1.2999999999999999E-3</v>
      </c>
      <c r="O44" s="2919">
        <f t="shared" si="158"/>
        <v>7.4999999999999997E-3</v>
      </c>
      <c r="P44" s="2919">
        <f t="shared" si="158"/>
        <v>-8.0000000000000004E-4</v>
      </c>
      <c r="Q44" s="2919">
        <f t="shared" si="158"/>
        <v>5.3E-3</v>
      </c>
      <c r="R44" s="2902"/>
      <c r="S44" s="2901"/>
      <c r="T44" s="2887"/>
      <c r="U44" s="2887"/>
      <c r="V44" s="2887"/>
    </row>
    <row r="45" spans="1:34">
      <c r="A45" s="2898" t="s">
        <v>2573</v>
      </c>
      <c r="B45" s="2899">
        <f t="shared" si="167"/>
        <v>275.19335084830601</v>
      </c>
      <c r="C45" s="2899">
        <f t="shared" si="167"/>
        <v>230.18088050139744</v>
      </c>
      <c r="D45" s="2899">
        <f t="shared" si="156"/>
        <v>230.18088050139744</v>
      </c>
      <c r="E45" s="2899">
        <f t="shared" si="168"/>
        <v>377.58482925212331</v>
      </c>
      <c r="F45" s="2899">
        <f t="shared" si="168"/>
        <v>210.90687997847917</v>
      </c>
      <c r="G45" s="3533">
        <v>2011</v>
      </c>
      <c r="H45" s="2913">
        <v>2</v>
      </c>
      <c r="I45" s="2913">
        <v>-0.4</v>
      </c>
      <c r="J45" s="2913">
        <v>0.17</v>
      </c>
      <c r="K45" s="2913">
        <v>-0.57999999999999996</v>
      </c>
      <c r="L45" s="2914">
        <v>-0.2</v>
      </c>
      <c r="N45" s="2901">
        <f t="shared" si="158"/>
        <v>-4.0000000000000001E-3</v>
      </c>
      <c r="O45" s="2919">
        <f t="shared" si="158"/>
        <v>1.7000000000000001E-3</v>
      </c>
      <c r="P45" s="2919">
        <f t="shared" si="158"/>
        <v>-5.7999999999999996E-3</v>
      </c>
      <c r="Q45" s="2919">
        <f t="shared" si="158"/>
        <v>-2E-3</v>
      </c>
      <c r="R45" s="2902"/>
      <c r="S45" s="2901"/>
      <c r="T45" s="2887"/>
      <c r="U45" s="2887"/>
      <c r="V45" s="2887"/>
    </row>
    <row r="46" spans="1:34" ht="13.5" thickBot="1">
      <c r="A46" s="2898" t="s">
        <v>2574</v>
      </c>
      <c r="B46" s="2899">
        <f t="shared" si="167"/>
        <v>276.29854502841971</v>
      </c>
      <c r="C46" s="2899">
        <f t="shared" si="167"/>
        <v>229.79023709833027</v>
      </c>
      <c r="D46" s="2899">
        <f t="shared" si="156"/>
        <v>229.79023709833027</v>
      </c>
      <c r="E46" s="2899">
        <f t="shared" si="168"/>
        <v>379.78759731655936</v>
      </c>
      <c r="F46" s="2899">
        <f t="shared" si="168"/>
        <v>211.32953905659235</v>
      </c>
      <c r="G46" s="3536">
        <v>2011</v>
      </c>
      <c r="H46" s="2900">
        <v>1</v>
      </c>
      <c r="I46" s="2900">
        <v>2.65</v>
      </c>
      <c r="J46" s="2900">
        <v>3.76</v>
      </c>
      <c r="K46" s="2900">
        <v>1.89</v>
      </c>
      <c r="L46" s="2906">
        <v>7.95</v>
      </c>
      <c r="N46" s="2903">
        <f t="shared" si="158"/>
        <v>2.6499999999999999E-2</v>
      </c>
      <c r="O46" s="2904">
        <f t="shared" si="158"/>
        <v>3.7599999999999995E-2</v>
      </c>
      <c r="P46" s="2904">
        <f t="shared" si="158"/>
        <v>1.89E-2</v>
      </c>
      <c r="Q46" s="2904">
        <f t="shared" si="158"/>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3.5" thickBot="1">
      <c r="A47" s="2898" t="s">
        <v>2575</v>
      </c>
      <c r="B47" s="2920">
        <v>269</v>
      </c>
      <c r="C47" s="2920">
        <v>221</v>
      </c>
      <c r="D47" s="2920">
        <f t="shared" si="156"/>
        <v>221</v>
      </c>
      <c r="E47" s="2920">
        <v>373</v>
      </c>
      <c r="F47" s="2921">
        <v>196</v>
      </c>
      <c r="G47" s="3535">
        <v>2010</v>
      </c>
      <c r="H47" s="2922">
        <v>4</v>
      </c>
      <c r="I47" s="2922">
        <v>5.72</v>
      </c>
      <c r="J47" s="2922">
        <v>6.57</v>
      </c>
      <c r="K47" s="2922">
        <v>5.72</v>
      </c>
      <c r="L47" s="2923">
        <v>2.72</v>
      </c>
      <c r="N47" s="2901">
        <f t="shared" si="158"/>
        <v>5.7200000000000001E-2</v>
      </c>
      <c r="O47" s="2887">
        <f t="shared" si="158"/>
        <v>6.5700000000000008E-2</v>
      </c>
      <c r="P47" s="2887">
        <f t="shared" si="158"/>
        <v>5.7200000000000001E-2</v>
      </c>
      <c r="Q47" s="2887">
        <f t="shared" si="158"/>
        <v>2.7200000000000002E-2</v>
      </c>
      <c r="R47" s="2902"/>
      <c r="S47" s="2911"/>
      <c r="T47" s="2912"/>
      <c r="U47" s="2912"/>
      <c r="V47" s="2912"/>
      <c r="X47" s="2912"/>
      <c r="Y47" s="2912"/>
      <c r="Z47" s="2912"/>
    </row>
    <row r="48" spans="1:34">
      <c r="A48" s="2898" t="s">
        <v>2576</v>
      </c>
      <c r="B48" s="2899">
        <f t="shared" ref="B48:C50" si="169">B47/(1+N47)</f>
        <v>254.44570563753314</v>
      </c>
      <c r="C48" s="2899">
        <f t="shared" si="169"/>
        <v>207.37543398705074</v>
      </c>
      <c r="D48" s="2899">
        <f t="shared" si="156"/>
        <v>207.37543398705074</v>
      </c>
      <c r="E48" s="2899">
        <f t="shared" ref="E48:F50" si="170">E47/(1+P47)</f>
        <v>352.81876655315932</v>
      </c>
      <c r="F48" s="2899">
        <f t="shared" si="170"/>
        <v>190.809968847352</v>
      </c>
      <c r="G48" s="3533">
        <v>2010</v>
      </c>
      <c r="H48" s="2925">
        <v>3</v>
      </c>
      <c r="I48" s="2925">
        <v>4.7300000000000004</v>
      </c>
      <c r="J48" s="2925">
        <v>3.9</v>
      </c>
      <c r="K48" s="2925">
        <v>5.03</v>
      </c>
      <c r="L48" s="2926">
        <v>4.21</v>
      </c>
      <c r="N48" s="2901">
        <f t="shared" si="158"/>
        <v>4.7300000000000002E-2</v>
      </c>
      <c r="O48" s="2887">
        <f t="shared" si="158"/>
        <v>3.9E-2</v>
      </c>
      <c r="P48" s="2887">
        <f t="shared" si="158"/>
        <v>5.0300000000000004E-2</v>
      </c>
      <c r="Q48" s="2887">
        <f t="shared" si="158"/>
        <v>4.2099999999999999E-2</v>
      </c>
      <c r="R48" s="2902"/>
      <c r="S48" s="2901"/>
      <c r="T48" s="2887"/>
      <c r="U48" s="2887"/>
      <c r="V48" s="2887"/>
    </row>
    <row r="49" spans="1:26">
      <c r="A49" s="2898" t="s">
        <v>2577</v>
      </c>
      <c r="B49" s="2899">
        <f t="shared" si="169"/>
        <v>242.95398227588385</v>
      </c>
      <c r="C49" s="2899">
        <f t="shared" si="169"/>
        <v>199.59137053614126</v>
      </c>
      <c r="D49" s="2899">
        <f t="shared" si="156"/>
        <v>199.59137053614126</v>
      </c>
      <c r="E49" s="2899">
        <f t="shared" si="170"/>
        <v>335.92189522342125</v>
      </c>
      <c r="F49" s="2899">
        <f t="shared" si="170"/>
        <v>183.10139991109489</v>
      </c>
      <c r="G49" s="3533">
        <v>2010</v>
      </c>
      <c r="H49" s="2913">
        <v>2</v>
      </c>
      <c r="I49" s="2913">
        <v>4.6900000000000004</v>
      </c>
      <c r="J49" s="2913">
        <v>3.55</v>
      </c>
      <c r="K49" s="2913">
        <v>5.07</v>
      </c>
      <c r="L49" s="2914">
        <v>4.2300000000000004</v>
      </c>
      <c r="N49" s="2901">
        <f t="shared" si="158"/>
        <v>4.6900000000000004E-2</v>
      </c>
      <c r="O49" s="2887">
        <f t="shared" si="158"/>
        <v>3.5499999999999997E-2</v>
      </c>
      <c r="P49" s="2887">
        <f t="shared" si="158"/>
        <v>5.0700000000000002E-2</v>
      </c>
      <c r="Q49" s="2887">
        <f t="shared" si="158"/>
        <v>4.2300000000000004E-2</v>
      </c>
      <c r="R49" s="2902"/>
      <c r="S49" s="2901"/>
      <c r="T49" s="2887"/>
      <c r="U49" s="2887"/>
      <c r="V49" s="2887"/>
    </row>
    <row r="50" spans="1:26" ht="13.5" thickBot="1">
      <c r="A50" s="2898" t="s">
        <v>2578</v>
      </c>
      <c r="B50" s="2899">
        <f t="shared" si="169"/>
        <v>232.06990378821649</v>
      </c>
      <c r="C50" s="2899">
        <f t="shared" si="169"/>
        <v>192.74878854286936</v>
      </c>
      <c r="D50" s="2899">
        <f t="shared" si="156"/>
        <v>192.74878854286936</v>
      </c>
      <c r="E50" s="2899">
        <f t="shared" si="170"/>
        <v>319.71247284992984</v>
      </c>
      <c r="F50" s="2899">
        <f t="shared" si="170"/>
        <v>175.67053622862409</v>
      </c>
      <c r="G50" s="3536">
        <v>2010</v>
      </c>
      <c r="H50" s="2900">
        <v>1</v>
      </c>
      <c r="I50" s="2900">
        <v>5.4</v>
      </c>
      <c r="J50" s="2900">
        <v>3.2</v>
      </c>
      <c r="K50" s="2900">
        <v>6.16</v>
      </c>
      <c r="L50" s="2906">
        <v>4.51</v>
      </c>
      <c r="N50" s="2901">
        <f t="shared" si="158"/>
        <v>5.4000000000000006E-2</v>
      </c>
      <c r="O50" s="2887">
        <f t="shared" si="158"/>
        <v>3.2000000000000001E-2</v>
      </c>
      <c r="P50" s="2887">
        <f t="shared" si="158"/>
        <v>6.1600000000000002E-2</v>
      </c>
      <c r="Q50" s="2887">
        <f t="shared" si="158"/>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3.5" thickBot="1">
      <c r="A51" s="2898" t="s">
        <v>2579</v>
      </c>
      <c r="B51" s="2920">
        <v>220</v>
      </c>
      <c r="C51" s="2920">
        <v>187</v>
      </c>
      <c r="D51" s="2920">
        <f t="shared" si="156"/>
        <v>187</v>
      </c>
      <c r="E51" s="2920">
        <v>301</v>
      </c>
      <c r="F51" s="2921">
        <v>168</v>
      </c>
      <c r="G51" s="3535">
        <v>2009</v>
      </c>
      <c r="H51" s="2922">
        <v>4</v>
      </c>
      <c r="I51" s="2922">
        <v>2.2999999999999998</v>
      </c>
      <c r="J51" s="2922">
        <v>1.04</v>
      </c>
      <c r="K51" s="2922">
        <v>2.84</v>
      </c>
      <c r="L51" s="2923">
        <v>0.67</v>
      </c>
      <c r="N51" s="2917">
        <f t="shared" si="158"/>
        <v>2.3E-2</v>
      </c>
      <c r="O51" s="2918">
        <f t="shared" si="158"/>
        <v>1.04E-2</v>
      </c>
      <c r="P51" s="2918">
        <f t="shared" si="158"/>
        <v>2.8399999999999998E-2</v>
      </c>
      <c r="Q51" s="2918">
        <f t="shared" si="158"/>
        <v>6.7000000000000002E-3</v>
      </c>
      <c r="R51" s="2902"/>
      <c r="S51" s="2911"/>
      <c r="T51" s="2912"/>
      <c r="U51" s="2912"/>
      <c r="V51" s="2912"/>
      <c r="X51" s="2912"/>
      <c r="Y51" s="2912"/>
      <c r="Z51" s="2912"/>
    </row>
    <row r="52" spans="1:26">
      <c r="A52" s="2898" t="s">
        <v>2580</v>
      </c>
      <c r="B52" s="2899">
        <f t="shared" ref="B52:C54" si="171">B51/(1+N51)</f>
        <v>215.05376344086022</v>
      </c>
      <c r="C52" s="2899">
        <f t="shared" si="171"/>
        <v>185.0752177355503</v>
      </c>
      <c r="D52" s="2899">
        <f t="shared" si="156"/>
        <v>185.0752177355503</v>
      </c>
      <c r="E52" s="2899">
        <f t="shared" ref="E52:F54" si="172">E51/(1+P51)</f>
        <v>292.68767016725008</v>
      </c>
      <c r="F52" s="2899">
        <f t="shared" si="172"/>
        <v>166.88189132810174</v>
      </c>
      <c r="G52" s="3533">
        <v>2009</v>
      </c>
      <c r="H52" s="2925">
        <v>3</v>
      </c>
      <c r="I52" s="2925">
        <v>2.1</v>
      </c>
      <c r="J52" s="2925">
        <v>1.86</v>
      </c>
      <c r="K52" s="2925">
        <v>2.29</v>
      </c>
      <c r="L52" s="2926">
        <v>0.85</v>
      </c>
      <c r="N52" s="2901">
        <f t="shared" si="158"/>
        <v>2.1000000000000001E-2</v>
      </c>
      <c r="O52" s="2919">
        <f t="shared" si="158"/>
        <v>1.8600000000000002E-2</v>
      </c>
      <c r="P52" s="2919">
        <f t="shared" si="158"/>
        <v>2.29E-2</v>
      </c>
      <c r="Q52" s="2919">
        <f t="shared" si="158"/>
        <v>8.5000000000000006E-3</v>
      </c>
      <c r="R52" s="2902"/>
      <c r="S52" s="2901"/>
      <c r="T52" s="2887"/>
      <c r="U52" s="2887"/>
      <c r="V52" s="2887"/>
    </row>
    <row r="53" spans="1:26">
      <c r="A53" s="2898" t="s">
        <v>2581</v>
      </c>
      <c r="B53" s="2899">
        <f t="shared" si="171"/>
        <v>210.630522469011</v>
      </c>
      <c r="C53" s="2899">
        <f t="shared" si="171"/>
        <v>181.69567812247232</v>
      </c>
      <c r="D53" s="2899">
        <f t="shared" si="156"/>
        <v>181.69567812247232</v>
      </c>
      <c r="E53" s="2899">
        <f t="shared" si="172"/>
        <v>286.13517466736738</v>
      </c>
      <c r="F53" s="2899">
        <f t="shared" si="172"/>
        <v>165.47535084591149</v>
      </c>
      <c r="G53" s="3533">
        <v>2009</v>
      </c>
      <c r="H53" s="2913">
        <v>2</v>
      </c>
      <c r="I53" s="2913">
        <v>0.86</v>
      </c>
      <c r="J53" s="2913">
        <v>-1.1299999999999999</v>
      </c>
      <c r="K53" s="2913">
        <v>1.79</v>
      </c>
      <c r="L53" s="2914">
        <v>-2.0699999999999998</v>
      </c>
      <c r="N53" s="2901">
        <f t="shared" si="158"/>
        <v>8.6E-3</v>
      </c>
      <c r="O53" s="2919">
        <f t="shared" si="158"/>
        <v>-1.1299999999999999E-2</v>
      </c>
      <c r="P53" s="2919">
        <f t="shared" si="158"/>
        <v>1.7899999999999999E-2</v>
      </c>
      <c r="Q53" s="2919">
        <f t="shared" si="158"/>
        <v>-2.07E-2</v>
      </c>
      <c r="R53" s="2902"/>
      <c r="S53" s="2901"/>
      <c r="T53" s="2887"/>
      <c r="U53" s="2887"/>
      <c r="V53" s="2887"/>
    </row>
    <row r="54" spans="1:26">
      <c r="A54" s="2898" t="s">
        <v>2582</v>
      </c>
      <c r="B54" s="2899">
        <f t="shared" si="171"/>
        <v>208.83454537875372</v>
      </c>
      <c r="C54" s="2899">
        <f t="shared" si="171"/>
        <v>183.77230517090351</v>
      </c>
      <c r="D54" s="2899">
        <f t="shared" si="156"/>
        <v>183.77230517090351</v>
      </c>
      <c r="E54" s="2899">
        <f t="shared" si="172"/>
        <v>281.10342338870947</v>
      </c>
      <c r="F54" s="2899">
        <f t="shared" si="172"/>
        <v>168.97309388942256</v>
      </c>
      <c r="G54" s="3536">
        <v>2009</v>
      </c>
      <c r="H54" s="2900">
        <v>1</v>
      </c>
      <c r="I54" s="2900">
        <v>-2.64</v>
      </c>
      <c r="J54" s="2900">
        <v>-2.5299999999999998</v>
      </c>
      <c r="K54" s="2900">
        <v>-3.02</v>
      </c>
      <c r="L54" s="2906">
        <v>1.52</v>
      </c>
      <c r="N54" s="2903">
        <f t="shared" si="158"/>
        <v>-2.64E-2</v>
      </c>
      <c r="O54" s="2904">
        <f t="shared" si="158"/>
        <v>-2.53E-2</v>
      </c>
      <c r="P54" s="2904">
        <f t="shared" si="158"/>
        <v>-3.0200000000000001E-2</v>
      </c>
      <c r="Q54" s="2904">
        <f t="shared" si="158"/>
        <v>1.52E-2</v>
      </c>
      <c r="R54" s="2902"/>
      <c r="S54" s="2903">
        <f>B54/B55-1</f>
        <v>-2.4137638417038754E-2</v>
      </c>
      <c r="T54" s="2904">
        <f>C54/C55-1</f>
        <v>-2.248773845264096E-2</v>
      </c>
      <c r="U54" s="2904">
        <f>E54/E55-1</f>
        <v>-2.7323794502735366E-2</v>
      </c>
      <c r="V54" s="2904">
        <f>F54/F55-1</f>
        <v>1.7910204153148035E-2</v>
      </c>
      <c r="X54" s="2887"/>
      <c r="Y54" s="2887"/>
      <c r="Z54" s="2887"/>
    </row>
    <row r="55" spans="1:26" ht="13.5" thickBot="1">
      <c r="A55" s="2898" t="s">
        <v>2583</v>
      </c>
      <c r="B55" s="2948">
        <v>214</v>
      </c>
      <c r="C55" s="2948">
        <v>188</v>
      </c>
      <c r="D55" s="2948">
        <f t="shared" si="156"/>
        <v>188</v>
      </c>
      <c r="E55" s="2948">
        <v>289</v>
      </c>
      <c r="F55" s="2949">
        <v>166</v>
      </c>
      <c r="G55" s="3535">
        <v>2008</v>
      </c>
      <c r="H55" s="2922">
        <v>4</v>
      </c>
      <c r="I55" s="2922">
        <v>1.73</v>
      </c>
      <c r="J55" s="2922">
        <v>0.03</v>
      </c>
      <c r="K55" s="2922">
        <v>2.59</v>
      </c>
      <c r="L55" s="2923">
        <v>-1.66</v>
      </c>
      <c r="N55" s="2901">
        <f t="shared" si="158"/>
        <v>1.7299999999999999E-2</v>
      </c>
      <c r="O55" s="2887">
        <f t="shared" si="158"/>
        <v>2.9999999999999997E-4</v>
      </c>
      <c r="P55" s="2887">
        <f t="shared" si="158"/>
        <v>2.5899999999999999E-2</v>
      </c>
      <c r="Q55" s="2887">
        <f t="shared" si="158"/>
        <v>-1.66E-2</v>
      </c>
      <c r="R55" s="2902"/>
      <c r="S55" s="2911"/>
      <c r="T55" s="2912"/>
      <c r="U55" s="2912"/>
      <c r="V55" s="2912"/>
      <c r="X55" s="2912"/>
      <c r="Y55" s="2912"/>
      <c r="Z55" s="2912"/>
    </row>
    <row r="56" spans="1:26">
      <c r="A56" s="2898" t="s">
        <v>2584</v>
      </c>
      <c r="B56" s="2899">
        <f t="shared" ref="B56:C58" si="173">B55/(1+N55)</f>
        <v>210.36075887152265</v>
      </c>
      <c r="C56" s="2899">
        <f t="shared" si="173"/>
        <v>187.94361691492554</v>
      </c>
      <c r="D56" s="2899">
        <f t="shared" si="156"/>
        <v>187.94361691492554</v>
      </c>
      <c r="E56" s="2899">
        <f t="shared" ref="E56:F58" si="174">E55/(1+P55)</f>
        <v>281.70386977288234</v>
      </c>
      <c r="F56" s="2899">
        <f t="shared" si="174"/>
        <v>168.80211511083994</v>
      </c>
      <c r="G56" s="3533">
        <v>2008</v>
      </c>
      <c r="H56" s="2925">
        <v>3</v>
      </c>
      <c r="I56" s="2925">
        <v>1.96</v>
      </c>
      <c r="J56" s="2925">
        <v>2.36</v>
      </c>
      <c r="K56" s="2925">
        <v>1.82</v>
      </c>
      <c r="L56" s="2926">
        <v>2.2200000000000002</v>
      </c>
      <c r="N56" s="2901">
        <f t="shared" si="158"/>
        <v>1.9599999999999999E-2</v>
      </c>
      <c r="O56" s="2887">
        <f t="shared" si="158"/>
        <v>2.3599999999999999E-2</v>
      </c>
      <c r="P56" s="2887">
        <f t="shared" si="158"/>
        <v>1.8200000000000001E-2</v>
      </c>
      <c r="Q56" s="2887">
        <f t="shared" si="158"/>
        <v>2.2200000000000001E-2</v>
      </c>
      <c r="R56" s="2902"/>
      <c r="S56" s="2901"/>
      <c r="T56" s="2887"/>
      <c r="U56" s="2887"/>
      <c r="V56" s="2887"/>
    </row>
    <row r="57" spans="1:26">
      <c r="A57" s="2898" t="s">
        <v>2585</v>
      </c>
      <c r="B57" s="2899">
        <f t="shared" si="173"/>
        <v>206.31694671589116</v>
      </c>
      <c r="C57" s="2899">
        <f t="shared" si="173"/>
        <v>183.61041121036101</v>
      </c>
      <c r="D57" s="2899">
        <f t="shared" si="156"/>
        <v>183.61041121036101</v>
      </c>
      <c r="E57" s="2899">
        <f t="shared" si="174"/>
        <v>276.66850301795557</v>
      </c>
      <c r="F57" s="2899">
        <f t="shared" si="174"/>
        <v>165.1360938278614</v>
      </c>
      <c r="G57" s="3533">
        <v>2008</v>
      </c>
      <c r="H57" s="2913">
        <v>2</v>
      </c>
      <c r="I57" s="2913">
        <v>4.93</v>
      </c>
      <c r="J57" s="2913">
        <v>7.38</v>
      </c>
      <c r="K57" s="2913">
        <v>3.98</v>
      </c>
      <c r="L57" s="2914">
        <v>6.86</v>
      </c>
      <c r="N57" s="2901">
        <f t="shared" si="158"/>
        <v>4.9299999999999997E-2</v>
      </c>
      <c r="O57" s="2887">
        <f t="shared" si="158"/>
        <v>7.3800000000000004E-2</v>
      </c>
      <c r="P57" s="2887">
        <f t="shared" si="158"/>
        <v>3.9800000000000002E-2</v>
      </c>
      <c r="Q57" s="2887">
        <f t="shared" si="158"/>
        <v>6.8600000000000008E-2</v>
      </c>
      <c r="R57" s="2902"/>
      <c r="S57" s="2901"/>
      <c r="T57" s="2887"/>
      <c r="U57" s="2887"/>
      <c r="V57" s="2887"/>
    </row>
    <row r="58" spans="1:26" s="2954" customFormat="1" ht="13.5" thickBot="1">
      <c r="A58" s="2898" t="s">
        <v>2586</v>
      </c>
      <c r="B58" s="2951">
        <f t="shared" si="173"/>
        <v>196.62341248059772</v>
      </c>
      <c r="C58" s="2951">
        <f t="shared" si="173"/>
        <v>170.99125648199012</v>
      </c>
      <c r="D58" s="2951">
        <f t="shared" si="156"/>
        <v>170.99125648199012</v>
      </c>
      <c r="E58" s="2951">
        <f t="shared" si="174"/>
        <v>266.07857570490052</v>
      </c>
      <c r="F58" s="2951">
        <f t="shared" si="174"/>
        <v>154.53499328828505</v>
      </c>
      <c r="G58" s="3536">
        <v>2008</v>
      </c>
      <c r="H58" s="2952">
        <v>1</v>
      </c>
      <c r="I58" s="2952">
        <v>4.1399999999999997</v>
      </c>
      <c r="J58" s="2952">
        <v>3.45</v>
      </c>
      <c r="K58" s="2952">
        <v>4.95</v>
      </c>
      <c r="L58" s="2953">
        <v>4.82</v>
      </c>
      <c r="N58" s="2955">
        <f t="shared" si="158"/>
        <v>4.1399999999999999E-2</v>
      </c>
      <c r="O58" s="2956">
        <f t="shared" si="158"/>
        <v>3.4500000000000003E-2</v>
      </c>
      <c r="P58" s="2956">
        <f t="shared" si="158"/>
        <v>4.9500000000000002E-2</v>
      </c>
      <c r="Q58" s="2956">
        <f t="shared" si="158"/>
        <v>4.82E-2</v>
      </c>
      <c r="R58" s="2957"/>
      <c r="S58" s="2955">
        <f>B58/B59-1</f>
        <v>4.5869215322328349E-2</v>
      </c>
      <c r="T58" s="2956">
        <f>C58/C59-1</f>
        <v>3.6310645345394743E-2</v>
      </c>
      <c r="U58" s="2956">
        <f>E58/E59-1</f>
        <v>4.7553447657088688E-2</v>
      </c>
      <c r="V58" s="2956">
        <f>F58/F59-1</f>
        <v>4.4155360055980086E-2</v>
      </c>
      <c r="X58" s="2956"/>
      <c r="Y58" s="2956"/>
      <c r="Z58" s="2956"/>
    </row>
    <row r="59" spans="1:26" ht="13.5" thickBot="1">
      <c r="A59" s="2898" t="s">
        <v>2587</v>
      </c>
      <c r="B59" s="2920">
        <v>188</v>
      </c>
      <c r="C59" s="2920">
        <v>165</v>
      </c>
      <c r="D59" s="2920">
        <f t="shared" si="156"/>
        <v>165</v>
      </c>
      <c r="E59" s="2920">
        <v>254</v>
      </c>
      <c r="F59" s="2921">
        <v>148</v>
      </c>
      <c r="G59" s="3535">
        <v>2007</v>
      </c>
      <c r="H59" s="2958">
        <v>4</v>
      </c>
      <c r="I59" s="2958">
        <v>5.51</v>
      </c>
      <c r="J59" s="2958">
        <v>4.8899999999999997</v>
      </c>
      <c r="K59" s="2958">
        <v>6.43</v>
      </c>
      <c r="L59" s="2959">
        <v>5.36</v>
      </c>
      <c r="N59" s="2960">
        <f t="shared" ref="N59:O62" si="175">B59/B60-1</f>
        <v>4.1339718365245526E-2</v>
      </c>
      <c r="O59" s="2961">
        <f t="shared" si="175"/>
        <v>4.0324492593776018E-2</v>
      </c>
      <c r="P59" s="2961">
        <f t="shared" ref="P59:Q62" si="176">E59/E60-1</f>
        <v>6.1625555347990968E-2</v>
      </c>
      <c r="Q59" s="2961">
        <f t="shared" si="176"/>
        <v>4.6757569250590603E-2</v>
      </c>
      <c r="R59" s="2902"/>
      <c r="S59" s="2911"/>
      <c r="T59" s="2912"/>
      <c r="U59" s="2912"/>
      <c r="V59" s="2912"/>
      <c r="X59" s="2912"/>
      <c r="Y59" s="2912"/>
      <c r="Z59" s="2912"/>
    </row>
    <row r="60" spans="1:26">
      <c r="A60" s="2898" t="s">
        <v>2588</v>
      </c>
      <c r="B60" s="2899">
        <f t="shared" ref="B60:C62" si="177">B61+(B$59-B$63)*I60/SUM(I$59:I$62)</f>
        <v>180.5366651097618</v>
      </c>
      <c r="C60" s="2899">
        <f t="shared" si="177"/>
        <v>158.60435967302453</v>
      </c>
      <c r="D60" s="2899">
        <f t="shared" si="156"/>
        <v>158.60435967302453</v>
      </c>
      <c r="E60" s="2899">
        <f t="shared" ref="E60:F62" si="178">E61+(E$59-E$63)*K60/SUM(K$59:K$62)</f>
        <v>239.25573260785075</v>
      </c>
      <c r="F60" s="2899">
        <f t="shared" si="178"/>
        <v>141.38899430740037</v>
      </c>
      <c r="G60" s="3533">
        <v>2007</v>
      </c>
      <c r="H60" s="2925">
        <v>3</v>
      </c>
      <c r="I60" s="2925">
        <v>8.65</v>
      </c>
      <c r="J60" s="2925">
        <v>8.06</v>
      </c>
      <c r="K60" s="2925">
        <v>9.94</v>
      </c>
      <c r="L60" s="2926">
        <v>5.8</v>
      </c>
      <c r="N60" s="2960">
        <f t="shared" si="175"/>
        <v>6.940217571740015E-2</v>
      </c>
      <c r="O60" s="2961">
        <f t="shared" si="175"/>
        <v>7.1197482471153428E-2</v>
      </c>
      <c r="P60" s="2961">
        <f t="shared" si="176"/>
        <v>0.10529679922579582</v>
      </c>
      <c r="Q60" s="2961">
        <f t="shared" si="176"/>
        <v>5.3292245059512133E-2</v>
      </c>
      <c r="R60" s="2902"/>
      <c r="S60" s="2901"/>
      <c r="T60" s="2887"/>
      <c r="U60" s="2887"/>
      <c r="V60" s="2887"/>
      <c r="X60" s="2962"/>
      <c r="Y60" s="2962"/>
      <c r="Z60" s="2962"/>
    </row>
    <row r="61" spans="1:26">
      <c r="A61" s="2898" t="s">
        <v>2589</v>
      </c>
      <c r="B61" s="2899">
        <f t="shared" si="177"/>
        <v>168.82017748715555</v>
      </c>
      <c r="C61" s="2899">
        <f t="shared" si="177"/>
        <v>148.06267029972753</v>
      </c>
      <c r="D61" s="2899">
        <f t="shared" si="156"/>
        <v>148.06267029972753</v>
      </c>
      <c r="E61" s="2899">
        <f t="shared" si="178"/>
        <v>216.46288379323747</v>
      </c>
      <c r="F61" s="2899">
        <f t="shared" si="178"/>
        <v>134.23529411764704</v>
      </c>
      <c r="G61" s="3533">
        <v>2007</v>
      </c>
      <c r="H61" s="2913">
        <v>2</v>
      </c>
      <c r="I61" s="2913">
        <v>3.67</v>
      </c>
      <c r="J61" s="2913">
        <v>2.3199999999999998</v>
      </c>
      <c r="K61" s="2913">
        <v>5.0199999999999996</v>
      </c>
      <c r="L61" s="2914">
        <v>6.71</v>
      </c>
      <c r="N61" s="2960">
        <f t="shared" si="175"/>
        <v>3.0339138143848032E-2</v>
      </c>
      <c r="O61" s="2961">
        <f t="shared" si="175"/>
        <v>2.0922341588790472E-2</v>
      </c>
      <c r="P61" s="2961">
        <f t="shared" si="176"/>
        <v>5.6164796592717003E-2</v>
      </c>
      <c r="Q61" s="2961">
        <f t="shared" si="176"/>
        <v>6.5704536723887319E-2</v>
      </c>
      <c r="R61" s="2902"/>
      <c r="S61" s="2901"/>
      <c r="T61" s="2887"/>
      <c r="U61" s="2887"/>
      <c r="V61" s="2887"/>
      <c r="X61" s="2962"/>
      <c r="Y61" s="2962"/>
      <c r="Z61" s="2962"/>
    </row>
    <row r="62" spans="1:26">
      <c r="A62" s="2898" t="s">
        <v>2590</v>
      </c>
      <c r="B62" s="2899">
        <f t="shared" si="177"/>
        <v>163.84913591779542</v>
      </c>
      <c r="C62" s="2899">
        <f t="shared" si="177"/>
        <v>145.0283378746594</v>
      </c>
      <c r="D62" s="2899">
        <f t="shared" si="156"/>
        <v>145.0283378746594</v>
      </c>
      <c r="E62" s="2899">
        <f t="shared" si="178"/>
        <v>204.95180722891567</v>
      </c>
      <c r="F62" s="2899">
        <f t="shared" si="178"/>
        <v>125.95920303605313</v>
      </c>
      <c r="G62" s="3536">
        <v>2007</v>
      </c>
      <c r="H62" s="2900">
        <v>1</v>
      </c>
      <c r="I62" s="2900">
        <v>3.58</v>
      </c>
      <c r="J62" s="2900">
        <v>3.08</v>
      </c>
      <c r="K62" s="2900">
        <v>4.34</v>
      </c>
      <c r="L62" s="2906">
        <v>3.21</v>
      </c>
      <c r="N62" s="2963">
        <f t="shared" si="175"/>
        <v>3.0497710174814063E-2</v>
      </c>
      <c r="O62" s="2964">
        <f t="shared" si="175"/>
        <v>2.8569772160704998E-2</v>
      </c>
      <c r="P62" s="2964">
        <f t="shared" si="176"/>
        <v>5.1034908866234296E-2</v>
      </c>
      <c r="Q62" s="2964">
        <f t="shared" si="176"/>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3.5" thickBot="1">
      <c r="A63" s="2898" t="s">
        <v>2591</v>
      </c>
      <c r="B63" s="2927">
        <v>159</v>
      </c>
      <c r="C63" s="2927">
        <v>141</v>
      </c>
      <c r="D63" s="2927">
        <f t="shared" si="156"/>
        <v>141</v>
      </c>
      <c r="E63" s="2927">
        <v>195</v>
      </c>
      <c r="F63" s="2928">
        <v>122</v>
      </c>
      <c r="G63" s="3535">
        <v>2006</v>
      </c>
      <c r="H63" s="2922">
        <v>4</v>
      </c>
      <c r="I63" s="2922">
        <v>3.79</v>
      </c>
      <c r="J63" s="2922">
        <v>2.21</v>
      </c>
      <c r="K63" s="2922">
        <v>5.65</v>
      </c>
      <c r="L63" s="2923">
        <v>5.41</v>
      </c>
      <c r="N63" s="2960">
        <f t="shared" ref="N63:O66" si="179">I63/SUM(I$63:I$66)*(B$63/B$67-1)</f>
        <v>7.245466462748526E-2</v>
      </c>
      <c r="O63" s="2961">
        <f t="shared" si="179"/>
        <v>2.3237230038062766E-2</v>
      </c>
      <c r="P63" s="2961">
        <f t="shared" ref="P63:Q66" si="180">K63/SUM(K$63:K$66)*(E$63/E$67-1)</f>
        <v>0.16146893866323722</v>
      </c>
      <c r="Q63" s="2961">
        <f t="shared" si="180"/>
        <v>5.0755230321793784E-2</v>
      </c>
      <c r="R63" s="2902"/>
      <c r="S63" s="2911"/>
      <c r="T63" s="2912"/>
      <c r="U63" s="2912"/>
      <c r="V63" s="2912"/>
      <c r="X63" s="2962"/>
      <c r="Y63" s="2962"/>
      <c r="Z63" s="2962"/>
    </row>
    <row r="64" spans="1:26">
      <c r="A64" s="2898" t="s">
        <v>2592</v>
      </c>
      <c r="B64" s="2899">
        <f t="shared" ref="B64:C66" si="181">B65+(B$63-B$67)*I64/SUM(I$63:I$66)</f>
        <v>149.00125628140702</v>
      </c>
      <c r="C64" s="2899">
        <f t="shared" si="181"/>
        <v>137.95592286501378</v>
      </c>
      <c r="D64" s="2899">
        <f t="shared" si="156"/>
        <v>137.95592286501378</v>
      </c>
      <c r="E64" s="2899">
        <f t="shared" ref="E64:F66" si="182">E65+(E$63-E$67)*K64/SUM(K$63:K$66)</f>
        <v>169.97231450719823</v>
      </c>
      <c r="F64" s="2899">
        <f t="shared" si="182"/>
        <v>116.21390374331551</v>
      </c>
      <c r="G64" s="3533">
        <v>2006</v>
      </c>
      <c r="H64" s="2925">
        <v>3</v>
      </c>
      <c r="I64" s="2925">
        <v>0.92</v>
      </c>
      <c r="J64" s="2925">
        <v>1.08</v>
      </c>
      <c r="K64" s="2925">
        <v>0.73</v>
      </c>
      <c r="L64" s="2926">
        <v>1.08</v>
      </c>
      <c r="N64" s="2960">
        <f t="shared" si="179"/>
        <v>1.7587939698492462E-2</v>
      </c>
      <c r="O64" s="2961">
        <f t="shared" si="179"/>
        <v>1.1355750425840628E-2</v>
      </c>
      <c r="P64" s="2961">
        <f t="shared" si="180"/>
        <v>2.0862358446754544E-2</v>
      </c>
      <c r="Q64" s="2961">
        <f t="shared" si="180"/>
        <v>1.0132282578103011E-2</v>
      </c>
      <c r="R64" s="2902"/>
      <c r="S64" s="2901"/>
      <c r="T64" s="2887"/>
      <c r="U64" s="2887"/>
      <c r="V64" s="2887"/>
      <c r="X64" s="2962"/>
      <c r="Y64" s="2962"/>
      <c r="Z64" s="2962"/>
    </row>
    <row r="65" spans="1:26">
      <c r="A65" s="2898" t="s">
        <v>2593</v>
      </c>
      <c r="B65" s="2899">
        <f t="shared" si="181"/>
        <v>146.57412060301507</v>
      </c>
      <c r="C65" s="2899">
        <f t="shared" si="181"/>
        <v>136.46831955922866</v>
      </c>
      <c r="D65" s="2899">
        <f t="shared" si="156"/>
        <v>136.46831955922866</v>
      </c>
      <c r="E65" s="2899">
        <f t="shared" si="182"/>
        <v>166.73864894795128</v>
      </c>
      <c r="F65" s="2899">
        <f t="shared" si="182"/>
        <v>115.05882352941177</v>
      </c>
      <c r="G65" s="3533">
        <v>2006</v>
      </c>
      <c r="H65" s="2913">
        <v>2</v>
      </c>
      <c r="I65" s="2913">
        <v>0.96</v>
      </c>
      <c r="J65" s="2913">
        <v>0.25</v>
      </c>
      <c r="K65" s="2913">
        <v>1.9</v>
      </c>
      <c r="L65" s="2914">
        <v>0.95</v>
      </c>
      <c r="N65" s="2960">
        <f t="shared" si="179"/>
        <v>1.8352632728861701E-2</v>
      </c>
      <c r="O65" s="2961">
        <f t="shared" si="179"/>
        <v>2.6286459319075526E-3</v>
      </c>
      <c r="P65" s="2961">
        <f t="shared" si="180"/>
        <v>5.4299289107991269E-2</v>
      </c>
      <c r="Q65" s="2961">
        <f t="shared" si="180"/>
        <v>8.9126559714794995E-3</v>
      </c>
      <c r="R65" s="2902"/>
      <c r="S65" s="2901"/>
      <c r="T65" s="2887"/>
      <c r="U65" s="2887"/>
      <c r="V65" s="2887"/>
      <c r="X65" s="2962"/>
      <c r="Y65" s="2962"/>
      <c r="Z65" s="2962"/>
    </row>
    <row r="66" spans="1:26">
      <c r="A66" s="2898" t="s">
        <v>2594</v>
      </c>
      <c r="B66" s="2899">
        <f t="shared" si="181"/>
        <v>144.04145728643215</v>
      </c>
      <c r="C66" s="2899">
        <f t="shared" si="181"/>
        <v>136.12396694214877</v>
      </c>
      <c r="D66" s="2899">
        <f t="shared" si="156"/>
        <v>136.12396694214877</v>
      </c>
      <c r="E66" s="2899">
        <f t="shared" si="182"/>
        <v>158.32225913621264</v>
      </c>
      <c r="F66" s="2899">
        <f t="shared" si="182"/>
        <v>114.04278074866311</v>
      </c>
      <c r="G66" s="3536">
        <v>2006</v>
      </c>
      <c r="H66" s="2900">
        <v>1</v>
      </c>
      <c r="I66" s="2900">
        <v>2.29</v>
      </c>
      <c r="J66" s="2900">
        <v>3.72</v>
      </c>
      <c r="K66" s="2900">
        <v>0.75</v>
      </c>
      <c r="L66" s="2906">
        <v>0.04</v>
      </c>
      <c r="N66" s="2963">
        <f t="shared" si="179"/>
        <v>4.3778675988638847E-2</v>
      </c>
      <c r="O66" s="2964">
        <f t="shared" si="179"/>
        <v>3.9114251466784385E-2</v>
      </c>
      <c r="P66" s="2964">
        <f t="shared" si="180"/>
        <v>2.1433929911049188E-2</v>
      </c>
      <c r="Q66" s="2964">
        <f t="shared" si="180"/>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3.5" thickBot="1">
      <c r="A67" s="2898" t="s">
        <v>2595</v>
      </c>
      <c r="B67" s="2927">
        <v>138</v>
      </c>
      <c r="C67" s="2927">
        <v>131</v>
      </c>
      <c r="D67" s="2927">
        <f t="shared" si="156"/>
        <v>131</v>
      </c>
      <c r="E67" s="2927">
        <v>155</v>
      </c>
      <c r="F67" s="2928">
        <v>114</v>
      </c>
      <c r="G67" s="3535">
        <v>2005</v>
      </c>
      <c r="H67" s="2922">
        <v>4</v>
      </c>
      <c r="I67" s="2922">
        <v>3.29</v>
      </c>
      <c r="J67" s="2922">
        <v>1.44</v>
      </c>
      <c r="K67" s="2922">
        <v>0.66</v>
      </c>
      <c r="L67" s="2923">
        <v>7.78</v>
      </c>
      <c r="N67" s="2960">
        <f t="shared" ref="N67:O70" si="183">I67/SUM(I$67:I$70)*(B$67/B$71-1)</f>
        <v>9.9404603216919935E-2</v>
      </c>
      <c r="O67" s="2961">
        <f t="shared" si="183"/>
        <v>4.7636550760861554E-2</v>
      </c>
      <c r="P67" s="2961">
        <f t="shared" ref="P67:Q70" si="184">K67/SUM(K$67:K$70)*(E$67/E$71-1)</f>
        <v>8.3756345177664976E-2</v>
      </c>
      <c r="Q67" s="2961">
        <f t="shared" si="184"/>
        <v>5.2148766661559584E-2</v>
      </c>
      <c r="R67" s="2902"/>
      <c r="S67" s="2911"/>
      <c r="T67" s="2912"/>
      <c r="U67" s="2912"/>
      <c r="V67" s="2912"/>
      <c r="X67" s="2962"/>
      <c r="Y67" s="2962"/>
      <c r="Z67" s="2962"/>
    </row>
    <row r="68" spans="1:26">
      <c r="A68" s="2898" t="s">
        <v>2596</v>
      </c>
      <c r="B68" s="2899">
        <f t="shared" ref="B68:C70" si="185">B69+(B$67-B$71)*I68/SUM(I$67:I$70)</f>
        <v>125.9720430107527</v>
      </c>
      <c r="C68" s="2899">
        <f t="shared" si="185"/>
        <v>125.1883408071749</v>
      </c>
      <c r="D68" s="2899">
        <f t="shared" si="156"/>
        <v>125.1883408071749</v>
      </c>
      <c r="E68" s="2899">
        <f t="shared" ref="E68:F70" si="186">E69+(E$67-E$71)*K68/SUM(K$67:K$70)</f>
        <v>144.61421319796952</v>
      </c>
      <c r="F68" s="2899">
        <f t="shared" si="186"/>
        <v>108.42008196721311</v>
      </c>
      <c r="G68" s="3533">
        <v>2005</v>
      </c>
      <c r="H68" s="2925">
        <v>3</v>
      </c>
      <c r="I68" s="2925">
        <v>0.46</v>
      </c>
      <c r="J68" s="2925">
        <v>0.32</v>
      </c>
      <c r="K68" s="2925">
        <v>0.42</v>
      </c>
      <c r="L68" s="2926">
        <v>0.64</v>
      </c>
      <c r="N68" s="2960">
        <f t="shared" si="183"/>
        <v>1.3898515951301874E-2</v>
      </c>
      <c r="O68" s="2961">
        <f t="shared" si="183"/>
        <v>1.0585900169080346E-2</v>
      </c>
      <c r="P68" s="2961">
        <f t="shared" si="184"/>
        <v>5.3299492385786795E-2</v>
      </c>
      <c r="Q68" s="2961">
        <f t="shared" si="184"/>
        <v>4.2898728359123568E-3</v>
      </c>
      <c r="R68" s="2902"/>
      <c r="S68" s="2901"/>
      <c r="T68" s="2887"/>
      <c r="U68" s="2887"/>
      <c r="V68" s="2887"/>
      <c r="X68" s="2962"/>
      <c r="Y68" s="2962"/>
      <c r="Z68" s="2962"/>
    </row>
    <row r="69" spans="1:26">
      <c r="A69" s="2898" t="s">
        <v>2597</v>
      </c>
      <c r="B69" s="2899">
        <f t="shared" si="185"/>
        <v>124.29032258064517</v>
      </c>
      <c r="C69" s="2899">
        <f t="shared" si="185"/>
        <v>123.8968609865471</v>
      </c>
      <c r="D69" s="2899">
        <f t="shared" si="156"/>
        <v>123.8968609865471</v>
      </c>
      <c r="E69" s="2899">
        <f t="shared" si="186"/>
        <v>138.00507614213197</v>
      </c>
      <c r="F69" s="2899">
        <f t="shared" si="186"/>
        <v>107.96106557377048</v>
      </c>
      <c r="G69" s="3533">
        <v>2005</v>
      </c>
      <c r="H69" s="2913">
        <v>2</v>
      </c>
      <c r="I69" s="2913">
        <v>0.47</v>
      </c>
      <c r="J69" s="2913">
        <v>0.1</v>
      </c>
      <c r="K69" s="2913">
        <v>0.52</v>
      </c>
      <c r="L69" s="2914">
        <v>0.79</v>
      </c>
      <c r="N69" s="2960">
        <f t="shared" si="183"/>
        <v>1.420065760241713E-2</v>
      </c>
      <c r="O69" s="2961">
        <f t="shared" si="183"/>
        <v>3.3080938028376083E-3</v>
      </c>
      <c r="P69" s="2961">
        <f t="shared" si="184"/>
        <v>6.598984771573603E-2</v>
      </c>
      <c r="Q69" s="2961">
        <f t="shared" si="184"/>
        <v>5.2953117818293153E-3</v>
      </c>
      <c r="R69" s="2902"/>
      <c r="S69" s="2901"/>
      <c r="T69" s="2887"/>
      <c r="U69" s="2887"/>
      <c r="V69" s="2887"/>
      <c r="X69" s="2962"/>
      <c r="Y69" s="2962"/>
      <c r="Z69" s="2962"/>
    </row>
    <row r="70" spans="1:26">
      <c r="A70" s="2898" t="s">
        <v>2598</v>
      </c>
      <c r="B70" s="2899">
        <f t="shared" si="185"/>
        <v>122.57204301075269</v>
      </c>
      <c r="C70" s="2899">
        <f t="shared" si="185"/>
        <v>123.4932735426009</v>
      </c>
      <c r="D70" s="2899">
        <f t="shared" si="156"/>
        <v>123.4932735426009</v>
      </c>
      <c r="E70" s="2899">
        <f t="shared" si="186"/>
        <v>129.82233502538071</v>
      </c>
      <c r="F70" s="2899">
        <f t="shared" si="186"/>
        <v>107.39446721311475</v>
      </c>
      <c r="G70" s="3536">
        <v>2005</v>
      </c>
      <c r="H70" s="2900">
        <v>1</v>
      </c>
      <c r="I70" s="2900">
        <v>0.43</v>
      </c>
      <c r="J70" s="2900">
        <v>0.37</v>
      </c>
      <c r="K70" s="2900">
        <v>0.37</v>
      </c>
      <c r="L70" s="2906">
        <v>0.55000000000000004</v>
      </c>
      <c r="N70" s="2963">
        <f t="shared" si="183"/>
        <v>1.2992090997956099E-2</v>
      </c>
      <c r="O70" s="2964">
        <f t="shared" si="183"/>
        <v>1.2239947070499151E-2</v>
      </c>
      <c r="P70" s="2964">
        <f t="shared" si="184"/>
        <v>4.6954314720812178E-2</v>
      </c>
      <c r="Q70" s="2964">
        <f t="shared" si="184"/>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3.5" thickBot="1">
      <c r="A71" s="2898" t="s">
        <v>2599</v>
      </c>
      <c r="B71" s="2948">
        <v>121</v>
      </c>
      <c r="C71" s="2948">
        <v>122</v>
      </c>
      <c r="D71" s="2948">
        <f t="shared" si="156"/>
        <v>122</v>
      </c>
      <c r="E71" s="2948">
        <v>124</v>
      </c>
      <c r="F71" s="2949">
        <v>107</v>
      </c>
      <c r="G71" s="3535">
        <v>2004</v>
      </c>
      <c r="H71" s="2922">
        <v>4</v>
      </c>
      <c r="I71" s="2922">
        <v>0.33</v>
      </c>
      <c r="J71" s="2922">
        <v>0.5</v>
      </c>
      <c r="K71" s="2922">
        <v>0.5</v>
      </c>
      <c r="L71" s="2923">
        <v>0</v>
      </c>
      <c r="N71" s="2960">
        <f t="shared" ref="N71:O74" si="187">I71/SUM(I$71:I$74)*(B$71/B$75-1)</f>
        <v>1.3391770148526898E-2</v>
      </c>
      <c r="O71" s="2961">
        <f t="shared" si="187"/>
        <v>1.063264221158958E-2</v>
      </c>
      <c r="P71" s="2961">
        <f t="shared" ref="P71:Q74" si="188">K71/SUM(K$71:K$74)*(E$71/E$75-1)</f>
        <v>2.2244466688911134E-2</v>
      </c>
      <c r="Q71" s="2961">
        <f t="shared" si="188"/>
        <v>0</v>
      </c>
      <c r="R71" s="2902"/>
      <c r="S71" s="2911"/>
      <c r="T71" s="2912"/>
      <c r="U71" s="2912"/>
      <c r="V71" s="2912"/>
      <c r="X71" s="2962"/>
      <c r="Y71" s="2962"/>
      <c r="Z71" s="2962"/>
    </row>
    <row r="72" spans="1:26">
      <c r="A72" s="2898" t="s">
        <v>2600</v>
      </c>
      <c r="B72" s="2899">
        <f t="shared" ref="B72:C74" si="189">B73+(B$71-B$75)*I72/SUM(I$71:I$74)</f>
        <v>119.51351351351352</v>
      </c>
      <c r="C72" s="2899">
        <f t="shared" si="189"/>
        <v>120.7878787878788</v>
      </c>
      <c r="D72" s="2899">
        <f t="shared" si="156"/>
        <v>120.7878787878788</v>
      </c>
      <c r="E72" s="2899">
        <f t="shared" ref="E72:F74" si="190">E73+(E$71-E$75)*K72/SUM(K$71:K$74)</f>
        <v>121.5975975975976</v>
      </c>
      <c r="F72" s="2899">
        <f t="shared" si="190"/>
        <v>107</v>
      </c>
      <c r="G72" s="3533">
        <v>2004</v>
      </c>
      <c r="H72" s="2925">
        <v>3</v>
      </c>
      <c r="I72" s="2925">
        <v>0.56000000000000005</v>
      </c>
      <c r="J72" s="2925">
        <v>0.8</v>
      </c>
      <c r="K72" s="2925">
        <v>0.83</v>
      </c>
      <c r="L72" s="2926">
        <v>0.06</v>
      </c>
      <c r="N72" s="2960">
        <f t="shared" si="187"/>
        <v>2.2725428130833527E-2</v>
      </c>
      <c r="O72" s="2961">
        <f t="shared" si="187"/>
        <v>1.7012227538543329E-2</v>
      </c>
      <c r="P72" s="2961">
        <f t="shared" si="188"/>
        <v>3.6925814703592477E-2</v>
      </c>
      <c r="Q72" s="2961">
        <f t="shared" si="188"/>
        <v>2.8846153846153744E-2</v>
      </c>
      <c r="R72" s="2902"/>
      <c r="S72" s="2901"/>
      <c r="T72" s="2887"/>
      <c r="U72" s="2887"/>
      <c r="V72" s="2887"/>
      <c r="X72" s="2962"/>
      <c r="Y72" s="2962"/>
      <c r="Z72" s="2962"/>
    </row>
    <row r="73" spans="1:26">
      <c r="A73" s="2898" t="s">
        <v>2601</v>
      </c>
      <c r="B73" s="2899">
        <f t="shared" si="189"/>
        <v>116.99099099099099</v>
      </c>
      <c r="C73" s="2899">
        <f t="shared" si="189"/>
        <v>118.84848484848486</v>
      </c>
      <c r="D73" s="2899">
        <f t="shared" si="156"/>
        <v>118.84848484848486</v>
      </c>
      <c r="E73" s="2899">
        <f t="shared" si="190"/>
        <v>117.60960960960961</v>
      </c>
      <c r="F73" s="2899">
        <f t="shared" si="190"/>
        <v>104</v>
      </c>
      <c r="G73" s="3533">
        <v>2004</v>
      </c>
      <c r="H73" s="2913">
        <v>2</v>
      </c>
      <c r="I73" s="2913">
        <v>1</v>
      </c>
      <c r="J73" s="2913">
        <v>1.5</v>
      </c>
      <c r="K73" s="2913">
        <v>1.5</v>
      </c>
      <c r="L73" s="2914">
        <v>0</v>
      </c>
      <c r="N73" s="2960">
        <f t="shared" si="187"/>
        <v>4.0581121662202721E-2</v>
      </c>
      <c r="O73" s="2961">
        <f t="shared" si="187"/>
        <v>3.1897926634768738E-2</v>
      </c>
      <c r="P73" s="2961">
        <f t="shared" si="188"/>
        <v>6.6733400066733395E-2</v>
      </c>
      <c r="Q73" s="2961">
        <f t="shared" si="188"/>
        <v>0</v>
      </c>
      <c r="R73" s="2902"/>
      <c r="S73" s="2901"/>
      <c r="T73" s="2887"/>
      <c r="U73" s="2887"/>
      <c r="V73" s="2887"/>
      <c r="X73" s="2962"/>
      <c r="Y73" s="2962"/>
      <c r="Z73" s="2962"/>
    </row>
    <row r="74" spans="1:26" s="2954" customFormat="1" ht="13.5" thickBot="1">
      <c r="A74" s="2898" t="s">
        <v>2602</v>
      </c>
      <c r="B74" s="2951">
        <f t="shared" si="189"/>
        <v>112.48648648648648</v>
      </c>
      <c r="C74" s="2951">
        <f t="shared" si="189"/>
        <v>115.21212121212122</v>
      </c>
      <c r="D74" s="2951">
        <f t="shared" si="156"/>
        <v>115.21212121212122</v>
      </c>
      <c r="E74" s="2951">
        <f t="shared" si="190"/>
        <v>110.4024024024024</v>
      </c>
      <c r="F74" s="2951">
        <f t="shared" si="190"/>
        <v>104</v>
      </c>
      <c r="G74" s="3536">
        <v>2004</v>
      </c>
      <c r="H74" s="2952">
        <v>1</v>
      </c>
      <c r="I74" s="2952">
        <v>0.33</v>
      </c>
      <c r="J74" s="2952">
        <v>0.5</v>
      </c>
      <c r="K74" s="2952">
        <v>0.5</v>
      </c>
      <c r="L74" s="2953">
        <v>0</v>
      </c>
      <c r="N74" s="2965">
        <f t="shared" si="187"/>
        <v>1.3391770148526898E-2</v>
      </c>
      <c r="O74" s="2966">
        <f t="shared" si="187"/>
        <v>1.063264221158958E-2</v>
      </c>
      <c r="P74" s="2966">
        <f t="shared" si="188"/>
        <v>2.2244466688911134E-2</v>
      </c>
      <c r="Q74" s="2966">
        <f t="shared" si="188"/>
        <v>0</v>
      </c>
      <c r="R74" s="2957"/>
      <c r="S74" s="2955">
        <f>B74/B75-1</f>
        <v>1.3391770148526883E-2</v>
      </c>
      <c r="T74" s="2956">
        <f>C74/C75-1</f>
        <v>1.063264221158966E-2</v>
      </c>
      <c r="U74" s="2956">
        <f>E74/E75-1</f>
        <v>2.2244466688911224E-2</v>
      </c>
      <c r="V74" s="2956">
        <f>F74/F75-1</f>
        <v>0</v>
      </c>
      <c r="X74" s="2967"/>
      <c r="Y74" s="2967"/>
      <c r="Z74" s="2967"/>
    </row>
    <row r="75" spans="1:26" ht="13.5" thickBot="1">
      <c r="A75" s="2898" t="s">
        <v>2603</v>
      </c>
      <c r="B75" s="2968">
        <v>111</v>
      </c>
      <c r="C75" s="2968">
        <v>114</v>
      </c>
      <c r="D75" s="2968">
        <f t="shared" si="156"/>
        <v>114</v>
      </c>
      <c r="E75" s="2968">
        <v>108</v>
      </c>
      <c r="F75" s="2969">
        <v>104</v>
      </c>
      <c r="G75" s="3535">
        <v>2003</v>
      </c>
      <c r="H75" s="2958">
        <v>4</v>
      </c>
      <c r="I75" s="2970"/>
      <c r="J75" s="2970"/>
      <c r="K75" s="2970"/>
      <c r="L75" s="2970"/>
      <c r="N75" s="2971"/>
      <c r="O75" s="2970"/>
      <c r="P75" s="2970"/>
      <c r="Q75" s="2970"/>
      <c r="S75" s="2971"/>
      <c r="T75" s="2970"/>
      <c r="U75" s="2970"/>
      <c r="V75" s="2970"/>
      <c r="X75" s="2962"/>
      <c r="Y75" s="2962"/>
      <c r="Z75" s="2962"/>
    </row>
    <row r="76" spans="1:26">
      <c r="A76" s="2898" t="s">
        <v>2604</v>
      </c>
      <c r="B76" s="2972">
        <f t="shared" ref="B76:C78" si="191">B77+(B$75-B$79)/4</f>
        <v>109.75</v>
      </c>
      <c r="C76" s="2972">
        <f t="shared" si="191"/>
        <v>112.25</v>
      </c>
      <c r="D76" s="2972">
        <f t="shared" si="156"/>
        <v>112.25</v>
      </c>
      <c r="E76" s="2972">
        <f t="shared" ref="E76:F78" si="192">E77+(E$75-E$79)/4</f>
        <v>107.25</v>
      </c>
      <c r="F76" s="2972">
        <f t="shared" si="192"/>
        <v>103.5</v>
      </c>
      <c r="G76" s="3533">
        <v>2003</v>
      </c>
      <c r="H76" s="2925">
        <v>3</v>
      </c>
      <c r="I76" s="2970"/>
      <c r="J76" s="2970"/>
      <c r="K76" s="2970"/>
      <c r="L76" s="2970"/>
      <c r="X76" s="2962"/>
      <c r="Y76" s="2962"/>
      <c r="Z76" s="2962"/>
    </row>
    <row r="77" spans="1:26">
      <c r="A77" s="2898" t="s">
        <v>2605</v>
      </c>
      <c r="B77" s="2972">
        <f t="shared" si="191"/>
        <v>108.5</v>
      </c>
      <c r="C77" s="2972">
        <f t="shared" si="191"/>
        <v>110.5</v>
      </c>
      <c r="D77" s="2972">
        <f t="shared" si="156"/>
        <v>110.5</v>
      </c>
      <c r="E77" s="2972">
        <f t="shared" si="192"/>
        <v>106.5</v>
      </c>
      <c r="F77" s="2972">
        <f t="shared" si="192"/>
        <v>103</v>
      </c>
      <c r="G77" s="3533">
        <v>2003</v>
      </c>
      <c r="H77" s="2913">
        <v>2</v>
      </c>
      <c r="I77" s="2970"/>
      <c r="J77" s="2970"/>
      <c r="K77" s="2970"/>
      <c r="L77" s="2970"/>
      <c r="X77" s="2962"/>
      <c r="Y77" s="2962"/>
      <c r="Z77" s="2962"/>
    </row>
    <row r="78" spans="1:26" ht="13.5" thickBot="1">
      <c r="A78" s="2898" t="s">
        <v>2606</v>
      </c>
      <c r="B78" s="2972">
        <f t="shared" si="191"/>
        <v>107.25</v>
      </c>
      <c r="C78" s="2972">
        <f t="shared" si="191"/>
        <v>108.75</v>
      </c>
      <c r="D78" s="2972">
        <f t="shared" si="156"/>
        <v>108.75</v>
      </c>
      <c r="E78" s="2972">
        <f t="shared" si="192"/>
        <v>105.75</v>
      </c>
      <c r="F78" s="2972">
        <f t="shared" si="192"/>
        <v>102.5</v>
      </c>
      <c r="G78" s="3536">
        <v>2003</v>
      </c>
      <c r="H78" s="2973">
        <v>1</v>
      </c>
      <c r="I78" s="2970"/>
      <c r="J78" s="2970"/>
      <c r="K78" s="2970"/>
      <c r="L78" s="2970"/>
      <c r="S78" s="2901"/>
      <c r="T78" s="2887"/>
      <c r="U78" s="2887"/>
      <c r="X78" s="2962"/>
      <c r="Y78" s="2962"/>
      <c r="Z78" s="2962"/>
    </row>
    <row r="79" spans="1:26" ht="13.5" thickBot="1">
      <c r="A79" s="2898" t="s">
        <v>2607</v>
      </c>
      <c r="B79" s="2974">
        <v>106</v>
      </c>
      <c r="C79" s="2974">
        <v>107</v>
      </c>
      <c r="D79" s="2974">
        <f t="shared" si="156"/>
        <v>107</v>
      </c>
      <c r="E79" s="2974">
        <v>105</v>
      </c>
      <c r="F79" s="2975">
        <v>102</v>
      </c>
      <c r="G79" s="3535">
        <v>2002</v>
      </c>
      <c r="H79" s="2922">
        <v>4</v>
      </c>
      <c r="I79" s="2970"/>
      <c r="J79" s="2970"/>
      <c r="K79" s="2970"/>
      <c r="L79" s="2970"/>
      <c r="N79" s="2971"/>
      <c r="O79" s="2970"/>
      <c r="P79" s="2970"/>
      <c r="Q79" s="2970"/>
      <c r="S79" s="2971"/>
      <c r="T79" s="2970"/>
      <c r="U79" s="2970"/>
      <c r="V79" s="2970"/>
      <c r="X79" s="2962"/>
      <c r="Y79" s="2962"/>
      <c r="Z79" s="2962"/>
    </row>
    <row r="80" spans="1:26">
      <c r="A80" s="2898" t="s">
        <v>2608</v>
      </c>
      <c r="B80" s="2972">
        <f t="shared" ref="B80:C82" si="193">B81+(B$79-B$83)/4</f>
        <v>105</v>
      </c>
      <c r="C80" s="2972">
        <f t="shared" si="193"/>
        <v>106</v>
      </c>
      <c r="D80" s="2972">
        <f t="shared" si="156"/>
        <v>106</v>
      </c>
      <c r="E80" s="2972">
        <f t="shared" ref="E80:F82" si="194">E81+(E$79-E$83)/4</f>
        <v>104.5</v>
      </c>
      <c r="F80" s="2972">
        <f t="shared" si="194"/>
        <v>101.5</v>
      </c>
      <c r="G80" s="3533">
        <v>2002</v>
      </c>
      <c r="H80" s="2925">
        <v>3</v>
      </c>
      <c r="I80" s="2970"/>
      <c r="J80" s="2970"/>
      <c r="K80" s="2970"/>
      <c r="L80" s="2970"/>
      <c r="X80" s="2962"/>
      <c r="Y80" s="2962"/>
      <c r="Z80" s="2962"/>
    </row>
    <row r="81" spans="1:26">
      <c r="A81" s="2898" t="s">
        <v>2609</v>
      </c>
      <c r="B81" s="2972">
        <f t="shared" si="193"/>
        <v>104</v>
      </c>
      <c r="C81" s="2972">
        <f t="shared" si="193"/>
        <v>105</v>
      </c>
      <c r="D81" s="2972">
        <f t="shared" si="156"/>
        <v>105</v>
      </c>
      <c r="E81" s="2972">
        <f t="shared" si="194"/>
        <v>104</v>
      </c>
      <c r="F81" s="2972">
        <f t="shared" si="194"/>
        <v>101</v>
      </c>
      <c r="G81" s="3533">
        <v>2002</v>
      </c>
      <c r="H81" s="2913">
        <v>2</v>
      </c>
      <c r="I81" s="2970"/>
      <c r="J81" s="2970"/>
      <c r="K81" s="2970"/>
      <c r="L81" s="2970"/>
      <c r="X81" s="2962"/>
      <c r="Y81" s="2962"/>
      <c r="Z81" s="2962"/>
    </row>
    <row r="82" spans="1:26" s="2935" customFormat="1" ht="13.5" thickBot="1">
      <c r="A82" s="2931" t="s">
        <v>2610</v>
      </c>
      <c r="B82" s="2938">
        <f t="shared" si="193"/>
        <v>103</v>
      </c>
      <c r="C82" s="2938">
        <f t="shared" si="193"/>
        <v>104</v>
      </c>
      <c r="D82" s="2938">
        <f t="shared" si="156"/>
        <v>104</v>
      </c>
      <c r="E82" s="2938">
        <f t="shared" si="194"/>
        <v>103.5</v>
      </c>
      <c r="F82" s="2938">
        <f t="shared" si="194"/>
        <v>100.5</v>
      </c>
      <c r="G82" s="3536">
        <v>2002</v>
      </c>
      <c r="H82" s="2976">
        <v>1</v>
      </c>
      <c r="I82" s="2977"/>
      <c r="J82" s="2977"/>
      <c r="K82" s="2977"/>
      <c r="L82" s="2977"/>
      <c r="N82" s="2978"/>
      <c r="S82" s="2978"/>
      <c r="X82" s="2979"/>
      <c r="Y82" s="2979"/>
      <c r="Z82" s="2979"/>
    </row>
    <row r="83" spans="1:26" ht="13.5" thickBot="1">
      <c r="B83" s="2980">
        <v>102</v>
      </c>
      <c r="C83" s="2981">
        <v>103</v>
      </c>
      <c r="D83" s="2981">
        <f t="shared" si="156"/>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c r="A85" s="2983" t="s">
        <v>2611</v>
      </c>
      <c r="G85" s="2985"/>
      <c r="N85" s="2985"/>
      <c r="S85" s="2985"/>
    </row>
    <row r="86" spans="1:26" s="2984" customFormat="1">
      <c r="A86" s="2984" t="s">
        <v>2612</v>
      </c>
      <c r="G86" s="2985"/>
      <c r="N86" s="2985"/>
      <c r="S86" s="2985"/>
    </row>
    <row r="87" spans="1:26" s="2984" customFormat="1">
      <c r="A87" s="2984" t="s">
        <v>2613</v>
      </c>
      <c r="G87" s="2985"/>
      <c r="I87" s="2986"/>
      <c r="J87" s="2986"/>
      <c r="K87" s="2986"/>
      <c r="L87" s="2986"/>
      <c r="N87" s="2987"/>
      <c r="O87" s="2986"/>
      <c r="P87" s="2986"/>
      <c r="Q87" s="2986"/>
      <c r="S87" s="2987"/>
      <c r="T87" s="2986"/>
      <c r="U87" s="2986"/>
      <c r="V87" s="2986"/>
    </row>
    <row r="88" spans="1:26" s="2984" customFormat="1">
      <c r="A88" s="2984" t="s">
        <v>2614</v>
      </c>
      <c r="G88" s="2985"/>
      <c r="N88" s="2985"/>
      <c r="S88" s="2985"/>
    </row>
    <row r="95" spans="1:26" ht="13.5" thickBot="1"/>
    <row r="96" spans="1:26">
      <c r="G96" s="2886"/>
      <c r="S96" s="2988" t="s">
        <v>2615</v>
      </c>
      <c r="T96" s="2989" t="s">
        <v>2616</v>
      </c>
      <c r="U96" s="2989" t="s">
        <v>2617</v>
      </c>
      <c r="V96" s="2989" t="s">
        <v>2618</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3.5"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2066</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2066</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S50" sqref="S50"/>
    </sheetView>
  </sheetViews>
  <sheetFormatPr defaultRowHeight="13.5"/>
  <cols>
    <col min="1" max="1" width="10.5" customWidth="1"/>
    <col min="2" max="2" width="12.875" customWidth="1"/>
    <col min="3" max="3" width="8.75" customWidth="1"/>
  </cols>
  <sheetData>
    <row r="1" spans="1:9" ht="14.25">
      <c r="A1" s="3552" t="s">
        <v>2452</v>
      </c>
      <c r="B1" s="3553"/>
      <c r="C1" s="3554"/>
      <c r="D1" s="3555">
        <f>SUM(I10,I15,I20,I21,I23)</f>
        <v>0</v>
      </c>
      <c r="E1" s="3555"/>
      <c r="F1" s="3555"/>
      <c r="G1" s="3555"/>
      <c r="H1" s="3555"/>
      <c r="I1" s="3556"/>
    </row>
    <row r="2" spans="1:9">
      <c r="A2" s="3557" t="s">
        <v>2453</v>
      </c>
      <c r="B2" s="3558" t="s">
        <v>2454</v>
      </c>
      <c r="C2" s="3558"/>
      <c r="D2" s="2360" t="s">
        <v>2455</v>
      </c>
      <c r="E2" s="2360" t="s">
        <v>2456</v>
      </c>
      <c r="F2" s="2360" t="s">
        <v>2457</v>
      </c>
      <c r="G2" s="2360" t="s">
        <v>2458</v>
      </c>
      <c r="H2" s="2360" t="s">
        <v>2459</v>
      </c>
      <c r="I2" s="2361" t="s">
        <v>2460</v>
      </c>
    </row>
    <row r="3" spans="1:9">
      <c r="A3" s="3557"/>
      <c r="B3" s="3558" t="s">
        <v>2461</v>
      </c>
      <c r="C3" s="3558"/>
      <c r="D3" s="2362"/>
      <c r="E3" s="2360"/>
      <c r="F3" s="2363"/>
      <c r="G3" s="2363"/>
      <c r="H3" s="2364"/>
      <c r="I3" s="2365">
        <f>ROUND(D3*E3*F3*G3*H3/10000,0)</f>
        <v>0</v>
      </c>
    </row>
    <row r="4" spans="1:9">
      <c r="A4" s="3557"/>
      <c r="B4" s="3558" t="s">
        <v>2462</v>
      </c>
      <c r="C4" s="3558"/>
      <c r="D4" s="2362"/>
      <c r="E4" s="2360"/>
      <c r="F4" s="2363"/>
      <c r="G4" s="2363"/>
      <c r="H4" s="2364"/>
      <c r="I4" s="2365">
        <f t="shared" ref="I4:I9" si="0">ROUND(D4*E4*F4*G4*H4/10000,0)</f>
        <v>0</v>
      </c>
    </row>
    <row r="5" spans="1:9">
      <c r="A5" s="3557"/>
      <c r="B5" s="3558" t="s">
        <v>2463</v>
      </c>
      <c r="C5" s="3558"/>
      <c r="D5" s="2362"/>
      <c r="E5" s="2360"/>
      <c r="F5" s="2363"/>
      <c r="G5" s="2363"/>
      <c r="H5" s="2364"/>
      <c r="I5" s="2365">
        <f t="shared" si="0"/>
        <v>0</v>
      </c>
    </row>
    <row r="6" spans="1:9">
      <c r="A6" s="3557"/>
      <c r="B6" s="3558" t="s">
        <v>2464</v>
      </c>
      <c r="C6" s="3558"/>
      <c r="D6" s="2362"/>
      <c r="E6" s="2360"/>
      <c r="F6" s="2363"/>
      <c r="G6" s="2363"/>
      <c r="H6" s="2364"/>
      <c r="I6" s="2365">
        <f t="shared" si="0"/>
        <v>0</v>
      </c>
    </row>
    <row r="7" spans="1:9">
      <c r="A7" s="3557"/>
      <c r="B7" s="3558" t="s">
        <v>2465</v>
      </c>
      <c r="C7" s="3558"/>
      <c r="D7" s="2362"/>
      <c r="E7" s="2360"/>
      <c r="F7" s="2363"/>
      <c r="G7" s="2363"/>
      <c r="H7" s="2364"/>
      <c r="I7" s="2365">
        <f t="shared" si="0"/>
        <v>0</v>
      </c>
    </row>
    <row r="8" spans="1:9">
      <c r="A8" s="3557"/>
      <c r="B8" s="3558" t="s">
        <v>2466</v>
      </c>
      <c r="C8" s="3558"/>
      <c r="D8" s="2362"/>
      <c r="E8" s="2360"/>
      <c r="F8" s="2363"/>
      <c r="G8" s="2363"/>
      <c r="H8" s="2364"/>
      <c r="I8" s="2365">
        <f t="shared" si="0"/>
        <v>0</v>
      </c>
    </row>
    <row r="9" spans="1:9">
      <c r="A9" s="3557"/>
      <c r="B9" s="3558" t="s">
        <v>2467</v>
      </c>
      <c r="C9" s="3558"/>
      <c r="D9" s="2362"/>
      <c r="E9" s="2360"/>
      <c r="F9" s="2363"/>
      <c r="G9" s="2363"/>
      <c r="H9" s="2364"/>
      <c r="I9" s="2365">
        <f t="shared" si="0"/>
        <v>0</v>
      </c>
    </row>
    <row r="10" spans="1:9">
      <c r="A10" s="3557"/>
      <c r="B10" s="3559" t="s">
        <v>2468</v>
      </c>
      <c r="C10" s="3559"/>
      <c r="D10" s="2366">
        <v>527</v>
      </c>
      <c r="E10" s="2366" t="e">
        <f>ROUND(D1*10000/D10/H9,0)</f>
        <v>#DIV/0!</v>
      </c>
      <c r="F10" s="2367"/>
      <c r="G10" s="2367"/>
      <c r="H10" s="2368"/>
      <c r="I10" s="2369">
        <f>SUM(I3:I9)</f>
        <v>0</v>
      </c>
    </row>
    <row r="11" spans="1:9" ht="14.25">
      <c r="A11" s="3557" t="s">
        <v>2469</v>
      </c>
      <c r="B11" s="3558" t="s">
        <v>2470</v>
      </c>
      <c r="C11" s="3558"/>
      <c r="D11" s="2362" t="s">
        <v>2471</v>
      </c>
      <c r="E11" s="2362" t="s">
        <v>2472</v>
      </c>
      <c r="F11" s="2363" t="s">
        <v>2473</v>
      </c>
      <c r="G11" s="2363" t="s">
        <v>2474</v>
      </c>
      <c r="H11" s="2370" t="s">
        <v>2475</v>
      </c>
      <c r="I11" s="2361" t="s">
        <v>2476</v>
      </c>
    </row>
    <row r="12" spans="1:9">
      <c r="A12" s="3557"/>
      <c r="B12" s="3558" t="s">
        <v>2477</v>
      </c>
      <c r="C12" s="3558"/>
      <c r="D12" s="2362"/>
      <c r="E12" s="2362"/>
      <c r="F12" s="2363"/>
      <c r="G12" s="2364"/>
      <c r="H12" s="2371"/>
      <c r="I12" s="2361">
        <f>ROUND(D12*E12*F12*G12/10000,0)</f>
        <v>0</v>
      </c>
    </row>
    <row r="13" spans="1:9">
      <c r="A13" s="3557"/>
      <c r="B13" s="3558" t="s">
        <v>2478</v>
      </c>
      <c r="C13" s="3558"/>
      <c r="D13" s="2362"/>
      <c r="E13" s="2362"/>
      <c r="F13" s="2363"/>
      <c r="G13" s="2364"/>
      <c r="H13" s="2371"/>
      <c r="I13" s="2361">
        <f>ROUND(D13*E13*F13*G13/10000,0)</f>
        <v>0</v>
      </c>
    </row>
    <row r="14" spans="1:9">
      <c r="A14" s="3557"/>
      <c r="B14" s="3558" t="s">
        <v>2479</v>
      </c>
      <c r="C14" s="3558"/>
      <c r="D14" s="2362"/>
      <c r="E14" s="2362"/>
      <c r="F14" s="2363"/>
      <c r="G14" s="2364"/>
      <c r="H14" s="2371"/>
      <c r="I14" s="2361">
        <f>ROUND(D14*E14*F14*G14/10000,0)</f>
        <v>0</v>
      </c>
    </row>
    <row r="15" spans="1:9">
      <c r="A15" s="3557"/>
      <c r="B15" s="3559" t="s">
        <v>2468</v>
      </c>
      <c r="C15" s="3559"/>
      <c r="D15" s="2366"/>
      <c r="E15" s="2366">
        <f>SUM(E12:E14)</f>
        <v>0</v>
      </c>
      <c r="F15" s="2367"/>
      <c r="G15" s="2364"/>
      <c r="H15" s="2371"/>
      <c r="I15" s="2372">
        <f>SUM(I12:I14)</f>
        <v>0</v>
      </c>
    </row>
    <row r="16" spans="1:9" ht="24">
      <c r="A16" s="3557" t="s">
        <v>2480</v>
      </c>
      <c r="B16" s="3558" t="s">
        <v>2481</v>
      </c>
      <c r="C16" s="3558"/>
      <c r="D16" s="2362" t="s">
        <v>2482</v>
      </c>
      <c r="E16" s="2373" t="s">
        <v>2483</v>
      </c>
      <c r="F16" s="2363" t="s">
        <v>2484</v>
      </c>
      <c r="G16" s="2364" t="s">
        <v>2474</v>
      </c>
      <c r="H16" s="2370" t="s">
        <v>2475</v>
      </c>
      <c r="I16" s="2361" t="s">
        <v>2476</v>
      </c>
    </row>
    <row r="17" spans="1:9" ht="14.25">
      <c r="A17" s="3557"/>
      <c r="B17" s="3558" t="s">
        <v>2485</v>
      </c>
      <c r="C17" s="3558"/>
      <c r="D17" s="2362"/>
      <c r="E17" s="2362"/>
      <c r="F17" s="2363"/>
      <c r="G17" s="2364"/>
      <c r="H17" s="2374"/>
      <c r="I17" s="2375">
        <f>ROUND(D17*E17*F17*G17/10000,0)</f>
        <v>0</v>
      </c>
    </row>
    <row r="18" spans="1:9" ht="14.25">
      <c r="A18" s="3557"/>
      <c r="B18" s="3558" t="s">
        <v>2486</v>
      </c>
      <c r="C18" s="3558"/>
      <c r="D18" s="2362"/>
      <c r="E18" s="2362"/>
      <c r="F18" s="2363"/>
      <c r="G18" s="2364"/>
      <c r="H18" s="2374"/>
      <c r="I18" s="2375">
        <f>ROUND(D18*E18*F18*G18/10000,0)</f>
        <v>0</v>
      </c>
    </row>
    <row r="19" spans="1:9" ht="14.25">
      <c r="A19" s="3557"/>
      <c r="B19" s="3558" t="s">
        <v>2487</v>
      </c>
      <c r="C19" s="3558"/>
      <c r="D19" s="2362"/>
      <c r="E19" s="2362"/>
      <c r="F19" s="2363"/>
      <c r="G19" s="2364"/>
      <c r="H19" s="2374"/>
      <c r="I19" s="2375">
        <f>ROUND(D19*E19*F19*G19/10000,0)</f>
        <v>0</v>
      </c>
    </row>
    <row r="20" spans="1:9">
      <c r="A20" s="3557"/>
      <c r="B20" s="3559" t="s">
        <v>2468</v>
      </c>
      <c r="C20" s="3559"/>
      <c r="D20" s="2366">
        <f>SUM(D17:D19)</f>
        <v>0</v>
      </c>
      <c r="E20" s="2366"/>
      <c r="F20" s="2367"/>
      <c r="G20" s="2364"/>
      <c r="H20" s="2371"/>
      <c r="I20" s="2372">
        <f>SUM(I17:I19)</f>
        <v>0</v>
      </c>
    </row>
    <row r="21" spans="1:9">
      <c r="A21" s="3557" t="s">
        <v>2488</v>
      </c>
      <c r="B21" s="3561"/>
      <c r="C21" s="3561"/>
      <c r="D21" s="3561"/>
      <c r="E21" s="3561"/>
      <c r="F21" s="3561"/>
      <c r="G21" s="3561"/>
      <c r="H21" s="2376">
        <v>0.1</v>
      </c>
      <c r="I21" s="2369">
        <f>ROUND(I10*H21,0)</f>
        <v>0</v>
      </c>
    </row>
    <row r="22" spans="1:9" ht="14.25">
      <c r="A22" s="3562" t="s">
        <v>2489</v>
      </c>
      <c r="B22" s="3563"/>
      <c r="C22" s="3564"/>
      <c r="D22" s="2377" t="s">
        <v>2490</v>
      </c>
      <c r="E22" s="2377" t="s">
        <v>2491</v>
      </c>
      <c r="F22" s="2378" t="s">
        <v>2492</v>
      </c>
      <c r="G22" s="2378" t="s">
        <v>2493</v>
      </c>
      <c r="H22" s="2370" t="s">
        <v>2494</v>
      </c>
      <c r="I22" s="2361" t="s">
        <v>2495</v>
      </c>
    </row>
    <row r="23" spans="1:9" ht="14.25" thickBot="1">
      <c r="A23" s="3565"/>
      <c r="B23" s="3566"/>
      <c r="C23" s="3567"/>
      <c r="D23" s="2379"/>
      <c r="E23" s="2379"/>
      <c r="F23" s="2379"/>
      <c r="G23" s="2380"/>
      <c r="H23" s="2381"/>
      <c r="I23" s="2382">
        <f>ROUND(E23*D23*F23*(1-G23)/10000,0)</f>
        <v>0</v>
      </c>
    </row>
    <row r="26" spans="1:9">
      <c r="A26" s="2383" t="s">
        <v>2496</v>
      </c>
      <c r="B26" s="2383"/>
      <c r="C26" s="2383"/>
      <c r="D26" s="2383"/>
      <c r="E26" s="3568">
        <f>C27-C30-C31-C32</f>
        <v>0</v>
      </c>
      <c r="F26" s="3568"/>
      <c r="G26" s="3568"/>
      <c r="H26" s="2756" t="s">
        <v>2822</v>
      </c>
    </row>
    <row r="27" spans="1:9">
      <c r="A27" s="2384">
        <v>1</v>
      </c>
      <c r="B27" s="2385" t="s">
        <v>2497</v>
      </c>
      <c r="C27" s="2385"/>
      <c r="D27" s="2385"/>
      <c r="E27" s="3569"/>
      <c r="F27" s="3569"/>
      <c r="G27" s="3569"/>
    </row>
    <row r="28" spans="1:9">
      <c r="A28" s="2386" t="s">
        <v>2498</v>
      </c>
      <c r="B28" s="2385" t="s">
        <v>2499</v>
      </c>
      <c r="C28" s="2385"/>
      <c r="D28" s="2385"/>
      <c r="E28" s="3569"/>
      <c r="F28" s="3569"/>
      <c r="G28" s="3569"/>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60"/>
      <c r="F32" s="3560"/>
      <c r="G32" s="3560"/>
    </row>
    <row r="33" spans="1:7" hidden="1">
      <c r="A33" s="3570" t="s">
        <v>2507</v>
      </c>
      <c r="B33" s="3571"/>
      <c r="C33" s="3571"/>
      <c r="D33" s="3572"/>
      <c r="E33" s="3568"/>
      <c r="F33" s="3568"/>
      <c r="G33" s="3568"/>
    </row>
    <row r="34" spans="1:7" hidden="1">
      <c r="A34" s="2388">
        <v>1</v>
      </c>
      <c r="B34" s="2385" t="s">
        <v>2508</v>
      </c>
      <c r="C34" s="2385"/>
      <c r="D34" s="2385"/>
      <c r="E34" s="3569"/>
      <c r="F34" s="3569"/>
      <c r="G34" s="3569"/>
    </row>
    <row r="35" spans="1:7" hidden="1">
      <c r="A35" s="2388">
        <v>2</v>
      </c>
      <c r="B35" s="2385" t="s">
        <v>2509</v>
      </c>
      <c r="C35" s="2385"/>
      <c r="D35" s="2385"/>
      <c r="E35" s="3569"/>
      <c r="F35" s="3569"/>
      <c r="G35" s="3569"/>
    </row>
    <row r="36" spans="1:7" hidden="1">
      <c r="A36" s="2388">
        <v>3</v>
      </c>
      <c r="B36" s="2385" t="s">
        <v>2510</v>
      </c>
      <c r="C36" s="2385"/>
      <c r="D36" s="2385"/>
      <c r="E36" s="3569"/>
      <c r="F36" s="3569"/>
      <c r="G36" s="3569"/>
    </row>
    <row r="37" spans="1:7" hidden="1">
      <c r="A37" s="2388">
        <v>4</v>
      </c>
      <c r="B37" s="2385" t="s">
        <v>2511</v>
      </c>
      <c r="C37" s="2385"/>
      <c r="D37" s="2385"/>
      <c r="E37" s="3569"/>
      <c r="F37" s="3569"/>
      <c r="G37" s="3569"/>
    </row>
    <row r="38" spans="1:7" hidden="1">
      <c r="A38" s="3570" t="s">
        <v>2512</v>
      </c>
      <c r="B38" s="3571"/>
      <c r="C38" s="3571"/>
      <c r="D38" s="3572"/>
      <c r="E38" s="3568"/>
      <c r="F38" s="3568"/>
      <c r="G38" s="35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S50" sqref="S5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0</v>
      </c>
      <c r="D12" s="3271">
        <f>'数据-汇总表'!E5</f>
        <v>0</v>
      </c>
      <c r="E12" s="3271">
        <f>'数据-取费表'!B27</f>
        <v>0</v>
      </c>
      <c r="F12" s="746"/>
      <c r="G12" s="749"/>
    </row>
    <row r="13" spans="1:25" s="2064" customFormat="1" ht="13.5" customHeight="1">
      <c r="A13" s="2329" t="s">
        <v>2429</v>
      </c>
      <c r="B13" s="747" t="s">
        <v>606</v>
      </c>
      <c r="C13" s="748">
        <f>ROUND(D13*E13/10000,0)</f>
        <v>0</v>
      </c>
      <c r="D13" s="3271">
        <f>'数据-汇总表'!E6</f>
        <v>198.07</v>
      </c>
      <c r="E13" s="3271">
        <f>'数据-取费表'!B28</f>
        <v>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0.91900000000000004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S50" sqref="S50"/>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62" t="s">
        <v>516</v>
      </c>
      <c r="D4" s="3463"/>
      <c r="E4" s="3496" t="s">
        <v>517</v>
      </c>
      <c r="F4" s="3497"/>
      <c r="G4" s="3462" t="s">
        <v>518</v>
      </c>
      <c r="H4" s="3463"/>
      <c r="I4" s="3462" t="s">
        <v>519</v>
      </c>
      <c r="J4" s="3463"/>
      <c r="K4" s="842"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59" t="s">
        <v>518</v>
      </c>
      <c r="AC4" s="3459" t="s">
        <v>519</v>
      </c>
    </row>
    <row r="5" spans="1:29" ht="15">
      <c r="A5" s="509"/>
      <c r="B5" s="510"/>
      <c r="C5" s="3478" t="s">
        <v>2897</v>
      </c>
      <c r="D5" s="3479"/>
      <c r="E5" s="3498" t="s">
        <v>2898</v>
      </c>
      <c r="F5" s="3499"/>
      <c r="G5" s="3478" t="s">
        <v>2899</v>
      </c>
      <c r="H5" s="3479"/>
      <c r="I5" s="3478" t="s">
        <v>2900</v>
      </c>
      <c r="J5" s="3479"/>
      <c r="K5" s="843"/>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2901</v>
      </c>
      <c r="D6" s="3477"/>
      <c r="E6" s="3494" t="s">
        <v>2901</v>
      </c>
      <c r="F6" s="3495"/>
      <c r="G6" s="3476" t="s">
        <v>2901</v>
      </c>
      <c r="H6" s="3477"/>
      <c r="I6" s="3476" t="s">
        <v>2901</v>
      </c>
      <c r="J6" s="3477"/>
      <c r="K6" s="843"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44357</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87" t="s">
        <v>524</v>
      </c>
      <c r="Q7" s="3489"/>
      <c r="R7" s="1503" t="s">
        <v>13</v>
      </c>
      <c r="S7" s="1504">
        <f t="shared" ref="S7:S15" si="0">F7</f>
        <v>0</v>
      </c>
      <c r="T7" s="1503" t="s">
        <v>13</v>
      </c>
      <c r="U7" s="1504">
        <f t="shared" ref="U7:U15" si="1">H7</f>
        <v>0</v>
      </c>
      <c r="V7" s="1503" t="s">
        <v>13</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87" t="s">
        <v>527</v>
      </c>
      <c r="Q8" s="3488"/>
      <c r="R8" s="1503" t="s">
        <v>13</v>
      </c>
      <c r="S8" s="1504">
        <f t="shared" si="0"/>
        <v>0</v>
      </c>
      <c r="T8" s="1503" t="s">
        <v>13</v>
      </c>
      <c r="U8" s="1504">
        <f t="shared" si="1"/>
        <v>0</v>
      </c>
      <c r="V8" s="1503" t="s">
        <v>13</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56"/>
      <c r="Q11" s="1134" t="str">
        <f t="shared" si="6"/>
        <v>容积率</v>
      </c>
      <c r="R11" s="1503" t="s">
        <v>11</v>
      </c>
      <c r="S11" s="1504" t="e">
        <f t="shared" si="0"/>
        <v>#N/A</v>
      </c>
      <c r="T11" s="1503" t="s">
        <v>11</v>
      </c>
      <c r="U11" s="1504" t="e">
        <f t="shared" si="1"/>
        <v>#N/A</v>
      </c>
      <c r="V11" s="1503" t="s">
        <v>11</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56"/>
      <c r="Q12" s="1134">
        <f t="shared" si="6"/>
        <v>111</v>
      </c>
      <c r="R12" s="1503" t="s">
        <v>11</v>
      </c>
      <c r="S12" s="1504">
        <f t="shared" si="0"/>
        <v>100</v>
      </c>
      <c r="T12" s="1503" t="s">
        <v>11</v>
      </c>
      <c r="U12" s="1504">
        <f t="shared" si="1"/>
        <v>100</v>
      </c>
      <c r="V12" s="1503" t="s">
        <v>11</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56"/>
      <c r="Q13" s="1134">
        <f t="shared" si="6"/>
        <v>111</v>
      </c>
      <c r="R13" s="1503" t="s">
        <v>11</v>
      </c>
      <c r="S13" s="1504">
        <f t="shared" si="0"/>
        <v>100</v>
      </c>
      <c r="T13" s="1503" t="s">
        <v>11</v>
      </c>
      <c r="U13" s="1504">
        <f t="shared" si="1"/>
        <v>100</v>
      </c>
      <c r="V13" s="1503" t="s">
        <v>11</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56"/>
      <c r="Q14" s="1134">
        <f t="shared" si="6"/>
        <v>111</v>
      </c>
      <c r="R14" s="1503" t="s">
        <v>11</v>
      </c>
      <c r="S14" s="1504">
        <f t="shared" si="0"/>
        <v>100</v>
      </c>
      <c r="T14" s="1503" t="s">
        <v>11</v>
      </c>
      <c r="U14" s="1504">
        <f t="shared" si="1"/>
        <v>100</v>
      </c>
      <c r="V14" s="1503" t="s">
        <v>11</v>
      </c>
      <c r="W14" s="1504">
        <f t="shared" si="2"/>
        <v>100</v>
      </c>
      <c r="X14" s="1505"/>
      <c r="Y14" s="3402"/>
      <c r="Z14" s="1133">
        <f t="shared" si="7"/>
        <v>111</v>
      </c>
      <c r="AA14" s="1506">
        <f t="shared" si="3"/>
        <v>1</v>
      </c>
      <c r="AB14" s="1506">
        <f t="shared" si="4"/>
        <v>1</v>
      </c>
      <c r="AC14" s="1506">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0" t="s">
        <v>534</v>
      </c>
      <c r="Q15" s="1507" t="str">
        <f t="shared" si="6"/>
        <v>居住社区成熟度</v>
      </c>
      <c r="R15" s="1508" t="s">
        <v>11</v>
      </c>
      <c r="S15" s="1509">
        <f t="shared" si="0"/>
        <v>100</v>
      </c>
      <c r="T15" s="1508" t="s">
        <v>11</v>
      </c>
      <c r="U15" s="1509">
        <f t="shared" si="1"/>
        <v>100</v>
      </c>
      <c r="V15" s="1508" t="s">
        <v>11</v>
      </c>
      <c r="W15" s="1509">
        <f t="shared" si="2"/>
        <v>100</v>
      </c>
      <c r="X15" s="1502"/>
      <c r="Y15" s="349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1"/>
      <c r="Q17" s="1507" t="str">
        <f>B17</f>
        <v>交通便捷度</v>
      </c>
      <c r="R17" s="1508" t="s">
        <v>11</v>
      </c>
      <c r="S17" s="1509">
        <f>F17</f>
        <v>100</v>
      </c>
      <c r="T17" s="1508" t="s">
        <v>11</v>
      </c>
      <c r="U17" s="1509">
        <f>H17</f>
        <v>100</v>
      </c>
      <c r="V17" s="1508" t="s">
        <v>11</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1"/>
      <c r="Q19" s="1507" t="str">
        <f>B19</f>
        <v>公共配套设施</v>
      </c>
      <c r="R19" s="1508" t="s">
        <v>11</v>
      </c>
      <c r="S19" s="1509">
        <f>F19</f>
        <v>100</v>
      </c>
      <c r="T19" s="1508" t="s">
        <v>11</v>
      </c>
      <c r="U19" s="1509">
        <f>H19</f>
        <v>100</v>
      </c>
      <c r="V19" s="1508" t="s">
        <v>11</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1"/>
      <c r="Q21" s="2429" t="str">
        <f>B21</f>
        <v>基础设施水平</v>
      </c>
      <c r="R21" s="1508" t="s">
        <v>11</v>
      </c>
      <c r="S21" s="1509">
        <f>F21</f>
        <v>100</v>
      </c>
      <c r="T21" s="1508" t="s">
        <v>11</v>
      </c>
      <c r="U21" s="1509">
        <f>H21</f>
        <v>100</v>
      </c>
      <c r="V21" s="1508" t="s">
        <v>11</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91"/>
      <c r="Q22" s="2429"/>
      <c r="R22" s="1508"/>
      <c r="S22" s="1509"/>
      <c r="T22" s="1508"/>
      <c r="U22" s="1509"/>
      <c r="V22" s="1508"/>
      <c r="W22" s="1509"/>
      <c r="X22" s="2431"/>
      <c r="Y22" s="3491"/>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1"/>
      <c r="Q23" s="1507" t="str">
        <f>B23</f>
        <v>自然及人文环境</v>
      </c>
      <c r="R23" s="1508" t="s">
        <v>11</v>
      </c>
      <c r="S23" s="1509">
        <f>F23</f>
        <v>100</v>
      </c>
      <c r="T23" s="1508" t="s">
        <v>11</v>
      </c>
      <c r="U23" s="1509">
        <f>H23</f>
        <v>100</v>
      </c>
      <c r="V23" s="1508" t="s">
        <v>11</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1"/>
      <c r="Q25" s="1507" t="str">
        <f t="shared" ref="Q25:Q46" si="11">B25</f>
        <v>楼层-1</v>
      </c>
      <c r="R25" s="1508" t="s">
        <v>11</v>
      </c>
      <c r="S25" s="1509">
        <f>F25</f>
        <v>100</v>
      </c>
      <c r="T25" s="1508" t="s">
        <v>11</v>
      </c>
      <c r="U25" s="1509">
        <f>H25</f>
        <v>100</v>
      </c>
      <c r="V25" s="1508" t="s">
        <v>11</v>
      </c>
      <c r="W25" s="1509">
        <f>J25</f>
        <v>100</v>
      </c>
      <c r="X25" s="1502"/>
      <c r="Y25" s="349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1"/>
      <c r="Q26" s="1507" t="str">
        <f t="shared" si="11"/>
        <v>朝向</v>
      </c>
      <c r="R26" s="1508" t="s">
        <v>11</v>
      </c>
      <c r="S26" s="1509">
        <f>F26</f>
        <v>100</v>
      </c>
      <c r="T26" s="1508" t="s">
        <v>11</v>
      </c>
      <c r="U26" s="1509">
        <f>H26</f>
        <v>100</v>
      </c>
      <c r="V26" s="1508" t="s">
        <v>11</v>
      </c>
      <c r="W26" s="1509">
        <f>J26</f>
        <v>100</v>
      </c>
      <c r="X26" s="1502"/>
      <c r="Y26" s="349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1"/>
      <c r="Q27" s="1134" t="str">
        <f t="shared" si="11"/>
        <v>道路级别</v>
      </c>
      <c r="R27" s="1503" t="s">
        <v>11</v>
      </c>
      <c r="S27" s="1504">
        <f>F27</f>
        <v>100</v>
      </c>
      <c r="T27" s="1503" t="s">
        <v>11</v>
      </c>
      <c r="U27" s="1504">
        <f>H27</f>
        <v>100</v>
      </c>
      <c r="V27" s="1503" t="s">
        <v>11</v>
      </c>
      <c r="W27" s="1504">
        <f>J27</f>
        <v>100</v>
      </c>
      <c r="X27" s="1505"/>
      <c r="Y27" s="349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1"/>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1"/>
      <c r="Q29" s="1507">
        <f t="shared" si="11"/>
        <v>111</v>
      </c>
      <c r="R29" s="1508" t="s">
        <v>11</v>
      </c>
      <c r="S29" s="1509">
        <f t="shared" si="12"/>
        <v>100</v>
      </c>
      <c r="T29" s="1508" t="s">
        <v>11</v>
      </c>
      <c r="U29" s="1509">
        <f t="shared" si="13"/>
        <v>100</v>
      </c>
      <c r="V29" s="1508" t="s">
        <v>11</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1"/>
      <c r="Q30" s="1507">
        <f t="shared" si="11"/>
        <v>111</v>
      </c>
      <c r="R30" s="1508" t="s">
        <v>11</v>
      </c>
      <c r="S30" s="1509">
        <f t="shared" si="12"/>
        <v>100</v>
      </c>
      <c r="T30" s="1508" t="s">
        <v>11</v>
      </c>
      <c r="U30" s="1509">
        <f t="shared" si="13"/>
        <v>100</v>
      </c>
      <c r="V30" s="1508" t="s">
        <v>11</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1"/>
      <c r="Q31" s="1507">
        <f t="shared" si="11"/>
        <v>111</v>
      </c>
      <c r="R31" s="1508" t="s">
        <v>11</v>
      </c>
      <c r="S31" s="1509">
        <f t="shared" si="12"/>
        <v>100</v>
      </c>
      <c r="T31" s="1508" t="s">
        <v>11</v>
      </c>
      <c r="U31" s="1509">
        <f t="shared" si="13"/>
        <v>100</v>
      </c>
      <c r="V31" s="1508" t="s">
        <v>11</v>
      </c>
      <c r="W31" s="1509">
        <f t="shared" si="14"/>
        <v>100</v>
      </c>
      <c r="X31" s="1502"/>
      <c r="Y31" s="3491"/>
      <c r="Z31" s="1510">
        <f t="shared" si="15"/>
        <v>111</v>
      </c>
      <c r="AA31" s="1511">
        <f t="shared" si="3"/>
        <v>1</v>
      </c>
      <c r="AB31" s="1511">
        <f t="shared" si="4"/>
        <v>1</v>
      </c>
      <c r="AC31" s="1511">
        <f t="shared" si="5"/>
        <v>1</v>
      </c>
    </row>
    <row r="32" spans="1:29" ht="15">
      <c r="A32" s="2624"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2" t="s">
        <v>544</v>
      </c>
      <c r="Q32" s="1507" t="str">
        <f t="shared" si="11"/>
        <v>建筑类型</v>
      </c>
      <c r="R32" s="1508" t="s">
        <v>11</v>
      </c>
      <c r="S32" s="1509">
        <f t="shared" si="12"/>
        <v>100</v>
      </c>
      <c r="T32" s="1508" t="s">
        <v>11</v>
      </c>
      <c r="U32" s="1509">
        <f t="shared" si="13"/>
        <v>100</v>
      </c>
      <c r="V32" s="1508" t="s">
        <v>11</v>
      </c>
      <c r="W32" s="1509">
        <f t="shared" si="14"/>
        <v>100</v>
      </c>
      <c r="X32" s="1502"/>
      <c r="Y32" s="349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3"/>
      <c r="Q33" s="1536" t="str">
        <f t="shared" si="11"/>
        <v>项目建筑规模</v>
      </c>
      <c r="R33" s="1512" t="s">
        <v>11</v>
      </c>
      <c r="S33" s="1513" t="e">
        <f t="shared" si="12"/>
        <v>#N/A</v>
      </c>
      <c r="T33" s="1512" t="s">
        <v>11</v>
      </c>
      <c r="U33" s="1513" t="e">
        <f t="shared" si="13"/>
        <v>#N/A</v>
      </c>
      <c r="V33" s="1512" t="s">
        <v>11</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3"/>
      <c r="Q34" s="1507" t="str">
        <f t="shared" si="11"/>
        <v>建筑结构</v>
      </c>
      <c r="R34" s="1508" t="s">
        <v>11</v>
      </c>
      <c r="S34" s="1509">
        <f t="shared" si="12"/>
        <v>100</v>
      </c>
      <c r="T34" s="1508" t="s">
        <v>11</v>
      </c>
      <c r="U34" s="1509">
        <f t="shared" si="13"/>
        <v>100</v>
      </c>
      <c r="V34" s="1508" t="s">
        <v>11</v>
      </c>
      <c r="W34" s="1509">
        <f t="shared" si="14"/>
        <v>100</v>
      </c>
      <c r="X34" s="1502"/>
      <c r="Y34" s="349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3"/>
      <c r="Q35" s="1507" t="str">
        <f t="shared" si="11"/>
        <v>建筑品质</v>
      </c>
      <c r="R35" s="1508" t="s">
        <v>11</v>
      </c>
      <c r="S35" s="1509">
        <f t="shared" si="12"/>
        <v>100</v>
      </c>
      <c r="T35" s="1508" t="s">
        <v>11</v>
      </c>
      <c r="U35" s="1509">
        <f t="shared" si="13"/>
        <v>100</v>
      </c>
      <c r="V35" s="1508" t="s">
        <v>11</v>
      </c>
      <c r="W35" s="1509">
        <f t="shared" si="14"/>
        <v>100</v>
      </c>
      <c r="X35" s="1502"/>
      <c r="Y35" s="349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3"/>
      <c r="Q36" s="1507" t="str">
        <f t="shared" si="11"/>
        <v>公共部分装修</v>
      </c>
      <c r="R36" s="1508" t="s">
        <v>11</v>
      </c>
      <c r="S36" s="1509">
        <f t="shared" si="12"/>
        <v>100</v>
      </c>
      <c r="T36" s="1508" t="s">
        <v>11</v>
      </c>
      <c r="U36" s="1509">
        <f t="shared" si="13"/>
        <v>100</v>
      </c>
      <c r="V36" s="1508" t="s">
        <v>11</v>
      </c>
      <c r="W36" s="1509">
        <f t="shared" si="14"/>
        <v>100</v>
      </c>
      <c r="X36" s="1502"/>
      <c r="Y36" s="349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3"/>
      <c r="Q37" s="1134" t="str">
        <f t="shared" si="11"/>
        <v>成新度</v>
      </c>
      <c r="R37" s="1503" t="s">
        <v>11</v>
      </c>
      <c r="S37" s="1504" t="e">
        <f t="shared" si="12"/>
        <v>#N/A</v>
      </c>
      <c r="T37" s="1503" t="s">
        <v>11</v>
      </c>
      <c r="U37" s="1504" t="e">
        <f t="shared" si="13"/>
        <v>#N/A</v>
      </c>
      <c r="V37" s="1503" t="s">
        <v>11</v>
      </c>
      <c r="W37" s="1504" t="e">
        <f t="shared" si="14"/>
        <v>#N/A</v>
      </c>
      <c r="X37" s="1505"/>
      <c r="Y37" s="349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3" t="s">
        <v>544</v>
      </c>
      <c r="Q38" s="1507" t="str">
        <f t="shared" si="11"/>
        <v>物业管理</v>
      </c>
      <c r="R38" s="1508" t="s">
        <v>11</v>
      </c>
      <c r="S38" s="1509">
        <f t="shared" si="12"/>
        <v>100</v>
      </c>
      <c r="T38" s="1508" t="s">
        <v>11</v>
      </c>
      <c r="U38" s="1509">
        <f t="shared" si="13"/>
        <v>100</v>
      </c>
      <c r="V38" s="1508" t="s">
        <v>11</v>
      </c>
      <c r="W38" s="1509">
        <f t="shared" si="14"/>
        <v>100</v>
      </c>
      <c r="X38" s="1502"/>
      <c r="Y38" s="3493" t="s">
        <v>544</v>
      </c>
      <c r="Z38" s="1510" t="str">
        <f t="shared" si="15"/>
        <v>物业管理</v>
      </c>
      <c r="AA38" s="1511">
        <f t="shared" si="3"/>
        <v>1</v>
      </c>
      <c r="AB38" s="1511">
        <f t="shared" si="4"/>
        <v>1</v>
      </c>
      <c r="AC38" s="1511">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3"/>
      <c r="Q39" s="1507" t="str">
        <f t="shared" si="11"/>
        <v>市政基础设施</v>
      </c>
      <c r="R39" s="1508" t="s">
        <v>11</v>
      </c>
      <c r="S39" s="1509">
        <f t="shared" si="12"/>
        <v>100</v>
      </c>
      <c r="T39" s="1508" t="s">
        <v>11</v>
      </c>
      <c r="U39" s="1509">
        <f t="shared" si="13"/>
        <v>100</v>
      </c>
      <c r="V39" s="1508" t="s">
        <v>11</v>
      </c>
      <c r="W39" s="1509">
        <f t="shared" si="14"/>
        <v>100</v>
      </c>
      <c r="X39" s="1502"/>
      <c r="Y39" s="349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3"/>
      <c r="Q40" s="1507" t="str">
        <f t="shared" si="11"/>
        <v>房型</v>
      </c>
      <c r="R40" s="1508" t="s">
        <v>11</v>
      </c>
      <c r="S40" s="1509">
        <f t="shared" si="12"/>
        <v>100</v>
      </c>
      <c r="T40" s="1508" t="s">
        <v>11</v>
      </c>
      <c r="U40" s="1509">
        <f t="shared" si="13"/>
        <v>100</v>
      </c>
      <c r="V40" s="1508" t="s">
        <v>11</v>
      </c>
      <c r="W40" s="1509">
        <f t="shared" si="14"/>
        <v>100</v>
      </c>
      <c r="X40" s="1502"/>
      <c r="Y40" s="349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3"/>
      <c r="Q41" s="1536" t="str">
        <f t="shared" si="11"/>
        <v>单套/主力户型建筑面积</v>
      </c>
      <c r="R41" s="1512" t="s">
        <v>11</v>
      </c>
      <c r="S41" s="1513">
        <f t="shared" si="12"/>
        <v>100</v>
      </c>
      <c r="T41" s="1512" t="s">
        <v>11</v>
      </c>
      <c r="U41" s="1513">
        <f t="shared" si="13"/>
        <v>100</v>
      </c>
      <c r="V41" s="1512" t="s">
        <v>11</v>
      </c>
      <c r="W41" s="1513">
        <f t="shared" si="14"/>
        <v>100</v>
      </c>
      <c r="X41" s="1514"/>
      <c r="Y41" s="349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3"/>
      <c r="Q42" s="1507" t="str">
        <f t="shared" si="11"/>
        <v>内部装修</v>
      </c>
      <c r="R42" s="1508" t="s">
        <v>11</v>
      </c>
      <c r="S42" s="1509">
        <f t="shared" si="12"/>
        <v>100</v>
      </c>
      <c r="T42" s="1508" t="s">
        <v>11</v>
      </c>
      <c r="U42" s="1509">
        <f t="shared" si="13"/>
        <v>100</v>
      </c>
      <c r="V42" s="1508" t="s">
        <v>11</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3"/>
      <c r="Q43" s="1507" t="str">
        <f t="shared" si="11"/>
        <v>内部装修维护情况</v>
      </c>
      <c r="R43" s="1508" t="s">
        <v>11</v>
      </c>
      <c r="S43" s="1509">
        <f t="shared" si="12"/>
        <v>100</v>
      </c>
      <c r="T43" s="1508" t="s">
        <v>11</v>
      </c>
      <c r="U43" s="1509">
        <f t="shared" si="13"/>
        <v>100</v>
      </c>
      <c r="V43" s="1508" t="s">
        <v>11</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3"/>
      <c r="Q44" s="1134">
        <f t="shared" si="11"/>
        <v>111</v>
      </c>
      <c r="R44" s="1503" t="s">
        <v>11</v>
      </c>
      <c r="S44" s="1504">
        <f t="shared" si="12"/>
        <v>100</v>
      </c>
      <c r="T44" s="1503" t="s">
        <v>11</v>
      </c>
      <c r="U44" s="1504">
        <f t="shared" si="13"/>
        <v>100</v>
      </c>
      <c r="V44" s="1503" t="s">
        <v>11</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3"/>
      <c r="Q45" s="1507">
        <f t="shared" si="11"/>
        <v>111</v>
      </c>
      <c r="R45" s="1508" t="s">
        <v>11</v>
      </c>
      <c r="S45" s="1509">
        <f t="shared" si="12"/>
        <v>100</v>
      </c>
      <c r="T45" s="1508" t="s">
        <v>11</v>
      </c>
      <c r="U45" s="1509">
        <f t="shared" si="13"/>
        <v>100</v>
      </c>
      <c r="V45" s="1508" t="s">
        <v>11</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5"/>
      <c r="Q46" s="1507">
        <f t="shared" si="11"/>
        <v>111</v>
      </c>
      <c r="R46" s="1508" t="s">
        <v>10</v>
      </c>
      <c r="S46" s="1509">
        <f t="shared" si="12"/>
        <v>100</v>
      </c>
      <c r="T46" s="1508" t="s">
        <v>10</v>
      </c>
      <c r="U46" s="1509">
        <f t="shared" si="13"/>
        <v>100</v>
      </c>
      <c r="V46" s="1508" t="s">
        <v>10</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56" t="str">
        <f>A47</f>
        <v>成交单价（元/平方米）</v>
      </c>
      <c r="Q47" s="3456"/>
      <c r="R47" s="3574">
        <f>E47</f>
        <v>0</v>
      </c>
      <c r="S47" s="3574"/>
      <c r="T47" s="3574">
        <f>G47</f>
        <v>0</v>
      </c>
      <c r="U47" s="3574"/>
      <c r="V47" s="3574">
        <f>I47</f>
        <v>0</v>
      </c>
      <c r="W47" s="3574"/>
      <c r="X47" s="1497"/>
      <c r="Y47" s="1516"/>
      <c r="Z47" s="1497"/>
      <c r="AA47" s="1497"/>
      <c r="AB47" s="1497"/>
      <c r="AC47" s="1497"/>
    </row>
    <row r="48" spans="1:29" ht="15.75" thickBot="1">
      <c r="A48" s="609" t="s">
        <v>2740</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56" t="str">
        <f>A48</f>
        <v>比较价格（元/平方米）</v>
      </c>
      <c r="Q48" s="3456"/>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453" t="str">
        <f>A49</f>
        <v>估价对象XX用房的比较价格（楼面单价，元/平方米）</v>
      </c>
      <c r="Q49" s="3454"/>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62" t="s">
        <v>516</v>
      </c>
      <c r="D4" s="3463"/>
      <c r="E4" s="3496" t="s">
        <v>517</v>
      </c>
      <c r="F4" s="3497"/>
      <c r="G4" s="3462" t="s">
        <v>518</v>
      </c>
      <c r="H4" s="3463"/>
      <c r="I4" s="3462" t="s">
        <v>519</v>
      </c>
      <c r="J4" s="3463"/>
      <c r="K4" s="508"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57" t="s">
        <v>518</v>
      </c>
      <c r="AC4" s="3459" t="s">
        <v>519</v>
      </c>
    </row>
    <row r="5" spans="1:29" ht="15">
      <c r="A5" s="509"/>
      <c r="B5" s="510"/>
      <c r="C5" s="3478" t="s">
        <v>2897</v>
      </c>
      <c r="D5" s="3479"/>
      <c r="E5" s="3498" t="s">
        <v>2898</v>
      </c>
      <c r="F5" s="3499"/>
      <c r="G5" s="3478" t="s">
        <v>2899</v>
      </c>
      <c r="H5" s="3479"/>
      <c r="I5" s="3478" t="s">
        <v>2900</v>
      </c>
      <c r="J5" s="3479"/>
      <c r="K5" s="508"/>
      <c r="L5" s="2015"/>
      <c r="M5" s="2016"/>
      <c r="N5" s="2016"/>
      <c r="O5" s="2016"/>
      <c r="P5" s="3466"/>
      <c r="Q5" s="3467"/>
      <c r="R5" s="3472"/>
      <c r="S5" s="3473"/>
      <c r="T5" s="3472"/>
      <c r="U5" s="3473"/>
      <c r="V5" s="3457"/>
      <c r="W5" s="3457"/>
      <c r="X5" s="1502"/>
      <c r="Y5" s="3472"/>
      <c r="Z5" s="3473"/>
      <c r="AA5" s="3460"/>
      <c r="AB5" s="3457"/>
      <c r="AC5" s="3460"/>
    </row>
    <row r="6" spans="1:29" ht="15.75" thickBot="1">
      <c r="A6" s="511"/>
      <c r="B6" s="512"/>
      <c r="C6" s="3476" t="s">
        <v>2901</v>
      </c>
      <c r="D6" s="3477"/>
      <c r="E6" s="3494" t="s">
        <v>2901</v>
      </c>
      <c r="F6" s="3495"/>
      <c r="G6" s="3476" t="s">
        <v>2901</v>
      </c>
      <c r="H6" s="3477"/>
      <c r="I6" s="3476" t="s">
        <v>2901</v>
      </c>
      <c r="J6" s="3477"/>
      <c r="K6" s="508" t="s">
        <v>522</v>
      </c>
      <c r="L6" s="2015"/>
      <c r="M6" s="2016"/>
      <c r="N6" s="2016"/>
      <c r="O6" s="2016"/>
      <c r="P6" s="3468"/>
      <c r="Q6" s="3469"/>
      <c r="R6" s="3472"/>
      <c r="S6" s="3473"/>
      <c r="T6" s="3474"/>
      <c r="U6" s="3475"/>
      <c r="V6" s="3457"/>
      <c r="W6" s="3457"/>
      <c r="X6" s="1502"/>
      <c r="Y6" s="3474"/>
      <c r="Z6" s="3475"/>
      <c r="AA6" s="3461"/>
      <c r="AB6" s="3457"/>
      <c r="AC6" s="3461"/>
    </row>
    <row r="7" spans="1:29" s="1203" customFormat="1" ht="15.75" thickBot="1">
      <c r="A7" s="2629"/>
      <c r="B7" s="2636" t="s">
        <v>523</v>
      </c>
      <c r="C7" s="513">
        <f>'数据-取费表'!B2</f>
        <v>44357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7"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0" t="s">
        <v>534</v>
      </c>
      <c r="Q15" s="1507" t="str">
        <f t="shared" si="6"/>
        <v>商业繁华度</v>
      </c>
      <c r="R15" s="1508" t="s">
        <v>8</v>
      </c>
      <c r="S15" s="1509">
        <f t="shared" si="0"/>
        <v>100</v>
      </c>
      <c r="T15" s="1508" t="s">
        <v>8</v>
      </c>
      <c r="U15" s="1509">
        <f t="shared" si="1"/>
        <v>100</v>
      </c>
      <c r="V15" s="1508" t="s">
        <v>8</v>
      </c>
      <c r="W15" s="1509">
        <f t="shared" si="2"/>
        <v>100</v>
      </c>
      <c r="X15" s="1502"/>
      <c r="Y15" s="349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91"/>
      <c r="Q22" s="2429"/>
      <c r="R22" s="1508"/>
      <c r="S22" s="1509"/>
      <c r="T22" s="1508"/>
      <c r="U22" s="1509"/>
      <c r="V22" s="1508"/>
      <c r="W22" s="1509"/>
      <c r="X22" s="2431"/>
      <c r="Y22" s="3491"/>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1"/>
      <c r="Q23" s="1507" t="str">
        <f>B23</f>
        <v>自然及人文环境</v>
      </c>
      <c r="R23" s="1508" t="s">
        <v>8</v>
      </c>
      <c r="S23" s="1509">
        <f>F23</f>
        <v>100</v>
      </c>
      <c r="T23" s="1508" t="s">
        <v>8</v>
      </c>
      <c r="U23" s="1509">
        <f>H23</f>
        <v>100</v>
      </c>
      <c r="V23" s="1508" t="s">
        <v>8</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1"/>
      <c r="Q25" s="1507" t="str">
        <f t="shared" ref="Q25:Q46" si="11">B25</f>
        <v>临街状况</v>
      </c>
      <c r="R25" s="1508" t="s">
        <v>8</v>
      </c>
      <c r="S25" s="1509">
        <f>F25</f>
        <v>100</v>
      </c>
      <c r="T25" s="1508" t="s">
        <v>8</v>
      </c>
      <c r="U25" s="1509">
        <f>H25</f>
        <v>100</v>
      </c>
      <c r="V25" s="1508" t="s">
        <v>8</v>
      </c>
      <c r="W25" s="1509">
        <f>J25</f>
        <v>100</v>
      </c>
      <c r="X25" s="1502"/>
      <c r="Y25" s="349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1"/>
      <c r="Q26" s="1507" t="str">
        <f t="shared" si="11"/>
        <v>平面位置/可视性</v>
      </c>
      <c r="R26" s="1508" t="s">
        <v>8</v>
      </c>
      <c r="S26" s="1509">
        <f>F26</f>
        <v>100</v>
      </c>
      <c r="T26" s="1508" t="s">
        <v>8</v>
      </c>
      <c r="U26" s="1509">
        <f>H26</f>
        <v>100</v>
      </c>
      <c r="V26" s="1508" t="s">
        <v>8</v>
      </c>
      <c r="W26" s="1509">
        <f>J26</f>
        <v>100</v>
      </c>
      <c r="X26" s="1502"/>
      <c r="Y26" s="349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1"/>
      <c r="Q27" s="1134" t="str">
        <f t="shared" si="11"/>
        <v>人流量</v>
      </c>
      <c r="R27" s="1503" t="s">
        <v>8</v>
      </c>
      <c r="S27" s="1504">
        <f>F27</f>
        <v>100</v>
      </c>
      <c r="T27" s="1503" t="s">
        <v>8</v>
      </c>
      <c r="U27" s="1504">
        <f>H27</f>
        <v>100</v>
      </c>
      <c r="V27" s="1503" t="s">
        <v>8</v>
      </c>
      <c r="W27" s="1504">
        <f>J27</f>
        <v>100</v>
      </c>
      <c r="X27" s="1505"/>
      <c r="Y27" s="349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1"/>
      <c r="Q29" s="1507">
        <f t="shared" si="11"/>
        <v>111</v>
      </c>
      <c r="R29" s="1508" t="s">
        <v>8</v>
      </c>
      <c r="S29" s="1509">
        <f t="shared" si="12"/>
        <v>100</v>
      </c>
      <c r="T29" s="1508" t="s">
        <v>8</v>
      </c>
      <c r="U29" s="1509">
        <f t="shared" si="13"/>
        <v>100</v>
      </c>
      <c r="V29" s="1508" t="s">
        <v>8</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2" t="s">
        <v>544</v>
      </c>
      <c r="Q32" s="1507" t="str">
        <f t="shared" si="11"/>
        <v>商业类型</v>
      </c>
      <c r="R32" s="1508" t="s">
        <v>8</v>
      </c>
      <c r="S32" s="1509">
        <f t="shared" si="12"/>
        <v>100</v>
      </c>
      <c r="T32" s="1508" t="s">
        <v>8</v>
      </c>
      <c r="U32" s="1509">
        <f t="shared" si="13"/>
        <v>100</v>
      </c>
      <c r="V32" s="1508" t="s">
        <v>8</v>
      </c>
      <c r="W32" s="1509">
        <f t="shared" si="14"/>
        <v>100</v>
      </c>
      <c r="X32" s="1502"/>
      <c r="Y32" s="349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3"/>
      <c r="Q33" s="1536" t="str">
        <f t="shared" si="11"/>
        <v>项目建筑规模</v>
      </c>
      <c r="R33" s="1512" t="s">
        <v>8</v>
      </c>
      <c r="S33" s="1513" t="e">
        <f t="shared" si="12"/>
        <v>#N/A</v>
      </c>
      <c r="T33" s="1512" t="s">
        <v>8</v>
      </c>
      <c r="U33" s="1513" t="e">
        <f t="shared" si="13"/>
        <v>#N/A</v>
      </c>
      <c r="V33" s="1512" t="s">
        <v>8</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3"/>
      <c r="Q34" s="1507" t="str">
        <f t="shared" si="11"/>
        <v>建筑结构</v>
      </c>
      <c r="R34" s="1508" t="s">
        <v>8</v>
      </c>
      <c r="S34" s="1509">
        <f t="shared" si="12"/>
        <v>100</v>
      </c>
      <c r="T34" s="1508" t="s">
        <v>8</v>
      </c>
      <c r="U34" s="1509">
        <f t="shared" si="13"/>
        <v>100</v>
      </c>
      <c r="V34" s="1508" t="s">
        <v>8</v>
      </c>
      <c r="W34" s="1509">
        <f t="shared" si="14"/>
        <v>100</v>
      </c>
      <c r="X34" s="1502"/>
      <c r="Y34" s="349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3"/>
      <c r="Q35" s="1507" t="str">
        <f t="shared" si="11"/>
        <v>公共部分装修</v>
      </c>
      <c r="R35" s="1508" t="s">
        <v>8</v>
      </c>
      <c r="S35" s="1509">
        <f t="shared" si="12"/>
        <v>100</v>
      </c>
      <c r="T35" s="1508" t="s">
        <v>8</v>
      </c>
      <c r="U35" s="1509">
        <f t="shared" si="13"/>
        <v>100</v>
      </c>
      <c r="V35" s="1508" t="s">
        <v>8</v>
      </c>
      <c r="W35" s="1509">
        <f t="shared" si="14"/>
        <v>100</v>
      </c>
      <c r="X35" s="1502"/>
      <c r="Y35" s="349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3"/>
      <c r="Q36" s="1507" t="str">
        <f t="shared" si="11"/>
        <v>成新度</v>
      </c>
      <c r="R36" s="1508" t="s">
        <v>8</v>
      </c>
      <c r="S36" s="1509" t="e">
        <f t="shared" si="12"/>
        <v>#N/A</v>
      </c>
      <c r="T36" s="1508" t="s">
        <v>8</v>
      </c>
      <c r="U36" s="1509" t="e">
        <f t="shared" si="13"/>
        <v>#N/A</v>
      </c>
      <c r="V36" s="1508" t="s">
        <v>8</v>
      </c>
      <c r="W36" s="1509" t="e">
        <f t="shared" si="14"/>
        <v>#N/A</v>
      </c>
      <c r="X36" s="1502"/>
      <c r="Y36" s="3493"/>
      <c r="Z36" s="1510" t="str">
        <f t="shared" si="15"/>
        <v>成新度</v>
      </c>
      <c r="AA36" s="1511" t="e">
        <f t="shared" si="3"/>
        <v>#N/A</v>
      </c>
      <c r="AB36" s="1511" t="e">
        <f t="shared" si="4"/>
        <v>#N/A</v>
      </c>
      <c r="AC36" s="1511"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3"/>
      <c r="Q37" s="1134" t="str">
        <f t="shared" si="11"/>
        <v>市政基础设施</v>
      </c>
      <c r="R37" s="1503" t="s">
        <v>8</v>
      </c>
      <c r="S37" s="1504">
        <f t="shared" si="12"/>
        <v>100</v>
      </c>
      <c r="T37" s="1503" t="s">
        <v>8</v>
      </c>
      <c r="U37" s="1504">
        <f t="shared" si="13"/>
        <v>100</v>
      </c>
      <c r="V37" s="1503" t="s">
        <v>8</v>
      </c>
      <c r="W37" s="1504">
        <f t="shared" si="14"/>
        <v>100</v>
      </c>
      <c r="X37" s="1505"/>
      <c r="Y37" s="349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3" t="s">
        <v>760</v>
      </c>
      <c r="Q38" s="1507" t="str">
        <f t="shared" si="11"/>
        <v>业态</v>
      </c>
      <c r="R38" s="1508" t="s">
        <v>8</v>
      </c>
      <c r="S38" s="1509">
        <f t="shared" si="12"/>
        <v>100</v>
      </c>
      <c r="T38" s="1508" t="s">
        <v>8</v>
      </c>
      <c r="U38" s="1509">
        <f t="shared" si="13"/>
        <v>100</v>
      </c>
      <c r="V38" s="1508" t="s">
        <v>8</v>
      </c>
      <c r="W38" s="1509">
        <f t="shared" si="14"/>
        <v>100</v>
      </c>
      <c r="X38" s="1502"/>
      <c r="Y38" s="349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3"/>
      <c r="Q39" s="1507" t="str">
        <f t="shared" si="11"/>
        <v>层高</v>
      </c>
      <c r="R39" s="1508" t="s">
        <v>8</v>
      </c>
      <c r="S39" s="1509">
        <f t="shared" si="12"/>
        <v>100</v>
      </c>
      <c r="T39" s="1508" t="s">
        <v>8</v>
      </c>
      <c r="U39" s="1509">
        <f t="shared" si="13"/>
        <v>100</v>
      </c>
      <c r="V39" s="1508" t="s">
        <v>8</v>
      </c>
      <c r="W39" s="1509">
        <f t="shared" si="14"/>
        <v>100</v>
      </c>
      <c r="X39" s="1502"/>
      <c r="Y39" s="349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3"/>
      <c r="Q40" s="1507" t="str">
        <f t="shared" si="11"/>
        <v>单套建筑面积</v>
      </c>
      <c r="R40" s="1508" t="s">
        <v>8</v>
      </c>
      <c r="S40" s="1509">
        <f t="shared" si="12"/>
        <v>100</v>
      </c>
      <c r="T40" s="1508" t="s">
        <v>8</v>
      </c>
      <c r="U40" s="1509">
        <f t="shared" si="13"/>
        <v>100</v>
      </c>
      <c r="V40" s="1508" t="s">
        <v>8</v>
      </c>
      <c r="W40" s="1509">
        <f t="shared" si="14"/>
        <v>100</v>
      </c>
      <c r="X40" s="1502"/>
      <c r="Y40" s="349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3"/>
      <c r="Q41" s="1536" t="str">
        <f t="shared" si="11"/>
        <v>进深比</v>
      </c>
      <c r="R41" s="1512" t="s">
        <v>8</v>
      </c>
      <c r="S41" s="1513">
        <f t="shared" si="12"/>
        <v>100</v>
      </c>
      <c r="T41" s="1512" t="s">
        <v>8</v>
      </c>
      <c r="U41" s="1513">
        <f t="shared" si="13"/>
        <v>100</v>
      </c>
      <c r="V41" s="1512" t="s">
        <v>8</v>
      </c>
      <c r="W41" s="1513">
        <f t="shared" si="14"/>
        <v>100</v>
      </c>
      <c r="X41" s="1514"/>
      <c r="Y41" s="349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3"/>
      <c r="Q42" s="1507" t="str">
        <f t="shared" si="11"/>
        <v>内部装修</v>
      </c>
      <c r="R42" s="1508" t="s">
        <v>8</v>
      </c>
      <c r="S42" s="1509">
        <f t="shared" si="12"/>
        <v>100</v>
      </c>
      <c r="T42" s="1508" t="s">
        <v>8</v>
      </c>
      <c r="U42" s="1509">
        <f t="shared" si="13"/>
        <v>100</v>
      </c>
      <c r="V42" s="1508" t="s">
        <v>8</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3"/>
      <c r="Q43" s="1507" t="str">
        <f t="shared" si="11"/>
        <v>内部装修维护情况</v>
      </c>
      <c r="R43" s="1508" t="s">
        <v>8</v>
      </c>
      <c r="S43" s="1509">
        <f t="shared" si="12"/>
        <v>100</v>
      </c>
      <c r="T43" s="1508" t="s">
        <v>8</v>
      </c>
      <c r="U43" s="1509">
        <f t="shared" si="13"/>
        <v>100</v>
      </c>
      <c r="V43" s="1508" t="s">
        <v>8</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3"/>
      <c r="Q44" s="1134">
        <f t="shared" si="11"/>
        <v>111</v>
      </c>
      <c r="R44" s="1503" t="s">
        <v>8</v>
      </c>
      <c r="S44" s="1504">
        <f t="shared" si="12"/>
        <v>100</v>
      </c>
      <c r="T44" s="1503" t="s">
        <v>8</v>
      </c>
      <c r="U44" s="1504">
        <f t="shared" si="13"/>
        <v>100</v>
      </c>
      <c r="V44" s="1503" t="s">
        <v>8</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3"/>
      <c r="Q45" s="1507">
        <f t="shared" si="11"/>
        <v>111</v>
      </c>
      <c r="R45" s="1508" t="s">
        <v>8</v>
      </c>
      <c r="S45" s="1509">
        <f t="shared" si="12"/>
        <v>100</v>
      </c>
      <c r="T45" s="1508" t="s">
        <v>8</v>
      </c>
      <c r="U45" s="1509">
        <f t="shared" si="13"/>
        <v>100</v>
      </c>
      <c r="V45" s="1508" t="s">
        <v>8</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5"/>
      <c r="Q46" s="1507">
        <f t="shared" si="11"/>
        <v>111</v>
      </c>
      <c r="R46" s="1508" t="s">
        <v>8</v>
      </c>
      <c r="S46" s="1509">
        <f t="shared" si="12"/>
        <v>100</v>
      </c>
      <c r="T46" s="1508" t="s">
        <v>8</v>
      </c>
      <c r="U46" s="1509">
        <f t="shared" si="13"/>
        <v>100</v>
      </c>
      <c r="V46" s="1508" t="s">
        <v>8</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56" t="str">
        <f>A47</f>
        <v>成交单价（元/平方米）</v>
      </c>
      <c r="Q47" s="3456"/>
      <c r="R47" s="3574">
        <f>E47</f>
        <v>0</v>
      </c>
      <c r="S47" s="3574"/>
      <c r="T47" s="3574">
        <f>G47</f>
        <v>0</v>
      </c>
      <c r="U47" s="3574"/>
      <c r="V47" s="3574">
        <f>I47</f>
        <v>0</v>
      </c>
      <c r="W47" s="3574"/>
      <c r="X47" s="1497"/>
      <c r="Y47" s="1516"/>
      <c r="Z47" s="1497"/>
      <c r="AA47" s="1497"/>
      <c r="AB47" s="1497"/>
      <c r="AC47" s="1497"/>
    </row>
    <row r="48" spans="1:29" ht="15.75" thickBot="1">
      <c r="A48" s="609" t="s">
        <v>2740</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56" t="str">
        <f>A48</f>
        <v>比较价格（元/平方米）</v>
      </c>
      <c r="Q48" s="3456"/>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453" t="str">
        <f>A49</f>
        <v>估价对象XX用房的比较价格（楼面单价，元/平方米）</v>
      </c>
      <c r="Q49" s="3454"/>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62" t="s">
        <v>516</v>
      </c>
      <c r="D4" s="3463"/>
      <c r="E4" s="3496" t="s">
        <v>517</v>
      </c>
      <c r="F4" s="3497"/>
      <c r="G4" s="3462" t="s">
        <v>518</v>
      </c>
      <c r="H4" s="3463"/>
      <c r="I4" s="3462" t="s">
        <v>519</v>
      </c>
      <c r="J4" s="3463"/>
      <c r="K4" s="508" t="s">
        <v>520</v>
      </c>
      <c r="L4" s="2015"/>
      <c r="M4" s="2016"/>
      <c r="N4" s="2016"/>
      <c r="O4" s="2016"/>
      <c r="P4" s="3577" t="s">
        <v>521</v>
      </c>
      <c r="Q4" s="3465"/>
      <c r="R4" s="3470" t="s">
        <v>517</v>
      </c>
      <c r="S4" s="3471"/>
      <c r="T4" s="3470" t="s">
        <v>518</v>
      </c>
      <c r="U4" s="3471"/>
      <c r="V4" s="3457" t="s">
        <v>519</v>
      </c>
      <c r="W4" s="3457"/>
      <c r="X4" s="1502"/>
      <c r="Y4" s="3470" t="s">
        <v>521</v>
      </c>
      <c r="Z4" s="3471"/>
      <c r="AA4" s="3459" t="s">
        <v>517</v>
      </c>
      <c r="AB4" s="3459" t="s">
        <v>518</v>
      </c>
      <c r="AC4" s="3459" t="s">
        <v>519</v>
      </c>
    </row>
    <row r="5" spans="1:29" ht="15">
      <c r="A5" s="509"/>
      <c r="B5" s="510"/>
      <c r="C5" s="3478" t="s">
        <v>2897</v>
      </c>
      <c r="D5" s="3479"/>
      <c r="E5" s="3498" t="s">
        <v>2898</v>
      </c>
      <c r="F5" s="3499"/>
      <c r="G5" s="3478" t="s">
        <v>2899</v>
      </c>
      <c r="H5" s="3479"/>
      <c r="I5" s="3478" t="s">
        <v>2900</v>
      </c>
      <c r="J5" s="3479"/>
      <c r="K5" s="508"/>
      <c r="L5" s="2015"/>
      <c r="M5" s="2016"/>
      <c r="N5" s="2016"/>
      <c r="O5" s="2016"/>
      <c r="P5" s="3578"/>
      <c r="Q5" s="3467"/>
      <c r="R5" s="3472"/>
      <c r="S5" s="3473"/>
      <c r="T5" s="3472"/>
      <c r="U5" s="3473"/>
      <c r="V5" s="3457"/>
      <c r="W5" s="3457"/>
      <c r="X5" s="1502"/>
      <c r="Y5" s="3472"/>
      <c r="Z5" s="3473"/>
      <c r="AA5" s="3460"/>
      <c r="AB5" s="3460"/>
      <c r="AC5" s="3460"/>
    </row>
    <row r="6" spans="1:29" ht="15.75" thickBot="1">
      <c r="A6" s="511"/>
      <c r="B6" s="512"/>
      <c r="C6" s="3476" t="s">
        <v>2901</v>
      </c>
      <c r="D6" s="3477"/>
      <c r="E6" s="3494" t="s">
        <v>2901</v>
      </c>
      <c r="F6" s="3495"/>
      <c r="G6" s="3476" t="s">
        <v>2901</v>
      </c>
      <c r="H6" s="3477"/>
      <c r="I6" s="3476" t="s">
        <v>2901</v>
      </c>
      <c r="J6" s="3477"/>
      <c r="K6" s="508" t="s">
        <v>522</v>
      </c>
      <c r="L6" s="2015"/>
      <c r="M6" s="2016"/>
      <c r="N6" s="2016"/>
      <c r="O6" s="2016"/>
      <c r="P6" s="3579"/>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44357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9"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9" t="s">
        <v>527</v>
      </c>
      <c r="Q8" s="3488"/>
      <c r="R8" s="1503" t="s">
        <v>8</v>
      </c>
      <c r="S8" s="1504">
        <f t="shared" si="0"/>
        <v>0</v>
      </c>
      <c r="T8" s="1503" t="s">
        <v>8</v>
      </c>
      <c r="U8" s="1504">
        <f t="shared" si="1"/>
        <v>0</v>
      </c>
      <c r="V8" s="1503" t="s">
        <v>8</v>
      </c>
      <c r="W8" s="1504">
        <f t="shared" si="2"/>
        <v>0</v>
      </c>
      <c r="X8" s="1505"/>
      <c r="Y8" s="3487" t="s">
        <v>527</v>
      </c>
      <c r="Z8" s="3488"/>
      <c r="AA8" s="1506" t="e">
        <f t="shared" ref="AA8:AA47" si="3">D8/F8</f>
        <v>#DIV/0!</v>
      </c>
      <c r="AB8" s="1506" t="e">
        <f t="shared" ref="AB8:AB47" si="4">D8/H8</f>
        <v>#DIV/0!</v>
      </c>
      <c r="AC8" s="1506"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0" t="s">
        <v>534</v>
      </c>
      <c r="Q15" s="1507" t="str">
        <f t="shared" si="6"/>
        <v>办公集聚程度</v>
      </c>
      <c r="R15" s="1508" t="s">
        <v>8</v>
      </c>
      <c r="S15" s="1509">
        <f t="shared" si="0"/>
        <v>100</v>
      </c>
      <c r="T15" s="1508" t="s">
        <v>8</v>
      </c>
      <c r="U15" s="1509">
        <f t="shared" si="1"/>
        <v>100</v>
      </c>
      <c r="V15" s="1508" t="s">
        <v>8</v>
      </c>
      <c r="W15" s="1509">
        <f t="shared" si="2"/>
        <v>100</v>
      </c>
      <c r="X15" s="1502"/>
      <c r="Y15" s="349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91"/>
      <c r="Q16" s="1507"/>
      <c r="R16" s="1508"/>
      <c r="S16" s="1509"/>
      <c r="T16" s="1508"/>
      <c r="U16" s="1509"/>
      <c r="V16" s="1508"/>
      <c r="W16" s="1509"/>
      <c r="X16" s="1502"/>
      <c r="Y16" s="3491"/>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91"/>
      <c r="Q18" s="1507"/>
      <c r="R18" s="1508"/>
      <c r="S18" s="1509"/>
      <c r="T18" s="1508"/>
      <c r="U18" s="1509"/>
      <c r="V18" s="1508"/>
      <c r="W18" s="1509"/>
      <c r="X18" s="1502"/>
      <c r="Y18" s="3491"/>
      <c r="Z18" s="1510"/>
      <c r="AA18" s="1511">
        <v>1</v>
      </c>
      <c r="AB18" s="1511">
        <v>1</v>
      </c>
      <c r="AC18" s="1511">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91"/>
      <c r="Q20" s="1507"/>
      <c r="R20" s="1508"/>
      <c r="S20" s="1509"/>
      <c r="T20" s="1508"/>
      <c r="U20" s="1509"/>
      <c r="V20" s="1508"/>
      <c r="W20" s="1509"/>
      <c r="X20" s="1502"/>
      <c r="Y20" s="3491"/>
      <c r="Z20" s="1510"/>
      <c r="AA20" s="1511">
        <v>1</v>
      </c>
      <c r="AB20" s="1511">
        <v>1</v>
      </c>
      <c r="AC20" s="1511">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91"/>
      <c r="Q22" s="2429"/>
      <c r="R22" s="1508"/>
      <c r="S22" s="1509"/>
      <c r="T22" s="1508"/>
      <c r="U22" s="1509"/>
      <c r="V22" s="1508"/>
      <c r="W22" s="1509"/>
      <c r="X22" s="2431"/>
      <c r="Y22" s="3491"/>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91"/>
      <c r="Q24" s="1507"/>
      <c r="R24" s="1508"/>
      <c r="S24" s="1509"/>
      <c r="T24" s="1508"/>
      <c r="U24" s="1509"/>
      <c r="V24" s="1508"/>
      <c r="W24" s="1509"/>
      <c r="X24" s="1502"/>
      <c r="Y24" s="349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1"/>
      <c r="Q25" s="1507" t="str">
        <f>B25</f>
        <v>毗邻道路的类型与等级</v>
      </c>
      <c r="R25" s="1508" t="s">
        <v>8</v>
      </c>
      <c r="S25" s="1509">
        <f>F25</f>
        <v>100</v>
      </c>
      <c r="T25" s="1508" t="s">
        <v>8</v>
      </c>
      <c r="U25" s="1509">
        <f>H25</f>
        <v>100</v>
      </c>
      <c r="V25" s="1508" t="s">
        <v>8</v>
      </c>
      <c r="W25" s="1509">
        <f>J25</f>
        <v>100</v>
      </c>
      <c r="X25" s="1502"/>
      <c r="Y25" s="349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91"/>
      <c r="Q26" s="1507"/>
      <c r="R26" s="1508"/>
      <c r="S26" s="1509"/>
      <c r="T26" s="1508"/>
      <c r="U26" s="1509"/>
      <c r="V26" s="1508"/>
      <c r="W26" s="1509"/>
      <c r="X26" s="1502"/>
      <c r="Y26" s="349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1"/>
      <c r="Q27" s="1507" t="str">
        <f t="shared" ref="Q27:Q47" si="11">B27</f>
        <v>楼层</v>
      </c>
      <c r="R27" s="1508" t="s">
        <v>8</v>
      </c>
      <c r="S27" s="1509">
        <f>F27</f>
        <v>100</v>
      </c>
      <c r="T27" s="1508" t="s">
        <v>8</v>
      </c>
      <c r="U27" s="1509">
        <f>H27</f>
        <v>100</v>
      </c>
      <c r="V27" s="1508" t="s">
        <v>8</v>
      </c>
      <c r="W27" s="1509">
        <f>J27</f>
        <v>100</v>
      </c>
      <c r="X27" s="1502"/>
      <c r="Y27" s="349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1"/>
      <c r="Q28" s="1134" t="str">
        <f t="shared" si="11"/>
        <v>朝向</v>
      </c>
      <c r="R28" s="1503" t="s">
        <v>8</v>
      </c>
      <c r="S28" s="1504">
        <f>F28</f>
        <v>100</v>
      </c>
      <c r="T28" s="1503" t="s">
        <v>8</v>
      </c>
      <c r="U28" s="1504">
        <f>H28</f>
        <v>100</v>
      </c>
      <c r="V28" s="1503" t="s">
        <v>8</v>
      </c>
      <c r="W28" s="1504">
        <f>J28</f>
        <v>100</v>
      </c>
      <c r="X28" s="1505"/>
      <c r="Y28" s="349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1"/>
      <c r="Q29" s="1507">
        <f t="shared" si="11"/>
        <v>111</v>
      </c>
      <c r="R29" s="1508" t="s">
        <v>8</v>
      </c>
      <c r="S29" s="1509">
        <f t="shared" ref="S29:S47" si="12">F29</f>
        <v>100</v>
      </c>
      <c r="T29" s="1508" t="s">
        <v>8</v>
      </c>
      <c r="U29" s="1509">
        <f t="shared" ref="U29:U47" si="13">H29</f>
        <v>100</v>
      </c>
      <c r="V29" s="1508" t="s">
        <v>8</v>
      </c>
      <c r="W29" s="1509">
        <f t="shared" ref="W29:W47" si="14">J29</f>
        <v>100</v>
      </c>
      <c r="X29" s="1502"/>
      <c r="Y29" s="349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1"/>
      <c r="Q32" s="1507">
        <f t="shared" si="11"/>
        <v>111</v>
      </c>
      <c r="R32" s="1508" t="s">
        <v>8</v>
      </c>
      <c r="S32" s="1509">
        <f t="shared" si="12"/>
        <v>100</v>
      </c>
      <c r="T32" s="1508" t="s">
        <v>8</v>
      </c>
      <c r="U32" s="1509">
        <f t="shared" si="13"/>
        <v>100</v>
      </c>
      <c r="V32" s="1508" t="s">
        <v>8</v>
      </c>
      <c r="W32" s="1509">
        <f t="shared" si="14"/>
        <v>100</v>
      </c>
      <c r="X32" s="1502"/>
      <c r="Y32" s="3491"/>
      <c r="Z32" s="1510">
        <f t="shared" si="15"/>
        <v>111</v>
      </c>
      <c r="AA32" s="1511">
        <f t="shared" si="3"/>
        <v>1</v>
      </c>
      <c r="AB32" s="1511">
        <f t="shared" si="4"/>
        <v>1</v>
      </c>
      <c r="AC32" s="1511">
        <f t="shared" si="5"/>
        <v>1</v>
      </c>
    </row>
    <row r="33" spans="1:29" ht="15">
      <c r="A33" s="2624"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2" t="s">
        <v>544</v>
      </c>
      <c r="Q33" s="1507" t="str">
        <f t="shared" si="11"/>
        <v>建筑类型</v>
      </c>
      <c r="R33" s="1508" t="s">
        <v>8</v>
      </c>
      <c r="S33" s="1509">
        <f t="shared" si="12"/>
        <v>100</v>
      </c>
      <c r="T33" s="1508" t="s">
        <v>8</v>
      </c>
      <c r="U33" s="1509">
        <f t="shared" si="13"/>
        <v>100</v>
      </c>
      <c r="V33" s="1508" t="s">
        <v>8</v>
      </c>
      <c r="W33" s="1509">
        <f t="shared" si="14"/>
        <v>100</v>
      </c>
      <c r="X33" s="1502"/>
      <c r="Y33" s="349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3"/>
      <c r="Q34" s="1536" t="str">
        <f t="shared" si="11"/>
        <v>项目建筑规模</v>
      </c>
      <c r="R34" s="1512" t="s">
        <v>8</v>
      </c>
      <c r="S34" s="1513" t="e">
        <f t="shared" si="12"/>
        <v>#N/A</v>
      </c>
      <c r="T34" s="1512" t="s">
        <v>8</v>
      </c>
      <c r="U34" s="1513" t="e">
        <f t="shared" si="13"/>
        <v>#N/A</v>
      </c>
      <c r="V34" s="1512" t="s">
        <v>8</v>
      </c>
      <c r="W34" s="1513" t="e">
        <f t="shared" si="14"/>
        <v>#N/A</v>
      </c>
      <c r="X34" s="1514"/>
      <c r="Y34" s="349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3"/>
      <c r="Q35" s="1507" t="str">
        <f t="shared" si="11"/>
        <v>建筑结构</v>
      </c>
      <c r="R35" s="1508" t="s">
        <v>8</v>
      </c>
      <c r="S35" s="1509">
        <f t="shared" si="12"/>
        <v>100</v>
      </c>
      <c r="T35" s="1508" t="s">
        <v>8</v>
      </c>
      <c r="U35" s="1509">
        <f t="shared" si="13"/>
        <v>100</v>
      </c>
      <c r="V35" s="1508" t="s">
        <v>8</v>
      </c>
      <c r="W35" s="1509">
        <f t="shared" si="14"/>
        <v>100</v>
      </c>
      <c r="X35" s="1502"/>
      <c r="Y35" s="349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3"/>
      <c r="Q36" s="1507" t="str">
        <f t="shared" si="11"/>
        <v>公共部分装修</v>
      </c>
      <c r="R36" s="1508" t="s">
        <v>8</v>
      </c>
      <c r="S36" s="1509">
        <f t="shared" si="12"/>
        <v>100</v>
      </c>
      <c r="T36" s="1508" t="s">
        <v>8</v>
      </c>
      <c r="U36" s="1509">
        <f t="shared" si="13"/>
        <v>100</v>
      </c>
      <c r="V36" s="1508" t="s">
        <v>8</v>
      </c>
      <c r="W36" s="1509">
        <f t="shared" si="14"/>
        <v>100</v>
      </c>
      <c r="X36" s="1502"/>
      <c r="Y36" s="349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3"/>
      <c r="Q37" s="1507" t="str">
        <f t="shared" si="11"/>
        <v>成新度</v>
      </c>
      <c r="R37" s="1508" t="s">
        <v>8</v>
      </c>
      <c r="S37" s="1509" t="e">
        <f t="shared" si="12"/>
        <v>#N/A</v>
      </c>
      <c r="T37" s="1508" t="s">
        <v>8</v>
      </c>
      <c r="U37" s="1509" t="e">
        <f t="shared" si="13"/>
        <v>#N/A</v>
      </c>
      <c r="V37" s="1508" t="s">
        <v>8</v>
      </c>
      <c r="W37" s="1509" t="e">
        <f t="shared" si="14"/>
        <v>#N/A</v>
      </c>
      <c r="X37" s="1502"/>
      <c r="Y37" s="349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3"/>
      <c r="Q38" s="1134" t="str">
        <f t="shared" si="11"/>
        <v>写字楼等级</v>
      </c>
      <c r="R38" s="1503" t="s">
        <v>8</v>
      </c>
      <c r="S38" s="1504">
        <f t="shared" si="12"/>
        <v>100</v>
      </c>
      <c r="T38" s="1503" t="s">
        <v>8</v>
      </c>
      <c r="U38" s="1504">
        <f t="shared" si="13"/>
        <v>100</v>
      </c>
      <c r="V38" s="1503" t="s">
        <v>8</v>
      </c>
      <c r="W38" s="1504">
        <f t="shared" si="14"/>
        <v>100</v>
      </c>
      <c r="X38" s="1505"/>
      <c r="Y38" s="349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3" t="s">
        <v>544</v>
      </c>
      <c r="Q39" s="1507" t="str">
        <f t="shared" si="11"/>
        <v>物业管理</v>
      </c>
      <c r="R39" s="1508" t="s">
        <v>8</v>
      </c>
      <c r="S39" s="1509">
        <f t="shared" si="12"/>
        <v>100</v>
      </c>
      <c r="T39" s="1508" t="s">
        <v>8</v>
      </c>
      <c r="U39" s="1509">
        <f t="shared" si="13"/>
        <v>100</v>
      </c>
      <c r="V39" s="1508" t="s">
        <v>8</v>
      </c>
      <c r="W39" s="1509">
        <f t="shared" si="14"/>
        <v>100</v>
      </c>
      <c r="X39" s="1502"/>
      <c r="Y39" s="3493" t="s">
        <v>544</v>
      </c>
      <c r="Z39" s="1510" t="str">
        <f t="shared" si="15"/>
        <v>物业管理</v>
      </c>
      <c r="AA39" s="1511">
        <f t="shared" si="3"/>
        <v>1</v>
      </c>
      <c r="AB39" s="1511">
        <f t="shared" si="4"/>
        <v>1</v>
      </c>
      <c r="AC39" s="1511">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3"/>
      <c r="Q40" s="1507" t="str">
        <f t="shared" si="11"/>
        <v>市政基础设施</v>
      </c>
      <c r="R40" s="1508" t="s">
        <v>8</v>
      </c>
      <c r="S40" s="1509">
        <f t="shared" si="12"/>
        <v>100</v>
      </c>
      <c r="T40" s="1508" t="s">
        <v>8</v>
      </c>
      <c r="U40" s="1509">
        <f t="shared" si="13"/>
        <v>100</v>
      </c>
      <c r="V40" s="1508" t="s">
        <v>8</v>
      </c>
      <c r="W40" s="1509">
        <f t="shared" si="14"/>
        <v>100</v>
      </c>
      <c r="X40" s="1502"/>
      <c r="Y40" s="349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3"/>
      <c r="Q41" s="1507" t="str">
        <f t="shared" si="11"/>
        <v>层高</v>
      </c>
      <c r="R41" s="1508" t="s">
        <v>8</v>
      </c>
      <c r="S41" s="1509">
        <f t="shared" si="12"/>
        <v>100</v>
      </c>
      <c r="T41" s="1508" t="s">
        <v>8</v>
      </c>
      <c r="U41" s="1509">
        <f t="shared" si="13"/>
        <v>100</v>
      </c>
      <c r="V41" s="1508" t="s">
        <v>8</v>
      </c>
      <c r="W41" s="1509">
        <f t="shared" si="14"/>
        <v>100</v>
      </c>
      <c r="X41" s="1502"/>
      <c r="Y41" s="349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3"/>
      <c r="Q42" s="1536" t="str">
        <f t="shared" si="11"/>
        <v>单套建筑面积</v>
      </c>
      <c r="R42" s="1512" t="s">
        <v>8</v>
      </c>
      <c r="S42" s="1513">
        <f t="shared" si="12"/>
        <v>100</v>
      </c>
      <c r="T42" s="1512" t="s">
        <v>8</v>
      </c>
      <c r="U42" s="1513">
        <f t="shared" si="13"/>
        <v>100</v>
      </c>
      <c r="V42" s="1512" t="s">
        <v>8</v>
      </c>
      <c r="W42" s="1513">
        <f t="shared" si="14"/>
        <v>100</v>
      </c>
      <c r="X42" s="1514"/>
      <c r="Y42" s="349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3"/>
      <c r="Q43" s="1507" t="str">
        <f t="shared" si="11"/>
        <v>内部装修</v>
      </c>
      <c r="R43" s="1508" t="s">
        <v>8</v>
      </c>
      <c r="S43" s="1509">
        <f t="shared" si="12"/>
        <v>100</v>
      </c>
      <c r="T43" s="1508" t="s">
        <v>8</v>
      </c>
      <c r="U43" s="1509">
        <f t="shared" si="13"/>
        <v>100</v>
      </c>
      <c r="V43" s="1508" t="s">
        <v>8</v>
      </c>
      <c r="W43" s="1509">
        <f t="shared" si="14"/>
        <v>100</v>
      </c>
      <c r="X43" s="1502"/>
      <c r="Y43" s="349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3"/>
      <c r="Q44" s="1507" t="str">
        <f t="shared" si="11"/>
        <v>内部装修维护情况</v>
      </c>
      <c r="R44" s="1508" t="s">
        <v>8</v>
      </c>
      <c r="S44" s="1509">
        <f t="shared" si="12"/>
        <v>100</v>
      </c>
      <c r="T44" s="1508" t="s">
        <v>8</v>
      </c>
      <c r="U44" s="1509">
        <f t="shared" si="13"/>
        <v>100</v>
      </c>
      <c r="V44" s="1508" t="s">
        <v>8</v>
      </c>
      <c r="W44" s="1509">
        <f t="shared" si="14"/>
        <v>100</v>
      </c>
      <c r="X44" s="1502"/>
      <c r="Y44" s="349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3"/>
      <c r="Q45" s="1134">
        <f t="shared" si="11"/>
        <v>111</v>
      </c>
      <c r="R45" s="1503" t="s">
        <v>8</v>
      </c>
      <c r="S45" s="1504">
        <f t="shared" si="12"/>
        <v>100</v>
      </c>
      <c r="T45" s="1503" t="s">
        <v>8</v>
      </c>
      <c r="U45" s="1504">
        <f t="shared" si="13"/>
        <v>100</v>
      </c>
      <c r="V45" s="1503" t="s">
        <v>8</v>
      </c>
      <c r="W45" s="1504">
        <f t="shared" si="14"/>
        <v>100</v>
      </c>
      <c r="X45" s="1505"/>
      <c r="Y45" s="349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3"/>
      <c r="Q46" s="1507">
        <f t="shared" si="11"/>
        <v>111</v>
      </c>
      <c r="R46" s="1508" t="s">
        <v>8</v>
      </c>
      <c r="S46" s="1509">
        <f t="shared" si="12"/>
        <v>100</v>
      </c>
      <c r="T46" s="1508" t="s">
        <v>8</v>
      </c>
      <c r="U46" s="1509">
        <f t="shared" si="13"/>
        <v>100</v>
      </c>
      <c r="V46" s="1508" t="s">
        <v>8</v>
      </c>
      <c r="W46" s="1509">
        <f t="shared" si="14"/>
        <v>100</v>
      </c>
      <c r="X46" s="1502"/>
      <c r="Y46" s="349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5"/>
      <c r="Q47" s="1507">
        <f t="shared" si="11"/>
        <v>111</v>
      </c>
      <c r="R47" s="1508" t="s">
        <v>8</v>
      </c>
      <c r="S47" s="1509">
        <f t="shared" si="12"/>
        <v>100</v>
      </c>
      <c r="T47" s="1508" t="s">
        <v>8</v>
      </c>
      <c r="U47" s="1509">
        <f t="shared" si="13"/>
        <v>100</v>
      </c>
      <c r="V47" s="1508" t="s">
        <v>8</v>
      </c>
      <c r="W47" s="1509">
        <f t="shared" si="14"/>
        <v>100</v>
      </c>
      <c r="X47" s="1502"/>
      <c r="Y47" s="3575"/>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54" t="str">
        <f>A48</f>
        <v>成交单价（元/平方米）</v>
      </c>
      <c r="Q48" s="3456"/>
      <c r="R48" s="3574">
        <f>E48</f>
        <v>0</v>
      </c>
      <c r="S48" s="3574"/>
      <c r="T48" s="3574">
        <f>G48</f>
        <v>0</v>
      </c>
      <c r="U48" s="3574"/>
      <c r="V48" s="3574">
        <f>I48</f>
        <v>0</v>
      </c>
      <c r="W48" s="3574"/>
      <c r="X48" s="1497"/>
      <c r="Y48" s="1516"/>
      <c r="Z48" s="1497"/>
      <c r="AA48" s="1497"/>
      <c r="AB48" s="1497"/>
      <c r="AC48" s="1497"/>
    </row>
    <row r="49" spans="1:29" ht="15.75" thickBot="1">
      <c r="A49" s="609" t="s">
        <v>2740</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54" t="str">
        <f>A49</f>
        <v>比较价格（元/平方米）</v>
      </c>
      <c r="Q49" s="3456"/>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576" t="str">
        <f>A50</f>
        <v>估价对象XX用房的比较价格（楼面单价，元/平方米）</v>
      </c>
      <c r="Q50" s="3454"/>
      <c r="R50" s="3573" t="e">
        <f>IF(F1="售价",ROUND(IF(D49="简单平均",AVERAGE(R49:V49),R49*F49+T49*H49+V49*J49),0),ROUND(IF(D49="简单平均",AVERAGE(R49:V49),R49*F49+T49*H49+V49*J49),1))</f>
        <v>#DIV/0!</v>
      </c>
      <c r="S50" s="3573"/>
      <c r="T50" s="3573"/>
      <c r="U50" s="3573"/>
      <c r="V50" s="3573"/>
      <c r="W50" s="3573"/>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2021-6</v>
      </c>
      <c r="D59" s="2521">
        <f>EDATE(C59,-1)</f>
        <v>44317</v>
      </c>
      <c r="E59" s="2521">
        <f t="shared" ref="E59:O59" si="16">EDATE(D59,-1)</f>
        <v>44287</v>
      </c>
      <c r="F59" s="2521">
        <f t="shared" si="16"/>
        <v>44256</v>
      </c>
      <c r="G59" s="2521">
        <f t="shared" si="16"/>
        <v>44228</v>
      </c>
      <c r="H59" s="2521">
        <f t="shared" si="16"/>
        <v>44197</v>
      </c>
      <c r="I59" s="2521">
        <f t="shared" si="16"/>
        <v>44166</v>
      </c>
      <c r="J59" s="2521">
        <f t="shared" si="16"/>
        <v>44136</v>
      </c>
      <c r="K59" s="2521">
        <f t="shared" si="16"/>
        <v>44105</v>
      </c>
      <c r="L59" s="2521">
        <f t="shared" si="16"/>
        <v>44075</v>
      </c>
      <c r="M59" s="2521">
        <f t="shared" si="16"/>
        <v>44044</v>
      </c>
      <c r="N59" s="2521">
        <f t="shared" si="16"/>
        <v>44013</v>
      </c>
      <c r="O59" s="2521">
        <f t="shared" si="16"/>
        <v>43983</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62" t="s">
        <v>516</v>
      </c>
      <c r="D4" s="3463"/>
      <c r="E4" s="3496" t="s">
        <v>517</v>
      </c>
      <c r="F4" s="3497"/>
      <c r="G4" s="3462" t="s">
        <v>518</v>
      </c>
      <c r="H4" s="3463"/>
      <c r="I4" s="3462" t="s">
        <v>519</v>
      </c>
      <c r="J4" s="3463"/>
      <c r="K4" s="508"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60" t="s">
        <v>518</v>
      </c>
      <c r="AC4" s="3459" t="s">
        <v>519</v>
      </c>
    </row>
    <row r="5" spans="1:29" ht="15">
      <c r="A5" s="509"/>
      <c r="B5" s="510"/>
      <c r="C5" s="3478" t="s">
        <v>2897</v>
      </c>
      <c r="D5" s="3479"/>
      <c r="E5" s="3498" t="s">
        <v>2898</v>
      </c>
      <c r="F5" s="3499"/>
      <c r="G5" s="3478" t="s">
        <v>2899</v>
      </c>
      <c r="H5" s="3479"/>
      <c r="I5" s="3478" t="s">
        <v>2900</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2901</v>
      </c>
      <c r="D6" s="3477"/>
      <c r="E6" s="3494" t="s">
        <v>2901</v>
      </c>
      <c r="F6" s="3495"/>
      <c r="G6" s="3476" t="s">
        <v>2901</v>
      </c>
      <c r="H6" s="3477"/>
      <c r="I6" s="3476" t="s">
        <v>2901</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44357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7"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40" si="3">D8/F8</f>
        <v>#DIV/0!</v>
      </c>
      <c r="AB8" s="1506" t="e">
        <f t="shared" ref="AB8:AB40" si="4">D8/H8</f>
        <v>#DIV/0!</v>
      </c>
      <c r="AC8" s="1506"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57">
      <c r="A15" s="2627"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0" t="s">
        <v>534</v>
      </c>
      <c r="Q15" s="1507" t="str">
        <f t="shared" si="6"/>
        <v>产业集聚程度</v>
      </c>
      <c r="R15" s="1508" t="s">
        <v>8</v>
      </c>
      <c r="S15" s="1509">
        <f t="shared" si="0"/>
        <v>100</v>
      </c>
      <c r="T15" s="1508" t="s">
        <v>8</v>
      </c>
      <c r="U15" s="1509">
        <f t="shared" si="1"/>
        <v>100</v>
      </c>
      <c r="V15" s="1508" t="s">
        <v>8</v>
      </c>
      <c r="W15" s="1509">
        <f t="shared" si="2"/>
        <v>100</v>
      </c>
      <c r="X15" s="1502"/>
      <c r="Y15" s="349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91"/>
      <c r="Q22" s="2429"/>
      <c r="R22" s="1508"/>
      <c r="S22" s="1509"/>
      <c r="T22" s="1508"/>
      <c r="U22" s="1509"/>
      <c r="V22" s="1508"/>
      <c r="W22" s="1509"/>
      <c r="X22" s="2431"/>
      <c r="Y22" s="3491"/>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1"/>
      <c r="Q25" s="1507">
        <f>B25</f>
        <v>111</v>
      </c>
      <c r="R25" s="1508" t="s">
        <v>8</v>
      </c>
      <c r="S25" s="1509">
        <f>F25</f>
        <v>100</v>
      </c>
      <c r="T25" s="1508" t="s">
        <v>8</v>
      </c>
      <c r="U25" s="1509">
        <f>H25</f>
        <v>100</v>
      </c>
      <c r="V25" s="1508" t="s">
        <v>8</v>
      </c>
      <c r="W25" s="1509">
        <f>J25</f>
        <v>100</v>
      </c>
      <c r="X25" s="1502"/>
      <c r="Y25" s="349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1"/>
      <c r="Q26" s="1507">
        <f t="shared" ref="Q26:Q40" si="11">B26</f>
        <v>111</v>
      </c>
      <c r="R26" s="1508" t="s">
        <v>8</v>
      </c>
      <c r="S26" s="1509">
        <f>F26</f>
        <v>100</v>
      </c>
      <c r="T26" s="1508" t="s">
        <v>8</v>
      </c>
      <c r="U26" s="1509">
        <f>H26</f>
        <v>100</v>
      </c>
      <c r="V26" s="1508" t="s">
        <v>8</v>
      </c>
      <c r="W26" s="1509">
        <f>J26</f>
        <v>100</v>
      </c>
      <c r="X26" s="1502"/>
      <c r="Y26" s="349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1"/>
      <c r="Q27" s="1134">
        <f t="shared" si="11"/>
        <v>111</v>
      </c>
      <c r="R27" s="1503" t="s">
        <v>8</v>
      </c>
      <c r="S27" s="1504">
        <f>F27</f>
        <v>100</v>
      </c>
      <c r="T27" s="1503" t="s">
        <v>8</v>
      </c>
      <c r="U27" s="1504">
        <f>H27</f>
        <v>100</v>
      </c>
      <c r="V27" s="1503" t="s">
        <v>8</v>
      </c>
      <c r="W27" s="1504">
        <f>J27</f>
        <v>100</v>
      </c>
      <c r="X27" s="1505"/>
      <c r="Y27" s="349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1"/>
      <c r="Q28" s="1507">
        <f t="shared" si="11"/>
        <v>111</v>
      </c>
      <c r="R28" s="1508" t="s">
        <v>8</v>
      </c>
      <c r="S28" s="1509">
        <f t="shared" ref="S28:S40" si="12">F28</f>
        <v>100</v>
      </c>
      <c r="T28" s="1508" t="s">
        <v>8</v>
      </c>
      <c r="U28" s="1509">
        <f t="shared" ref="U28:U40" si="13">H28</f>
        <v>100</v>
      </c>
      <c r="V28" s="1508" t="s">
        <v>8</v>
      </c>
      <c r="W28" s="1509">
        <f t="shared" ref="W28:W40" si="14">J28</f>
        <v>100</v>
      </c>
      <c r="X28" s="1502"/>
      <c r="Y28" s="3491"/>
      <c r="Z28" s="1510">
        <f t="shared" ref="Z28:Z40" si="15">Q28</f>
        <v>111</v>
      </c>
      <c r="AA28" s="1511">
        <f t="shared" si="3"/>
        <v>1</v>
      </c>
      <c r="AB28" s="1511">
        <f t="shared" si="4"/>
        <v>1</v>
      </c>
      <c r="AC28" s="1511">
        <f t="shared" si="5"/>
        <v>1</v>
      </c>
    </row>
    <row r="29" spans="1:29" ht="15">
      <c r="A29" s="2624"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2" t="s">
        <v>544</v>
      </c>
      <c r="Q29" s="1507" t="str">
        <f t="shared" si="11"/>
        <v>建筑类型</v>
      </c>
      <c r="R29" s="1508" t="s">
        <v>8</v>
      </c>
      <c r="S29" s="1509">
        <f t="shared" si="12"/>
        <v>100</v>
      </c>
      <c r="T29" s="1508" t="s">
        <v>8</v>
      </c>
      <c r="U29" s="1509">
        <f t="shared" si="13"/>
        <v>100</v>
      </c>
      <c r="V29" s="1508" t="s">
        <v>8</v>
      </c>
      <c r="W29" s="1509">
        <f t="shared" si="14"/>
        <v>100</v>
      </c>
      <c r="X29" s="1502"/>
      <c r="Y29" s="349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3"/>
      <c r="Q30" s="1536" t="str">
        <f t="shared" si="11"/>
        <v>项目建筑规模</v>
      </c>
      <c r="R30" s="1512" t="s">
        <v>8</v>
      </c>
      <c r="S30" s="1513" t="e">
        <f t="shared" si="12"/>
        <v>#N/A</v>
      </c>
      <c r="T30" s="1512" t="s">
        <v>8</v>
      </c>
      <c r="U30" s="1513" t="e">
        <f t="shared" si="13"/>
        <v>#N/A</v>
      </c>
      <c r="V30" s="1512" t="s">
        <v>8</v>
      </c>
      <c r="W30" s="1513" t="e">
        <f t="shared" si="14"/>
        <v>#N/A</v>
      </c>
      <c r="X30" s="1514"/>
      <c r="Y30" s="349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3"/>
      <c r="Q31" s="1507" t="str">
        <f t="shared" si="11"/>
        <v>建筑结构</v>
      </c>
      <c r="R31" s="1508" t="s">
        <v>8</v>
      </c>
      <c r="S31" s="1509">
        <f t="shared" si="12"/>
        <v>100</v>
      </c>
      <c r="T31" s="1508" t="s">
        <v>8</v>
      </c>
      <c r="U31" s="1509">
        <f t="shared" si="13"/>
        <v>100</v>
      </c>
      <c r="V31" s="1508" t="s">
        <v>8</v>
      </c>
      <c r="W31" s="1509">
        <f t="shared" si="14"/>
        <v>100</v>
      </c>
      <c r="X31" s="1502"/>
      <c r="Y31" s="349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3"/>
      <c r="Q32" s="1507" t="str">
        <f t="shared" si="11"/>
        <v>公共部分装修</v>
      </c>
      <c r="R32" s="1508" t="s">
        <v>8</v>
      </c>
      <c r="S32" s="1509">
        <f t="shared" si="12"/>
        <v>100</v>
      </c>
      <c r="T32" s="1508" t="s">
        <v>8</v>
      </c>
      <c r="U32" s="1509">
        <f t="shared" si="13"/>
        <v>100</v>
      </c>
      <c r="V32" s="1508" t="s">
        <v>8</v>
      </c>
      <c r="W32" s="1509">
        <f t="shared" si="14"/>
        <v>100</v>
      </c>
      <c r="X32" s="1502"/>
      <c r="Y32" s="349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3"/>
      <c r="Q33" s="1507" t="str">
        <f t="shared" si="11"/>
        <v>成新度</v>
      </c>
      <c r="R33" s="1508" t="s">
        <v>8</v>
      </c>
      <c r="S33" s="1509" t="e">
        <f t="shared" si="12"/>
        <v>#N/A</v>
      </c>
      <c r="T33" s="1508" t="s">
        <v>8</v>
      </c>
      <c r="U33" s="1509" t="e">
        <f t="shared" si="13"/>
        <v>#N/A</v>
      </c>
      <c r="V33" s="1508" t="s">
        <v>8</v>
      </c>
      <c r="W33" s="1509" t="e">
        <f t="shared" si="14"/>
        <v>#N/A</v>
      </c>
      <c r="X33" s="1502"/>
      <c r="Y33" s="349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3"/>
      <c r="Q34" s="1134" t="str">
        <f t="shared" si="11"/>
        <v>物业管理</v>
      </c>
      <c r="R34" s="1503" t="s">
        <v>8</v>
      </c>
      <c r="S34" s="1504">
        <f t="shared" si="12"/>
        <v>100</v>
      </c>
      <c r="T34" s="1503" t="s">
        <v>8</v>
      </c>
      <c r="U34" s="1504">
        <f t="shared" si="13"/>
        <v>100</v>
      </c>
      <c r="V34" s="1503" t="s">
        <v>8</v>
      </c>
      <c r="W34" s="1504">
        <f t="shared" si="14"/>
        <v>100</v>
      </c>
      <c r="X34" s="1505"/>
      <c r="Y34" s="3493"/>
      <c r="Z34" s="1133" t="str">
        <f t="shared" si="15"/>
        <v>物业管理</v>
      </c>
      <c r="AA34" s="1506">
        <f t="shared" si="3"/>
        <v>1</v>
      </c>
      <c r="AB34" s="1506">
        <f t="shared" si="4"/>
        <v>1</v>
      </c>
      <c r="AC34" s="1506">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3" t="s">
        <v>544</v>
      </c>
      <c r="Q35" s="1507" t="str">
        <f t="shared" si="11"/>
        <v>市政基础设施</v>
      </c>
      <c r="R35" s="1508" t="s">
        <v>8</v>
      </c>
      <c r="S35" s="1509">
        <f t="shared" si="12"/>
        <v>100</v>
      </c>
      <c r="T35" s="1508" t="s">
        <v>8</v>
      </c>
      <c r="U35" s="1509">
        <f t="shared" si="13"/>
        <v>100</v>
      </c>
      <c r="V35" s="1508" t="s">
        <v>8</v>
      </c>
      <c r="W35" s="1509">
        <f t="shared" si="14"/>
        <v>100</v>
      </c>
      <c r="X35" s="1502"/>
      <c r="Y35" s="349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3"/>
      <c r="Q36" s="1507" t="str">
        <f t="shared" si="11"/>
        <v>内部装修</v>
      </c>
      <c r="R36" s="1508" t="s">
        <v>8</v>
      </c>
      <c r="S36" s="1509">
        <f t="shared" si="12"/>
        <v>100</v>
      </c>
      <c r="T36" s="1508" t="s">
        <v>8</v>
      </c>
      <c r="U36" s="1509">
        <f t="shared" si="13"/>
        <v>100</v>
      </c>
      <c r="V36" s="1508" t="s">
        <v>8</v>
      </c>
      <c r="W36" s="1509">
        <f t="shared" si="14"/>
        <v>100</v>
      </c>
      <c r="X36" s="1502"/>
      <c r="Y36" s="349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3"/>
      <c r="Q37" s="1507" t="str">
        <f t="shared" si="11"/>
        <v>内部装修状况</v>
      </c>
      <c r="R37" s="1508" t="s">
        <v>8</v>
      </c>
      <c r="S37" s="1509">
        <f t="shared" si="12"/>
        <v>100</v>
      </c>
      <c r="T37" s="1508" t="s">
        <v>8</v>
      </c>
      <c r="U37" s="1509">
        <f t="shared" si="13"/>
        <v>100</v>
      </c>
      <c r="V37" s="1508" t="s">
        <v>8</v>
      </c>
      <c r="W37" s="1509">
        <f t="shared" si="14"/>
        <v>100</v>
      </c>
      <c r="X37" s="1502"/>
      <c r="Y37" s="349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3"/>
      <c r="Q38" s="1536">
        <f t="shared" si="11"/>
        <v>111</v>
      </c>
      <c r="R38" s="1512" t="s">
        <v>8</v>
      </c>
      <c r="S38" s="1513">
        <f t="shared" si="12"/>
        <v>100</v>
      </c>
      <c r="T38" s="1512" t="s">
        <v>8</v>
      </c>
      <c r="U38" s="1513">
        <f t="shared" si="13"/>
        <v>100</v>
      </c>
      <c r="V38" s="1512" t="s">
        <v>8</v>
      </c>
      <c r="W38" s="1513">
        <f t="shared" si="14"/>
        <v>100</v>
      </c>
      <c r="X38" s="1514"/>
      <c r="Y38" s="349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3"/>
      <c r="Q39" s="1507">
        <f t="shared" si="11"/>
        <v>111</v>
      </c>
      <c r="R39" s="1508" t="s">
        <v>8</v>
      </c>
      <c r="S39" s="1509">
        <f t="shared" si="12"/>
        <v>100</v>
      </c>
      <c r="T39" s="1508" t="s">
        <v>8</v>
      </c>
      <c r="U39" s="1509">
        <f t="shared" si="13"/>
        <v>100</v>
      </c>
      <c r="V39" s="1508" t="s">
        <v>8</v>
      </c>
      <c r="W39" s="1509">
        <f t="shared" si="14"/>
        <v>100</v>
      </c>
      <c r="X39" s="1502"/>
      <c r="Y39" s="349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5"/>
      <c r="Q40" s="1507">
        <f t="shared" si="11"/>
        <v>111</v>
      </c>
      <c r="R40" s="1508" t="s">
        <v>8</v>
      </c>
      <c r="S40" s="1509">
        <f t="shared" si="12"/>
        <v>100</v>
      </c>
      <c r="T40" s="1508" t="s">
        <v>8</v>
      </c>
      <c r="U40" s="1509">
        <f t="shared" si="13"/>
        <v>100</v>
      </c>
      <c r="V40" s="1508" t="s">
        <v>8</v>
      </c>
      <c r="W40" s="1509">
        <f t="shared" si="14"/>
        <v>100</v>
      </c>
      <c r="X40" s="1502"/>
      <c r="Y40" s="3575"/>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56" t="str">
        <f>A41</f>
        <v>成交单价（元/平方米）</v>
      </c>
      <c r="Q41" s="3456"/>
      <c r="R41" s="3574">
        <f>E41</f>
        <v>0</v>
      </c>
      <c r="S41" s="3574"/>
      <c r="T41" s="3574">
        <f>G41</f>
        <v>0</v>
      </c>
      <c r="U41" s="3574"/>
      <c r="V41" s="3574">
        <f>I41</f>
        <v>0</v>
      </c>
      <c r="W41" s="3574"/>
      <c r="X41" s="1497"/>
      <c r="Y41" s="1516"/>
      <c r="Z41" s="1497"/>
      <c r="AA41" s="1497"/>
      <c r="AB41" s="1497"/>
      <c r="AC41" s="1497"/>
    </row>
    <row r="42" spans="1:29" ht="15.75" thickBot="1">
      <c r="A42" s="609" t="s">
        <v>2740</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56" t="str">
        <f>A42</f>
        <v>比较价格（元/平方米）</v>
      </c>
      <c r="Q42" s="3456"/>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453" t="str">
        <f>A43</f>
        <v>估价对象XX用房的比较价格（楼面单价，元/平方米）</v>
      </c>
      <c r="Q43" s="3454"/>
      <c r="R43" s="3573" t="e">
        <f>IF(F1="售价",ROUND(IF(D42="简单平均",AVERAGE(R42:V42),R42*F42+T42*H42+V42*J42),0),ROUND(IF(D42="简单平均",AVERAGE(R42:V42),R42*F42+T42*H42+V42*J42),1))</f>
        <v>#DIV/0!</v>
      </c>
      <c r="S43" s="3573"/>
      <c r="T43" s="3573"/>
      <c r="U43" s="3573"/>
      <c r="V43" s="3573"/>
      <c r="W43" s="3573"/>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2021-6</v>
      </c>
      <c r="D52" s="2521">
        <f>EDATE(C52,-1)</f>
        <v>44317</v>
      </c>
      <c r="E52" s="2521">
        <f t="shared" ref="E52:O52" si="16">EDATE(D52,-1)</f>
        <v>44287</v>
      </c>
      <c r="F52" s="2521">
        <f t="shared" si="16"/>
        <v>44256</v>
      </c>
      <c r="G52" s="2521">
        <f t="shared" si="16"/>
        <v>44228</v>
      </c>
      <c r="H52" s="2521">
        <f t="shared" si="16"/>
        <v>44197</v>
      </c>
      <c r="I52" s="2521">
        <f t="shared" si="16"/>
        <v>44166</v>
      </c>
      <c r="J52" s="2521">
        <f t="shared" si="16"/>
        <v>44136</v>
      </c>
      <c r="K52" s="2521">
        <f t="shared" si="16"/>
        <v>44105</v>
      </c>
      <c r="L52" s="2521">
        <f t="shared" si="16"/>
        <v>44075</v>
      </c>
      <c r="M52" s="2521">
        <f t="shared" si="16"/>
        <v>44044</v>
      </c>
      <c r="N52" s="2521">
        <f t="shared" si="16"/>
        <v>44013</v>
      </c>
      <c r="O52" s="2521">
        <f t="shared" si="16"/>
        <v>43983</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2" t="s">
        <v>792</v>
      </c>
      <c r="D4" s="3463"/>
      <c r="E4" s="3462" t="s">
        <v>793</v>
      </c>
      <c r="F4" s="3463"/>
      <c r="G4" s="3462" t="s">
        <v>794</v>
      </c>
      <c r="H4" s="3463"/>
      <c r="I4" s="3462" t="s">
        <v>795</v>
      </c>
      <c r="J4" s="3463"/>
      <c r="K4" s="508" t="s">
        <v>796</v>
      </c>
      <c r="L4" s="2015"/>
      <c r="M4" s="2016"/>
      <c r="N4" s="2016"/>
      <c r="O4" s="2016"/>
      <c r="P4" s="3464" t="s">
        <v>797</v>
      </c>
      <c r="Q4" s="3465"/>
      <c r="R4" s="3470" t="s">
        <v>793</v>
      </c>
      <c r="S4" s="3471"/>
      <c r="T4" s="3470" t="s">
        <v>794</v>
      </c>
      <c r="U4" s="3471"/>
      <c r="V4" s="3457" t="s">
        <v>795</v>
      </c>
      <c r="W4" s="3457"/>
      <c r="X4" s="1502"/>
      <c r="Y4" s="3470" t="s">
        <v>797</v>
      </c>
      <c r="Z4" s="3471"/>
      <c r="AA4" s="3459" t="s">
        <v>793</v>
      </c>
      <c r="AB4" s="3460" t="s">
        <v>794</v>
      </c>
      <c r="AC4" s="3459" t="s">
        <v>795</v>
      </c>
    </row>
    <row r="5" spans="1:29" ht="15">
      <c r="A5" s="509"/>
      <c r="B5" s="510"/>
      <c r="C5" s="3478" t="s">
        <v>2897</v>
      </c>
      <c r="D5" s="3479"/>
      <c r="E5" s="3478" t="s">
        <v>2898</v>
      </c>
      <c r="F5" s="3479"/>
      <c r="G5" s="3478" t="s">
        <v>2899</v>
      </c>
      <c r="H5" s="3479"/>
      <c r="I5" s="3478" t="s">
        <v>2900</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2901</v>
      </c>
      <c r="D6" s="3477"/>
      <c r="E6" s="3480" t="s">
        <v>2901</v>
      </c>
      <c r="F6" s="3481"/>
      <c r="G6" s="3476" t="s">
        <v>2901</v>
      </c>
      <c r="H6" s="3477"/>
      <c r="I6" s="3476" t="s">
        <v>2901</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44357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7" t="s">
        <v>524</v>
      </c>
      <c r="Q7" s="3489"/>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36" si="3">D8/F8</f>
        <v>#DIV/0!</v>
      </c>
      <c r="AB8" s="1506" t="e">
        <f t="shared" ref="AB8:AB36" si="4">D8/H8</f>
        <v>#DIV/0!</v>
      </c>
      <c r="AC8" s="1506"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56" t="s">
        <v>529</v>
      </c>
      <c r="Q9" s="1134" t="str">
        <f t="shared" ref="Q9:Q14" si="6">B9</f>
        <v>用途</v>
      </c>
      <c r="R9" s="1503" t="s">
        <v>8</v>
      </c>
      <c r="S9" s="1504">
        <f t="shared" si="0"/>
        <v>100</v>
      </c>
      <c r="T9" s="1503" t="s">
        <v>8</v>
      </c>
      <c r="U9" s="1504">
        <f t="shared" si="1"/>
        <v>100</v>
      </c>
      <c r="V9" s="1503" t="s">
        <v>8</v>
      </c>
      <c r="W9" s="1504">
        <f t="shared" si="2"/>
        <v>100</v>
      </c>
      <c r="X9" s="1505"/>
      <c r="Y9" s="3402" t="s">
        <v>530</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56"/>
      <c r="Q11" s="1134">
        <f t="shared" si="6"/>
        <v>111</v>
      </c>
      <c r="R11" s="1503" t="s">
        <v>8</v>
      </c>
      <c r="S11" s="1504">
        <f t="shared" si="0"/>
        <v>100</v>
      </c>
      <c r="T11" s="1503" t="s">
        <v>8</v>
      </c>
      <c r="U11" s="1504">
        <f t="shared" si="1"/>
        <v>100</v>
      </c>
      <c r="V11" s="1503" t="s">
        <v>8</v>
      </c>
      <c r="W11" s="1504">
        <f t="shared" si="2"/>
        <v>100</v>
      </c>
      <c r="X11" s="1505"/>
      <c r="Y11" s="3402"/>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85.5">
      <c r="A14" s="2627"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91"/>
      <c r="Q15" s="1507"/>
      <c r="R15" s="1508"/>
      <c r="S15" s="1509"/>
      <c r="T15" s="1508"/>
      <c r="U15" s="1509"/>
      <c r="V15" s="1508"/>
      <c r="W15" s="1509"/>
      <c r="X15" s="1502"/>
      <c r="Y15" s="3491"/>
      <c r="Z15" s="1510"/>
      <c r="AA15" s="1511">
        <v>1</v>
      </c>
      <c r="AB15" s="1511">
        <v>1</v>
      </c>
      <c r="AC15" s="1511">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91"/>
      <c r="Q17" s="1507"/>
      <c r="R17" s="1508"/>
      <c r="S17" s="1509"/>
      <c r="T17" s="1508"/>
      <c r="U17" s="1509"/>
      <c r="V17" s="1508"/>
      <c r="W17" s="1509"/>
      <c r="X17" s="1502"/>
      <c r="Y17" s="3491"/>
      <c r="Z17" s="1510"/>
      <c r="AA17" s="1511">
        <v>1</v>
      </c>
      <c r="AB17" s="1511">
        <v>1</v>
      </c>
      <c r="AC17" s="1511">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1"/>
      <c r="Q18" s="2429" t="str">
        <f>B18</f>
        <v>基础设施水平</v>
      </c>
      <c r="R18" s="1508" t="s">
        <v>8</v>
      </c>
      <c r="S18" s="1509">
        <f>F18</f>
        <v>100</v>
      </c>
      <c r="T18" s="1508" t="s">
        <v>8</v>
      </c>
      <c r="U18" s="1509">
        <f>H18</f>
        <v>100</v>
      </c>
      <c r="V18" s="1508" t="s">
        <v>8</v>
      </c>
      <c r="W18" s="1509">
        <f>J18</f>
        <v>100</v>
      </c>
      <c r="X18" s="2431"/>
      <c r="Y18" s="3491"/>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91"/>
      <c r="Q19" s="2429"/>
      <c r="R19" s="1508"/>
      <c r="S19" s="1509"/>
      <c r="T19" s="1508"/>
      <c r="U19" s="1509"/>
      <c r="V19" s="1508"/>
      <c r="W19" s="1509"/>
      <c r="X19" s="2431"/>
      <c r="Y19" s="3491"/>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91"/>
      <c r="Q21" s="1507"/>
      <c r="R21" s="1508"/>
      <c r="S21" s="1509"/>
      <c r="T21" s="1508"/>
      <c r="U21" s="1509"/>
      <c r="V21" s="1508"/>
      <c r="W21" s="1509"/>
      <c r="X21" s="1502"/>
      <c r="Y21" s="349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1"/>
      <c r="Q24" s="1507">
        <f t="shared" ref="Q24:Q36"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4"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3"/>
      <c r="Q27" s="1536" t="str">
        <f t="shared" si="11"/>
        <v>项目停车位配比</v>
      </c>
      <c r="R27" s="1512" t="s">
        <v>8</v>
      </c>
      <c r="S27" s="1513">
        <f t="shared" si="12"/>
        <v>100</v>
      </c>
      <c r="T27" s="1512" t="s">
        <v>8</v>
      </c>
      <c r="U27" s="1513">
        <f t="shared" si="13"/>
        <v>100</v>
      </c>
      <c r="V27" s="1512" t="s">
        <v>8</v>
      </c>
      <c r="W27" s="1513">
        <f t="shared" si="14"/>
        <v>100</v>
      </c>
      <c r="X27" s="1514"/>
      <c r="Y27" s="349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3"/>
      <c r="Q28" s="1507" t="str">
        <f t="shared" si="11"/>
        <v>公共部分装修</v>
      </c>
      <c r="R28" s="1508" t="s">
        <v>8</v>
      </c>
      <c r="S28" s="1509">
        <f t="shared" si="12"/>
        <v>100</v>
      </c>
      <c r="T28" s="1508" t="s">
        <v>8</v>
      </c>
      <c r="U28" s="1509">
        <f t="shared" si="13"/>
        <v>100</v>
      </c>
      <c r="V28" s="1508" t="s">
        <v>8</v>
      </c>
      <c r="W28" s="1509">
        <f t="shared" si="14"/>
        <v>100</v>
      </c>
      <c r="X28" s="1502"/>
      <c r="Y28" s="349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3"/>
      <c r="Q29" s="1507" t="str">
        <f t="shared" si="11"/>
        <v>成新率</v>
      </c>
      <c r="R29" s="1508" t="s">
        <v>8</v>
      </c>
      <c r="S29" s="1509" t="e">
        <f t="shared" si="12"/>
        <v>#N/A</v>
      </c>
      <c r="T29" s="1508" t="s">
        <v>8</v>
      </c>
      <c r="U29" s="1509" t="e">
        <f t="shared" si="13"/>
        <v>#N/A</v>
      </c>
      <c r="V29" s="1508" t="s">
        <v>8</v>
      </c>
      <c r="W29" s="1509" t="e">
        <f t="shared" si="14"/>
        <v>#N/A</v>
      </c>
      <c r="X29" s="1502"/>
      <c r="Y29" s="349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3"/>
      <c r="Q30" s="1507" t="str">
        <f t="shared" si="11"/>
        <v>物业等级</v>
      </c>
      <c r="R30" s="1508" t="s">
        <v>8</v>
      </c>
      <c r="S30" s="1509">
        <f t="shared" si="12"/>
        <v>100</v>
      </c>
      <c r="T30" s="1508" t="s">
        <v>8</v>
      </c>
      <c r="U30" s="1509">
        <f t="shared" si="13"/>
        <v>100</v>
      </c>
      <c r="V30" s="1508" t="s">
        <v>8</v>
      </c>
      <c r="W30" s="1509">
        <f t="shared" si="14"/>
        <v>100</v>
      </c>
      <c r="X30" s="1502"/>
      <c r="Y30" s="349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3"/>
      <c r="Q31" s="1134" t="str">
        <f t="shared" si="11"/>
        <v>停车位面积</v>
      </c>
      <c r="R31" s="1503" t="s">
        <v>8</v>
      </c>
      <c r="S31" s="1504" t="e">
        <f t="shared" si="12"/>
        <v>#N/A</v>
      </c>
      <c r="T31" s="1503" t="s">
        <v>8</v>
      </c>
      <c r="U31" s="1504" t="e">
        <f t="shared" si="13"/>
        <v>#N/A</v>
      </c>
      <c r="V31" s="1503" t="s">
        <v>8</v>
      </c>
      <c r="W31" s="1504" t="e">
        <f t="shared" si="14"/>
        <v>#N/A</v>
      </c>
      <c r="X31" s="1505"/>
      <c r="Y31" s="349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3" t="s">
        <v>544</v>
      </c>
      <c r="Q32" s="1507" t="str">
        <f t="shared" si="11"/>
        <v>车位类型</v>
      </c>
      <c r="R32" s="1508" t="s">
        <v>8</v>
      </c>
      <c r="S32" s="1509">
        <f t="shared" si="12"/>
        <v>100</v>
      </c>
      <c r="T32" s="1508" t="s">
        <v>8</v>
      </c>
      <c r="U32" s="1509">
        <f t="shared" si="13"/>
        <v>100</v>
      </c>
      <c r="V32" s="1508" t="s">
        <v>8</v>
      </c>
      <c r="W32" s="1509">
        <f t="shared" si="14"/>
        <v>100</v>
      </c>
      <c r="X32" s="1502"/>
      <c r="Y32" s="349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3"/>
      <c r="Q33" s="1507" t="str">
        <f t="shared" si="11"/>
        <v>是否直接入户</v>
      </c>
      <c r="R33" s="1508" t="s">
        <v>8</v>
      </c>
      <c r="S33" s="1509">
        <f t="shared" si="12"/>
        <v>100</v>
      </c>
      <c r="T33" s="1508" t="s">
        <v>8</v>
      </c>
      <c r="U33" s="1509">
        <f t="shared" si="13"/>
        <v>100</v>
      </c>
      <c r="V33" s="1508" t="s">
        <v>8</v>
      </c>
      <c r="W33" s="1509">
        <f t="shared" si="14"/>
        <v>100</v>
      </c>
      <c r="X33" s="1502"/>
      <c r="Y33" s="349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3"/>
      <c r="Q35" s="1536">
        <f t="shared" si="11"/>
        <v>111</v>
      </c>
      <c r="R35" s="1512" t="s">
        <v>8</v>
      </c>
      <c r="S35" s="1513">
        <f t="shared" si="12"/>
        <v>100</v>
      </c>
      <c r="T35" s="1512" t="s">
        <v>8</v>
      </c>
      <c r="U35" s="1513">
        <f t="shared" si="13"/>
        <v>100</v>
      </c>
      <c r="V35" s="1512" t="s">
        <v>8</v>
      </c>
      <c r="W35" s="1513">
        <f t="shared" si="14"/>
        <v>100</v>
      </c>
      <c r="X35" s="1514"/>
      <c r="Y35" s="349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3"/>
      <c r="Q36" s="1507">
        <f t="shared" si="11"/>
        <v>111</v>
      </c>
      <c r="R36" s="1508" t="s">
        <v>8</v>
      </c>
      <c r="S36" s="1509">
        <f t="shared" si="12"/>
        <v>100</v>
      </c>
      <c r="T36" s="1508" t="s">
        <v>8</v>
      </c>
      <c r="U36" s="1509">
        <f t="shared" si="13"/>
        <v>100</v>
      </c>
      <c r="V36" s="1508" t="s">
        <v>8</v>
      </c>
      <c r="W36" s="1509">
        <f t="shared" si="14"/>
        <v>100</v>
      </c>
      <c r="X36" s="1502"/>
      <c r="Y36" s="3493"/>
      <c r="Z36" s="1510">
        <f t="shared" si="15"/>
        <v>111</v>
      </c>
      <c r="AA36" s="1511">
        <f t="shared" si="3"/>
        <v>1</v>
      </c>
      <c r="AB36" s="1511">
        <f t="shared" si="4"/>
        <v>1</v>
      </c>
      <c r="AC36" s="1511">
        <f t="shared" si="5"/>
        <v>1</v>
      </c>
    </row>
    <row r="37" spans="1:29" ht="15">
      <c r="A37" s="1760" t="s">
        <v>2065</v>
      </c>
      <c r="B37" s="1761" t="s">
        <v>2066</v>
      </c>
      <c r="C37" s="2470" t="s">
        <v>1</v>
      </c>
      <c r="D37" s="2471"/>
      <c r="E37" s="2472"/>
      <c r="F37" s="2473"/>
      <c r="G37" s="2474"/>
      <c r="H37" s="2475"/>
      <c r="I37" s="2472"/>
      <c r="J37" s="2475"/>
      <c r="K37" s="1541"/>
      <c r="L37" s="2026"/>
      <c r="M37" s="2027"/>
      <c r="N37" s="2016"/>
      <c r="O37" s="2027"/>
      <c r="P37" s="3456" t="str">
        <f>A37</f>
        <v>成交单价</v>
      </c>
      <c r="Q37" s="3456"/>
      <c r="R37" s="3574">
        <f>E37</f>
        <v>0</v>
      </c>
      <c r="S37" s="3574"/>
      <c r="T37" s="3574">
        <f>G37</f>
        <v>0</v>
      </c>
      <c r="U37" s="3574"/>
      <c r="V37" s="3574">
        <f>I37</f>
        <v>0</v>
      </c>
      <c r="W37" s="3574"/>
      <c r="X37" s="1497"/>
      <c r="Y37" s="1516"/>
      <c r="Z37" s="1497"/>
      <c r="AA37" s="1497"/>
      <c r="AB37" s="1497"/>
      <c r="AC37" s="1497"/>
    </row>
    <row r="38" spans="1:29" ht="15.75" thickBot="1">
      <c r="A38" s="609" t="s">
        <v>2740</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56" t="str">
        <f>A38</f>
        <v>比较价格（元/平方米）</v>
      </c>
      <c r="Q38" s="3456"/>
      <c r="R38" s="3574" t="e">
        <f>IF(F1="售价",ROUND(PRODUCT(R37,AA7:AA36),0),ROUND(PRODUCT(R37,AA7:AA36),1))</f>
        <v>#DIV/0!</v>
      </c>
      <c r="S38" s="3574"/>
      <c r="T38" s="3574" t="e">
        <f>IF(F1="售价",ROUND(PRODUCT(T37,AB7:AB36),0),ROUND(PRODUCT(T37,AB7:AB36),1))</f>
        <v>#DIV/0!</v>
      </c>
      <c r="U38" s="3574"/>
      <c r="V38" s="3574" t="e">
        <f>IF(F1="售价",ROUND(PRODUCT(V37,AC7:AC36),0),ROUND(PRODUCT(V37,AC7:AC36),1))</f>
        <v>#DIV/0!</v>
      </c>
      <c r="W38" s="3574"/>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453" t="str">
        <f>A39</f>
        <v>估价对象XX用房的比较价格（楼面单价，元/平方米）</v>
      </c>
      <c r="Q39" s="3454"/>
      <c r="R39" s="3573" t="e">
        <f>IF(F1="售价",ROUND(IF(D38="简单平均",AVERAGE(R38:W38),R38*F38+T38*H38+V38*J38),0),ROUND(IF(D38="简单平均",AVERAGE(R38:V38),R38*F38+T38*H38+V38*J38),1))</f>
        <v>#DIV/0!</v>
      </c>
      <c r="S39" s="3573"/>
      <c r="T39" s="3573"/>
      <c r="U39" s="3573"/>
      <c r="V39" s="3573"/>
      <c r="W39" s="3573"/>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2021-6</v>
      </c>
      <c r="D48" s="2521">
        <f>EDATE(C48,-1)</f>
        <v>44317</v>
      </c>
      <c r="E48" s="2521">
        <f t="shared" ref="E48:O48" si="16">EDATE(D48,-1)</f>
        <v>44287</v>
      </c>
      <c r="F48" s="2521">
        <f t="shared" si="16"/>
        <v>44256</v>
      </c>
      <c r="G48" s="2521">
        <f t="shared" si="16"/>
        <v>44228</v>
      </c>
      <c r="H48" s="2521">
        <f t="shared" si="16"/>
        <v>44197</v>
      </c>
      <c r="I48" s="2521">
        <f t="shared" si="16"/>
        <v>44166</v>
      </c>
      <c r="J48" s="2521">
        <f t="shared" si="16"/>
        <v>44136</v>
      </c>
      <c r="K48" s="2521">
        <f t="shared" si="16"/>
        <v>44105</v>
      </c>
      <c r="L48" s="2521">
        <f t="shared" si="16"/>
        <v>44075</v>
      </c>
      <c r="M48" s="2521">
        <f t="shared" si="16"/>
        <v>44044</v>
      </c>
      <c r="N48" s="2521">
        <f t="shared" si="16"/>
        <v>44013</v>
      </c>
      <c r="O48" s="2521">
        <f t="shared" si="16"/>
        <v>43983</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受贵公司委托，我公司对吉林省延吉市爱丹路1709号101出让国有建设用地使用权市场价格进行了预评估。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吉林省延吉市爱丹路1709号101出让国有建设用地使用权。根据《国有土地使用证》[]，估价对象（分摊）出让国有建设用地使用权面积为1442.46平方米。根据《建设工程规划许可证》[]、《出让合同》[]，估价对象规划建筑面积为198.07平方米。</v>
      </c>
    </row>
    <row r="7" spans="1:4" ht="93.75">
      <c r="A7" s="2590" t="s">
        <v>2728</v>
      </c>
    </row>
    <row r="8" spans="1:4" ht="18.75">
      <c r="A8" s="1709" t="s">
        <v>1896</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2014</v>
      </c>
    </row>
    <row r="11" spans="1:4" ht="18.75">
      <c r="A11" s="1695" t="str">
        <f>TEXT(项目基本情况!D3,"yyyy年m月d日;;")&amp;IF(项目基本情况!B3=项目基本情况!D3,"（评估专业人员勘察现场之日）","")</f>
        <v>2021年6月10日（评估专业人员勘察现场之日）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根据《国有土地使用证》[]，估价对象（分摊）出让国有建设用地使用权面积为1442.46平方米。根据《建设工程规划许可证》[]、《出让合同》[]，估价对象规划建筑面积为198.07平方米。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2729</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10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2" t="s">
        <v>792</v>
      </c>
      <c r="D4" s="3463"/>
      <c r="E4" s="3496" t="s">
        <v>793</v>
      </c>
      <c r="F4" s="3497"/>
      <c r="G4" s="3462" t="s">
        <v>794</v>
      </c>
      <c r="H4" s="3463"/>
      <c r="I4" s="3462" t="s">
        <v>795</v>
      </c>
      <c r="J4" s="3463"/>
      <c r="K4" s="508" t="s">
        <v>796</v>
      </c>
      <c r="L4" s="2015"/>
      <c r="M4" s="2016"/>
      <c r="N4" s="2016"/>
      <c r="O4" s="2016"/>
      <c r="P4" s="3464" t="s">
        <v>797</v>
      </c>
      <c r="Q4" s="3465"/>
      <c r="R4" s="3470" t="s">
        <v>793</v>
      </c>
      <c r="S4" s="3471"/>
      <c r="T4" s="3470" t="s">
        <v>794</v>
      </c>
      <c r="U4" s="3471"/>
      <c r="V4" s="3457" t="s">
        <v>795</v>
      </c>
      <c r="W4" s="3457"/>
      <c r="X4" s="1502"/>
      <c r="Y4" s="3470" t="s">
        <v>797</v>
      </c>
      <c r="Z4" s="3471"/>
      <c r="AA4" s="3459" t="s">
        <v>793</v>
      </c>
      <c r="AB4" s="3460" t="s">
        <v>794</v>
      </c>
      <c r="AC4" s="3459" t="s">
        <v>795</v>
      </c>
    </row>
    <row r="5" spans="1:29" ht="15">
      <c r="A5" s="509"/>
      <c r="B5" s="510"/>
      <c r="C5" s="3478" t="s">
        <v>2897</v>
      </c>
      <c r="D5" s="3479"/>
      <c r="E5" s="3498" t="s">
        <v>2898</v>
      </c>
      <c r="F5" s="3499"/>
      <c r="G5" s="3478" t="s">
        <v>2899</v>
      </c>
      <c r="H5" s="3479"/>
      <c r="I5" s="3478" t="s">
        <v>2900</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2901</v>
      </c>
      <c r="D6" s="3477"/>
      <c r="E6" s="3494" t="s">
        <v>2901</v>
      </c>
      <c r="F6" s="3495"/>
      <c r="G6" s="3476" t="s">
        <v>2901</v>
      </c>
      <c r="H6" s="3477"/>
      <c r="I6" s="3476" t="s">
        <v>2901</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44357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7" t="s">
        <v>524</v>
      </c>
      <c r="Q7" s="3489"/>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34" si="3">D8/F8</f>
        <v>#DIV/0!</v>
      </c>
      <c r="AB8" s="1506" t="e">
        <f t="shared" ref="AB8:AB34" si="4">D8/H8</f>
        <v>#DIV/0!</v>
      </c>
      <c r="AC8" s="1506"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56" t="s">
        <v>529</v>
      </c>
      <c r="Q9" s="1134" t="str">
        <f t="shared" ref="Q9:Q14" si="6">B9</f>
        <v>用途</v>
      </c>
      <c r="R9" s="1503" t="s">
        <v>8</v>
      </c>
      <c r="S9" s="1504">
        <f t="shared" si="0"/>
        <v>100</v>
      </c>
      <c r="T9" s="1503" t="s">
        <v>8</v>
      </c>
      <c r="U9" s="1504">
        <f t="shared" si="1"/>
        <v>100</v>
      </c>
      <c r="V9" s="1503" t="s">
        <v>8</v>
      </c>
      <c r="W9" s="1504">
        <f t="shared" si="2"/>
        <v>100</v>
      </c>
      <c r="X9" s="1505"/>
      <c r="Y9" s="3402" t="s">
        <v>530</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56"/>
      <c r="Q11" s="1134">
        <f t="shared" si="6"/>
        <v>111</v>
      </c>
      <c r="R11" s="1503" t="s">
        <v>8</v>
      </c>
      <c r="S11" s="1504">
        <f t="shared" si="0"/>
        <v>100</v>
      </c>
      <c r="T11" s="1503" t="s">
        <v>8</v>
      </c>
      <c r="U11" s="1504">
        <f t="shared" si="1"/>
        <v>100</v>
      </c>
      <c r="V11" s="1503" t="s">
        <v>8</v>
      </c>
      <c r="W11" s="1504">
        <f t="shared" si="2"/>
        <v>100</v>
      </c>
      <c r="X11" s="1505"/>
      <c r="Y11" s="3402"/>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85.5">
      <c r="A14" s="2627"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91"/>
      <c r="Q15" s="1507"/>
      <c r="R15" s="1508"/>
      <c r="S15" s="1509"/>
      <c r="T15" s="1508"/>
      <c r="U15" s="1509"/>
      <c r="V15" s="1508"/>
      <c r="W15" s="1509"/>
      <c r="X15" s="1502"/>
      <c r="Y15" s="3491"/>
      <c r="Z15" s="1510"/>
      <c r="AA15" s="1511">
        <v>1</v>
      </c>
      <c r="AB15" s="1511">
        <v>1</v>
      </c>
      <c r="AC15" s="1511">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91"/>
      <c r="Q17" s="1507"/>
      <c r="R17" s="1508"/>
      <c r="S17" s="1509"/>
      <c r="T17" s="1508"/>
      <c r="U17" s="1509"/>
      <c r="V17" s="1508"/>
      <c r="W17" s="1509"/>
      <c r="X17" s="1502"/>
      <c r="Y17" s="3491"/>
      <c r="Z17" s="1510"/>
      <c r="AA17" s="1511">
        <v>1</v>
      </c>
      <c r="AB17" s="1511">
        <v>1</v>
      </c>
      <c r="AC17" s="1511">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1"/>
      <c r="Q18" s="2429" t="str">
        <f>B18</f>
        <v>基础设施水平</v>
      </c>
      <c r="R18" s="1508" t="s">
        <v>8</v>
      </c>
      <c r="S18" s="1509">
        <f>F18</f>
        <v>100</v>
      </c>
      <c r="T18" s="1508" t="s">
        <v>8</v>
      </c>
      <c r="U18" s="1509">
        <f>H18</f>
        <v>100</v>
      </c>
      <c r="V18" s="1508" t="s">
        <v>8</v>
      </c>
      <c r="W18" s="1509">
        <f>J18</f>
        <v>100</v>
      </c>
      <c r="X18" s="2431"/>
      <c r="Y18" s="3491"/>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91"/>
      <c r="Q19" s="2429"/>
      <c r="R19" s="1508"/>
      <c r="S19" s="1509"/>
      <c r="T19" s="1508"/>
      <c r="U19" s="1509"/>
      <c r="V19" s="1508"/>
      <c r="W19" s="1509"/>
      <c r="X19" s="2431"/>
      <c r="Y19" s="3491"/>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91"/>
      <c r="Q21" s="1507"/>
      <c r="R21" s="1508"/>
      <c r="S21" s="1509"/>
      <c r="T21" s="1508"/>
      <c r="U21" s="1509"/>
      <c r="V21" s="1508"/>
      <c r="W21" s="1509"/>
      <c r="X21" s="1502"/>
      <c r="Y21" s="349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1"/>
      <c r="Q24" s="1507">
        <f t="shared" ref="Q24:Q34"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4"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3"/>
      <c r="Q27" s="1536" t="str">
        <f t="shared" si="11"/>
        <v>成新率</v>
      </c>
      <c r="R27" s="1512" t="s">
        <v>8</v>
      </c>
      <c r="S27" s="1513" t="e">
        <f t="shared" si="12"/>
        <v>#N/A</v>
      </c>
      <c r="T27" s="1512" t="s">
        <v>8</v>
      </c>
      <c r="U27" s="1513" t="e">
        <f t="shared" si="13"/>
        <v>#N/A</v>
      </c>
      <c r="V27" s="1512" t="s">
        <v>8</v>
      </c>
      <c r="W27" s="1513" t="e">
        <f t="shared" si="14"/>
        <v>#N/A</v>
      </c>
      <c r="X27" s="1514"/>
      <c r="Y27" s="349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3"/>
      <c r="Q28" s="1507" t="str">
        <f t="shared" si="11"/>
        <v>物业等级</v>
      </c>
      <c r="R28" s="1508" t="s">
        <v>8</v>
      </c>
      <c r="S28" s="1509">
        <f t="shared" si="12"/>
        <v>100</v>
      </c>
      <c r="T28" s="1508" t="s">
        <v>8</v>
      </c>
      <c r="U28" s="1509">
        <f t="shared" si="13"/>
        <v>100</v>
      </c>
      <c r="V28" s="1508" t="s">
        <v>8</v>
      </c>
      <c r="W28" s="1509">
        <f t="shared" si="14"/>
        <v>100</v>
      </c>
      <c r="X28" s="1502"/>
      <c r="Y28" s="349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3"/>
      <c r="Q29" s="1507" t="str">
        <f t="shared" si="11"/>
        <v>有无电梯</v>
      </c>
      <c r="R29" s="1508" t="s">
        <v>8</v>
      </c>
      <c r="S29" s="1509">
        <f t="shared" si="12"/>
        <v>100</v>
      </c>
      <c r="T29" s="1508" t="s">
        <v>8</v>
      </c>
      <c r="U29" s="1509">
        <f t="shared" si="13"/>
        <v>100</v>
      </c>
      <c r="V29" s="1508" t="s">
        <v>8</v>
      </c>
      <c r="W29" s="1509">
        <f t="shared" si="14"/>
        <v>100</v>
      </c>
      <c r="X29" s="1502"/>
      <c r="Y29" s="349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3"/>
      <c r="Q30" s="1507" t="str">
        <f t="shared" si="11"/>
        <v>建筑面积</v>
      </c>
      <c r="R30" s="1508" t="s">
        <v>8</v>
      </c>
      <c r="S30" s="1509" t="e">
        <f t="shared" si="12"/>
        <v>#N/A</v>
      </c>
      <c r="T30" s="1508" t="s">
        <v>8</v>
      </c>
      <c r="U30" s="1509" t="e">
        <f t="shared" si="13"/>
        <v>#N/A</v>
      </c>
      <c r="V30" s="1508" t="s">
        <v>8</v>
      </c>
      <c r="W30" s="1509" t="e">
        <f t="shared" si="14"/>
        <v>#N/A</v>
      </c>
      <c r="X30" s="1502"/>
      <c r="Y30" s="349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3"/>
      <c r="Q31" s="1134" t="str">
        <f t="shared" si="11"/>
        <v>是否封闭</v>
      </c>
      <c r="R31" s="1503" t="s">
        <v>8</v>
      </c>
      <c r="S31" s="1504">
        <f t="shared" si="12"/>
        <v>100</v>
      </c>
      <c r="T31" s="1503" t="s">
        <v>8</v>
      </c>
      <c r="U31" s="1504">
        <f t="shared" si="13"/>
        <v>100</v>
      </c>
      <c r="V31" s="1503" t="s">
        <v>8</v>
      </c>
      <c r="W31" s="1504">
        <f t="shared" si="14"/>
        <v>100</v>
      </c>
      <c r="X31" s="1505"/>
      <c r="Y31" s="349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3" t="s">
        <v>544</v>
      </c>
      <c r="Q32" s="1507">
        <f t="shared" si="11"/>
        <v>111</v>
      </c>
      <c r="R32" s="1508" t="s">
        <v>8</v>
      </c>
      <c r="S32" s="1509">
        <f t="shared" si="12"/>
        <v>100</v>
      </c>
      <c r="T32" s="1508" t="s">
        <v>8</v>
      </c>
      <c r="U32" s="1509">
        <f t="shared" si="13"/>
        <v>100</v>
      </c>
      <c r="V32" s="1508" t="s">
        <v>8</v>
      </c>
      <c r="W32" s="1509">
        <f t="shared" si="14"/>
        <v>100</v>
      </c>
      <c r="X32" s="1502"/>
      <c r="Y32" s="349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3"/>
      <c r="Q33" s="1507">
        <f t="shared" si="11"/>
        <v>111</v>
      </c>
      <c r="R33" s="1508" t="s">
        <v>8</v>
      </c>
      <c r="S33" s="1509">
        <f t="shared" si="12"/>
        <v>100</v>
      </c>
      <c r="T33" s="1508" t="s">
        <v>8</v>
      </c>
      <c r="U33" s="1509">
        <f t="shared" si="13"/>
        <v>100</v>
      </c>
      <c r="V33" s="1508" t="s">
        <v>8</v>
      </c>
      <c r="W33" s="1509">
        <f t="shared" si="14"/>
        <v>100</v>
      </c>
      <c r="X33" s="1502"/>
      <c r="Y33" s="349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56" t="str">
        <f>A35</f>
        <v>成交单价（元/平方米）</v>
      </c>
      <c r="Q35" s="3456"/>
      <c r="R35" s="3574">
        <f>E35</f>
        <v>0</v>
      </c>
      <c r="S35" s="3574"/>
      <c r="T35" s="3574">
        <f>G35</f>
        <v>0</v>
      </c>
      <c r="U35" s="3574"/>
      <c r="V35" s="3574">
        <f>I35</f>
        <v>0</v>
      </c>
      <c r="W35" s="3574"/>
      <c r="X35" s="1497"/>
      <c r="Y35" s="1516"/>
      <c r="Z35" s="1497"/>
      <c r="AA35" s="1497"/>
      <c r="AB35" s="1497"/>
      <c r="AC35" s="1497"/>
    </row>
    <row r="36" spans="1:29" ht="15.75" thickBot="1">
      <c r="A36" s="609" t="s">
        <v>2740</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56" t="str">
        <f>A36</f>
        <v>比较价格（元/平方米）</v>
      </c>
      <c r="Q36" s="3456"/>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453" t="str">
        <f>A37</f>
        <v>估价对象XX用房的比较价格（楼面单价，元/平方米）</v>
      </c>
      <c r="Q37" s="3454"/>
      <c r="R37" s="3573" t="e">
        <f>IF(F1="售价",ROUND(IF(D36="简单平均",AVERAGE(R36:W36),R36*F36+T36*H36+V36*J36),0),ROUND(IF(D36="简单平均",AVERAGE(R36:V36),R36*F36+T36*H36+V36*J36),1))</f>
        <v>#DIV/0!</v>
      </c>
      <c r="S37" s="3573"/>
      <c r="T37" s="3573"/>
      <c r="U37" s="3573"/>
      <c r="V37" s="3573"/>
      <c r="W37" s="3573"/>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2021-6</v>
      </c>
      <c r="D46" s="2521">
        <f>EDATE(C46,-1)</f>
        <v>44317</v>
      </c>
      <c r="E46" s="2521">
        <f t="shared" ref="E46:O46" si="16">EDATE(D46,-1)</f>
        <v>44287</v>
      </c>
      <c r="F46" s="2521">
        <f t="shared" si="16"/>
        <v>44256</v>
      </c>
      <c r="G46" s="2521">
        <f t="shared" si="16"/>
        <v>44228</v>
      </c>
      <c r="H46" s="2521">
        <f t="shared" si="16"/>
        <v>44197</v>
      </c>
      <c r="I46" s="2521">
        <f t="shared" si="16"/>
        <v>44166</v>
      </c>
      <c r="J46" s="2521">
        <f t="shared" si="16"/>
        <v>44136</v>
      </c>
      <c r="K46" s="2521">
        <f t="shared" si="16"/>
        <v>44105</v>
      </c>
      <c r="L46" s="2521">
        <f t="shared" si="16"/>
        <v>44075</v>
      </c>
      <c r="M46" s="2521">
        <f t="shared" si="16"/>
        <v>44044</v>
      </c>
      <c r="N46" s="2521">
        <f t="shared" si="16"/>
        <v>44013</v>
      </c>
      <c r="O46" s="2521">
        <f t="shared" si="16"/>
        <v>43983</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7"/>
      <selection pane="bottomLeft" activeCell="F7" sqref="C7:Q4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2290</v>
      </c>
      <c r="C1" s="3583" t="s">
        <v>2291</v>
      </c>
      <c r="D1" s="3584"/>
      <c r="E1" s="3584"/>
      <c r="F1" s="3584"/>
      <c r="G1" s="3584"/>
      <c r="H1" s="3584"/>
      <c r="I1" s="3584"/>
      <c r="J1" s="3584"/>
      <c r="K1" s="3584"/>
      <c r="L1" s="3584"/>
      <c r="M1" s="3584"/>
      <c r="N1" s="3584"/>
      <c r="O1" s="3584"/>
      <c r="P1" s="3584"/>
      <c r="Q1" s="3584"/>
      <c r="R1" s="3584"/>
      <c r="S1" s="3585"/>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0" t="s">
        <v>20</v>
      </c>
      <c r="D22" s="3581"/>
      <c r="E22" s="3581"/>
      <c r="F22" s="3581"/>
      <c r="G22" s="3581"/>
      <c r="H22" s="3581"/>
      <c r="I22" s="3581"/>
      <c r="J22" s="3581"/>
      <c r="K22" s="3581"/>
      <c r="L22" s="3581"/>
      <c r="M22" s="3581"/>
      <c r="N22" s="3581"/>
      <c r="O22" s="3581"/>
      <c r="P22" s="3581"/>
      <c r="Q22" s="3582"/>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44357</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1</v>
      </c>
      <c r="D2" s="2717" t="s">
        <v>2768</v>
      </c>
      <c r="E2" s="2720">
        <f ca="1">INDIRECT("I"&amp;$I$1)/100</f>
        <v>4.3499999999999997E-2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0.5</v>
      </c>
      <c r="D3" s="2717" t="s">
        <v>2768</v>
      </c>
      <c r="E3" s="2720">
        <f ca="1">INDIRECT("J"&amp;$J$1)/100</f>
        <v>4.3499999999999997E-2</v>
      </c>
      <c r="G3" s="2659" t="s">
        <v>2771</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42301</v>
      </c>
      <c r="D13" s="2703">
        <v>4.3499999999999996</v>
      </c>
      <c r="E13" s="2703">
        <v>4.3499999999999996</v>
      </c>
      <c r="F13" s="2703">
        <v>4.75</v>
      </c>
      <c r="G13" s="2703">
        <v>4.75</v>
      </c>
      <c r="H13" s="2703">
        <v>4.9000000000000004</v>
      </c>
      <c r="I13" s="2703">
        <v>2.75</v>
      </c>
      <c r="J13" s="2703">
        <v>3.25</v>
      </c>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2797</v>
      </c>
      <c r="J55" s="2707" t="s">
        <v>2797</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4" sqref="F44"/>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5" t="s">
        <v>2026</v>
      </c>
      <c r="B1" s="3285"/>
      <c r="C1" s="3285"/>
      <c r="D1" s="3285"/>
      <c r="E1" s="3285"/>
      <c r="F1" s="3285"/>
      <c r="G1" s="3285"/>
      <c r="H1" s="3285"/>
      <c r="I1" s="3285"/>
      <c r="J1" s="3285"/>
      <c r="K1" s="3285"/>
      <c r="L1" s="3285"/>
      <c r="M1" s="3285"/>
      <c r="N1" s="3285"/>
      <c r="O1" s="3285"/>
      <c r="P1" s="3285"/>
      <c r="Q1" s="3285"/>
      <c r="R1" s="3285"/>
    </row>
    <row r="2" spans="1:18">
      <c r="A2" s="1722" t="s">
        <v>2028</v>
      </c>
      <c r="B2" s="1722"/>
      <c r="C2" s="1722"/>
      <c r="D2" s="1722"/>
      <c r="E2" s="1722"/>
      <c r="F2" s="1722"/>
      <c r="G2" s="1722"/>
      <c r="H2" s="1722"/>
      <c r="I2" s="1723"/>
      <c r="J2" s="1723"/>
      <c r="K2" s="1724" t="str">
        <f>"估价期日："&amp;TEXT(项目基本情况!D3,"yyyy年m月d日;;")</f>
        <v>估价期日：2021年6月10日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6" t="s">
        <v>2017</v>
      </c>
      <c r="B3" s="3286" t="s">
        <v>2711</v>
      </c>
      <c r="C3" s="3287" t="s">
        <v>2018</v>
      </c>
      <c r="D3" s="3286" t="s">
        <v>2715</v>
      </c>
      <c r="E3" s="3281" t="s">
        <v>2019</v>
      </c>
      <c r="F3" s="3281"/>
      <c r="G3" s="3281"/>
      <c r="H3" s="3281" t="s">
        <v>2020</v>
      </c>
      <c r="I3" s="3281"/>
      <c r="J3" s="3281"/>
      <c r="K3" s="3287" t="s">
        <v>2021</v>
      </c>
      <c r="L3" s="3287" t="s">
        <v>2022</v>
      </c>
      <c r="M3" s="3286" t="s">
        <v>2712</v>
      </c>
      <c r="N3" s="3288" t="str">
        <f>"（分摊）"&amp;项目基本情况!B16&amp;"国有建设用地使用权面积/㎡"</f>
        <v>（分摊）出让国有建设用地使用权面积/㎡</v>
      </c>
      <c r="O3" s="3286" t="s">
        <v>2051</v>
      </c>
      <c r="P3" s="3287" t="s">
        <v>2031</v>
      </c>
      <c r="Q3" s="3287" t="s">
        <v>2052</v>
      </c>
      <c r="R3" s="3287" t="s">
        <v>2023</v>
      </c>
    </row>
    <row r="4" spans="1:18" ht="36.75" customHeight="1">
      <c r="A4" s="3286"/>
      <c r="B4" s="3286"/>
      <c r="C4" s="3287"/>
      <c r="D4" s="3286"/>
      <c r="E4" s="2491" t="s">
        <v>2030</v>
      </c>
      <c r="F4" s="2491" t="s">
        <v>2724</v>
      </c>
      <c r="G4" s="2491" t="s">
        <v>2024</v>
      </c>
      <c r="H4" s="2491" t="s">
        <v>2025</v>
      </c>
      <c r="I4" s="2491" t="s">
        <v>2725</v>
      </c>
      <c r="J4" s="2491" t="s">
        <v>2024</v>
      </c>
      <c r="K4" s="3287"/>
      <c r="L4" s="3287"/>
      <c r="M4" s="3286"/>
      <c r="N4" s="3288"/>
      <c r="O4" s="3286"/>
      <c r="P4" s="3287"/>
      <c r="Q4" s="3287"/>
      <c r="R4" s="3287"/>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1442.46</v>
      </c>
      <c r="O5" s="1725">
        <f>项目基本情况!C21</f>
        <v>198.07</v>
      </c>
      <c r="P5" s="1725">
        <f ca="1">结果表!E42</f>
        <v>1449</v>
      </c>
      <c r="Q5" s="1725">
        <f ca="1">结果表!D42</f>
        <v>10552</v>
      </c>
      <c r="R5" s="1726">
        <f ca="1">结果表!C42</f>
        <v>209</v>
      </c>
    </row>
    <row r="6" spans="1:18">
      <c r="A6" s="3282" t="str">
        <f>IF(项目基本情况!B9="市场价格","——","抵押价格")</f>
        <v>——</v>
      </c>
      <c r="B6" s="3283"/>
      <c r="C6" s="3283"/>
      <c r="D6" s="3283"/>
      <c r="E6" s="3283"/>
      <c r="F6" s="3283"/>
      <c r="G6" s="3283"/>
      <c r="H6" s="3283"/>
      <c r="I6" s="3283"/>
      <c r="J6" s="3283"/>
      <c r="K6" s="3283"/>
      <c r="L6" s="3283"/>
      <c r="M6" s="3283"/>
      <c r="N6" s="3283"/>
      <c r="O6" s="3283"/>
      <c r="P6" s="3283"/>
      <c r="Q6" s="3284"/>
      <c r="R6" s="1727" t="str">
        <f>结果表!O39</f>
        <v>——</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727" t="str">
        <f>结果表!O40</f>
        <v>——</v>
      </c>
    </row>
    <row r="8" spans="1:18">
      <c r="A8" s="3282" t="str">
        <f>IF(项目基本情况!B9="市场价格","——",项目基本情况!E9)</f>
        <v>——</v>
      </c>
      <c r="B8" s="3283"/>
      <c r="C8" s="3283"/>
      <c r="D8" s="3283"/>
      <c r="E8" s="3283"/>
      <c r="F8" s="3283"/>
      <c r="G8" s="3283"/>
      <c r="H8" s="3283"/>
      <c r="I8" s="3283"/>
      <c r="J8" s="3283"/>
      <c r="K8" s="3283"/>
      <c r="L8" s="3283"/>
      <c r="M8" s="3283"/>
      <c r="N8" s="3283"/>
      <c r="O8" s="3283"/>
      <c r="P8" s="3283"/>
      <c r="Q8" s="3284"/>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0" t="s">
        <v>2053</v>
      </c>
      <c r="B1" s="3290"/>
      <c r="C1" s="3290"/>
      <c r="D1" s="3290"/>
    </row>
    <row r="2" spans="1:4" ht="47.25" customHeight="1">
      <c r="A2" s="3291" t="str">
        <f>"1.权利限制："&amp;项目基本情况!L24&amp;"未设定租赁等其他他项权利。"</f>
        <v>1.权利限制：根据估价对象《不动产权证书》原件、《国有土地使用权》复印件，截至估价期日，估价对象抵押权未见登记。未设定租赁等其他他项权利。</v>
      </c>
      <c r="B2" s="3291"/>
      <c r="C2" s="3291"/>
      <c r="D2" s="3291"/>
    </row>
    <row r="3" spans="1:4" ht="48" customHeight="1">
      <c r="A3" s="32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0"/>
      <c r="C3" s="3290"/>
      <c r="D3" s="3290"/>
    </row>
    <row r="4" spans="1:4" ht="36.75" customHeight="1">
      <c r="A4" s="3290" t="str">
        <f>"3.估价规划限制条件：详见"&amp;项目基本情况!E21&amp;"。"</f>
        <v>3.估价规划限制条件：详见《建设工程规划许可证》[]、《出让合同》[]。</v>
      </c>
      <c r="B4" s="3290"/>
      <c r="C4" s="3290"/>
      <c r="D4" s="3290"/>
    </row>
    <row r="5" spans="1:4">
      <c r="A5" s="3289" t="s">
        <v>2054</v>
      </c>
      <c r="B5" s="3289"/>
      <c r="C5" s="3289"/>
      <c r="D5" s="3289"/>
    </row>
    <row r="6" spans="1:4">
      <c r="A6" s="3290" t="s">
        <v>2032</v>
      </c>
      <c r="B6" s="3290"/>
      <c r="C6" s="3290"/>
      <c r="D6" s="3290"/>
    </row>
    <row r="7" spans="1:4" ht="33" customHeight="1">
      <c r="A7" s="3290" t="s">
        <v>2555</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0"/>
      <c r="C8" s="3290"/>
      <c r="D8" s="3290"/>
    </row>
    <row r="9" spans="1:4" ht="33.75" customHeight="1">
      <c r="A9" s="3290" t="str">
        <f>IF(项目基本情况!B8="抵押","3.抵押双方在办理抵押登记手续时，应使用本公司出具的正式《土地估价报告》，特提请报告使用者注意。","——")</f>
        <v>——</v>
      </c>
      <c r="B9" s="3290"/>
      <c r="C9" s="3290"/>
      <c r="D9" s="3290"/>
    </row>
    <row r="10" spans="1:4">
      <c r="A10" s="3290" t="str">
        <f>IF(项目基本情况!B8="抵押","4.估价师所知悉的法定优先受偿款情况为：","——")</f>
        <v>——</v>
      </c>
      <c r="B10" s="3290"/>
      <c r="C10" s="3290"/>
      <c r="D10" s="3290"/>
    </row>
    <row r="11" spans="1:4" ht="37.5" customHeight="1">
      <c r="A11" s="3292" t="str">
        <f>IF(项目基本情况!B8="抵押","（1）"&amp;CONCATENATE(项目基本情况!L24,项目基本情况!L25,项目基本情况!L26),"——")</f>
        <v>——</v>
      </c>
      <c r="B11" s="3292"/>
      <c r="C11" s="3292"/>
      <c r="D11" s="3292"/>
    </row>
    <row r="12" spans="1:4" ht="168" customHeight="1">
      <c r="A12" s="3289" t="s">
        <v>2056</v>
      </c>
      <c r="B12" s="3289"/>
      <c r="C12" s="3289"/>
      <c r="D12" s="3289"/>
    </row>
    <row r="13" spans="1:4">
      <c r="A13" s="3293" t="s">
        <v>2726</v>
      </c>
      <c r="B13" s="3293"/>
      <c r="C13" s="3293"/>
      <c r="D13" s="3293"/>
    </row>
    <row r="14" spans="1:4">
      <c r="A14" s="3292" t="str">
        <f>IF(项目基本情况!B8="抵押","综上，"&amp;结果表!K47,"——")</f>
        <v>——</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2682</v>
      </c>
      <c r="B17" s="3290"/>
      <c r="C17" s="3290"/>
      <c r="D17" s="3290"/>
    </row>
    <row r="18" spans="1:4">
      <c r="A18" s="3290" t="s">
        <v>2674</v>
      </c>
      <c r="B18" s="3290"/>
      <c r="C18" s="3290"/>
      <c r="D18" s="3290"/>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290" t="s">
        <v>2679</v>
      </c>
      <c r="B23" s="3290"/>
      <c r="C23" s="3290"/>
      <c r="D23" s="3290"/>
    </row>
    <row r="24" spans="1:4">
      <c r="A24" s="2585" t="s">
        <v>2675</v>
      </c>
      <c r="B24" s="2585" t="s">
        <v>2680</v>
      </c>
      <c r="C24" s="2585" t="s">
        <v>2677</v>
      </c>
      <c r="D24" s="2585" t="s">
        <v>2678</v>
      </c>
    </row>
    <row r="25" spans="1:4">
      <c r="A25" s="2588" t="s">
        <v>2681</v>
      </c>
      <c r="B25" s="2585" t="s">
        <v>943</v>
      </c>
      <c r="C25" s="2587"/>
      <c r="D25" s="1715" t="s">
        <v>2684</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1" t="s">
        <v>53</v>
      </c>
      <c r="B15" s="3302" t="s">
        <v>838</v>
      </c>
      <c r="C15" s="3298"/>
    </row>
    <row r="16" spans="1:7" ht="14.25">
      <c r="A16" s="3301"/>
      <c r="B16" s="3299" t="s">
        <v>54</v>
      </c>
      <c r="C16" s="1155" t="s">
        <v>53</v>
      </c>
    </row>
    <row r="17" spans="1:3" ht="14.25">
      <c r="A17" s="3301"/>
      <c r="B17" s="3299"/>
      <c r="C17" s="1155" t="s">
        <v>55</v>
      </c>
    </row>
    <row r="18" spans="1:3" ht="14.25">
      <c r="A18" s="3301"/>
      <c r="B18" s="3299"/>
      <c r="C18" s="1155" t="s">
        <v>56</v>
      </c>
    </row>
    <row r="19" spans="1:3" ht="14.25">
      <c r="A19" s="3301"/>
      <c r="B19" s="3297" t="s">
        <v>57</v>
      </c>
      <c r="C19" s="3298"/>
    </row>
    <row r="20" spans="1:3" ht="14.25">
      <c r="A20" s="1156" t="s">
        <v>58</v>
      </c>
      <c r="B20" s="1157"/>
      <c r="C20" s="1158"/>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59" t="s">
        <v>829</v>
      </c>
    </row>
    <row r="25" spans="1:3" ht="14.25">
      <c r="A25" s="3300"/>
      <c r="B25" s="3304"/>
      <c r="C25" s="1159" t="s">
        <v>830</v>
      </c>
    </row>
    <row r="26" spans="1:3" ht="14.25">
      <c r="A26" s="3300"/>
      <c r="B26" s="3304"/>
      <c r="C26" s="1159" t="s">
        <v>831</v>
      </c>
    </row>
    <row r="27" spans="1:3" ht="14.25">
      <c r="A27" s="3300"/>
      <c r="B27" s="3304"/>
      <c r="C27" s="1159" t="s">
        <v>832</v>
      </c>
    </row>
    <row r="28" spans="1:3" ht="14.25">
      <c r="A28" s="3300"/>
      <c r="B28" s="3304"/>
      <c r="C28" s="1159" t="s">
        <v>833</v>
      </c>
    </row>
    <row r="29" spans="1:3" ht="14.25">
      <c r="A29" s="3300"/>
      <c r="B29" s="3304"/>
      <c r="C29" s="1159" t="s">
        <v>834</v>
      </c>
    </row>
    <row r="30" spans="1:3" ht="14.25">
      <c r="A30" s="3300"/>
      <c r="B30" s="3304"/>
      <c r="C30" s="1159" t="s">
        <v>835</v>
      </c>
    </row>
    <row r="31" spans="1:3" ht="14.25">
      <c r="A31" s="3300"/>
      <c r="B31" s="3304"/>
      <c r="C31" s="1159" t="s">
        <v>836</v>
      </c>
    </row>
    <row r="32" spans="1:3" ht="14.25">
      <c r="A32" s="3300"/>
      <c r="B32" s="3304"/>
      <c r="C32" s="1159" t="s">
        <v>1637</v>
      </c>
    </row>
    <row r="33" spans="1:3" ht="14.25">
      <c r="A33" s="3300"/>
      <c r="B33" s="3294" t="s">
        <v>1643</v>
      </c>
      <c r="C33" s="1159" t="s">
        <v>1638</v>
      </c>
    </row>
    <row r="34" spans="1:3" ht="14.25">
      <c r="A34" s="3300"/>
      <c r="B34" s="3295"/>
      <c r="C34" s="1164" t="s">
        <v>1639</v>
      </c>
    </row>
    <row r="35" spans="1:3" ht="14.25">
      <c r="A35" s="3300"/>
      <c r="B35" s="3295"/>
      <c r="C35" s="1165" t="s">
        <v>1640</v>
      </c>
    </row>
    <row r="36" spans="1:3" ht="14.25">
      <c r="A36" s="3300"/>
      <c r="B36" s="3295"/>
      <c r="C36" s="1165" t="s">
        <v>1641</v>
      </c>
    </row>
    <row r="37" spans="1:3" ht="14.25">
      <c r="A37" s="3300"/>
      <c r="B37" s="3296"/>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44375</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t="str">
        <f ca="1">IF(C14&lt;B2,"已过期",1120020033)</f>
        <v>已过期</v>
      </c>
      <c r="C14" s="3033">
        <v>44339</v>
      </c>
      <c r="D14" s="3041" t="s">
        <v>1913</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08" t="s">
        <v>1914</v>
      </c>
      <c r="B17" s="3309"/>
      <c r="C17" s="3309"/>
      <c r="D17" s="3309"/>
      <c r="E17" s="3309"/>
      <c r="F17" s="3309"/>
      <c r="G17" s="3034"/>
    </row>
    <row r="18" spans="1:7" ht="20.25" customHeight="1">
      <c r="A18" s="3305" t="s">
        <v>1915</v>
      </c>
      <c r="B18" s="3305"/>
      <c r="C18" s="3306"/>
      <c r="D18" s="3307" t="s">
        <v>1916</v>
      </c>
      <c r="E18" s="3305"/>
      <c r="F18" s="3305"/>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865</v>
      </c>
    </row>
    <row r="2" spans="1:23">
      <c r="A2" s="8" t="s">
        <v>73</v>
      </c>
      <c r="B2" s="8" t="s">
        <v>150</v>
      </c>
      <c r="C2" s="1490" t="s">
        <v>1699</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1703</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1704</v>
      </c>
      <c r="F7" s="9" t="s">
        <v>154</v>
      </c>
      <c r="H7" s="9" t="s">
        <v>104</v>
      </c>
      <c r="I7" s="9" t="s">
        <v>105</v>
      </c>
    </row>
    <row r="8" spans="1:23">
      <c r="A8" s="8" t="s">
        <v>106</v>
      </c>
      <c r="B8" s="8" t="s">
        <v>107</v>
      </c>
      <c r="C8" s="1490" t="s">
        <v>1705</v>
      </c>
      <c r="F8" s="9" t="s">
        <v>155</v>
      </c>
      <c r="H8" s="9"/>
      <c r="I8" s="9" t="s">
        <v>108</v>
      </c>
    </row>
    <row r="9" spans="1:23">
      <c r="A9" s="8" t="s">
        <v>109</v>
      </c>
      <c r="B9" s="8" t="s">
        <v>156</v>
      </c>
      <c r="C9" s="1490" t="s">
        <v>1706</v>
      </c>
      <c r="F9" s="9" t="s">
        <v>110</v>
      </c>
      <c r="H9" s="9"/>
    </row>
    <row r="10" spans="1:23">
      <c r="A10" s="8" t="s">
        <v>111</v>
      </c>
      <c r="B10" s="8" t="s">
        <v>157</v>
      </c>
      <c r="C10" s="1490" t="s">
        <v>1707</v>
      </c>
      <c r="F10" s="9" t="s">
        <v>6</v>
      </c>
    </row>
    <row r="11" spans="1:23">
      <c r="A11" s="8" t="s">
        <v>112</v>
      </c>
      <c r="B11" s="8" t="s">
        <v>158</v>
      </c>
      <c r="C11" s="1490" t="s">
        <v>1708</v>
      </c>
    </row>
    <row r="12" spans="1:23">
      <c r="A12" s="8" t="s">
        <v>113</v>
      </c>
      <c r="B12" s="8" t="s">
        <v>159</v>
      </c>
      <c r="C12" s="1490" t="s">
        <v>1709</v>
      </c>
    </row>
    <row r="13" spans="1:23">
      <c r="A13" s="8" t="s">
        <v>114</v>
      </c>
      <c r="B13" s="8" t="s">
        <v>160</v>
      </c>
      <c r="C13" s="1490" t="s">
        <v>1710</v>
      </c>
    </row>
    <row r="14" spans="1:23">
      <c r="A14" s="8" t="s">
        <v>115</v>
      </c>
      <c r="B14" s="8" t="s">
        <v>161</v>
      </c>
      <c r="C14" s="1493" t="s">
        <v>1886</v>
      </c>
    </row>
    <row r="15" spans="1:23">
      <c r="A15" s="8" t="s">
        <v>116</v>
      </c>
      <c r="B15" s="8" t="s">
        <v>1671</v>
      </c>
      <c r="C15" s="1493"/>
    </row>
    <row r="16" spans="1:23">
      <c r="A16" s="8" t="s">
        <v>117</v>
      </c>
      <c r="B16" s="8" t="s">
        <v>1672</v>
      </c>
      <c r="C16" s="1493"/>
    </row>
    <row r="17" spans="1:3">
      <c r="A17" s="8" t="s">
        <v>118</v>
      </c>
      <c r="B17" s="8" t="s">
        <v>1673</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吉林省延吉市爱丹路1709号101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10"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10日，在规划利用条件下、设定土地开发程度为红线外“七通”、宗地内场地，设定用途为，剩余土地使用年限为的出让国有建设用地使用权价格。</v>
      </c>
      <c r="D53" s="1685"/>
      <c r="E53" s="1685"/>
    </row>
    <row r="54" spans="1:5">
      <c r="A54" s="3310"/>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0"/>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0"/>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0"/>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收益还原法</vt:lpstr>
      <vt:lpstr>剩余法-现房</vt:lpstr>
      <vt:lpstr>不动产收益法</vt:lpstr>
      <vt:lpstr>比较法-住宅、综合</vt:lpstr>
      <vt:lpstr>比较法-工业</vt:lpstr>
      <vt:lpstr>土地案例（延吉）</vt:lpstr>
      <vt:lpstr>土地案例（白山市）</vt:lpstr>
      <vt:lpstr>基准地价</vt:lpstr>
      <vt:lpstr>修正</vt:lpstr>
      <vt:lpstr>区片价</vt:lpstr>
      <vt:lpstr>容积率修正</vt:lpstr>
      <vt:lpstr>因素修正幅度</vt:lpstr>
      <vt:lpstr>地价</vt:lpstr>
      <vt:lpstr>基准地价（汇总）</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2021-06-28T09:01:55Z</dcterms:modified>
</cp:coreProperties>
</file>