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240" windowWidth="14400" windowHeight="1411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S27" i="68" l="1"/>
  <c r="AA27" i="68"/>
  <c r="L42" i="68" l="1"/>
  <c r="F10" i="12"/>
  <c r="Q7" i="1" l="1"/>
  <c r="E73" i="39"/>
  <c r="F73" i="39" s="1"/>
  <c r="G73" i="39" s="1"/>
  <c r="H73" i="39" s="1"/>
  <c r="I73" i="39" s="1"/>
  <c r="J73" i="39" s="1"/>
  <c r="K73" i="39" s="1"/>
  <c r="L73" i="39" s="1"/>
  <c r="M73" i="39" s="1"/>
  <c r="N73" i="39" s="1"/>
  <c r="O73" i="39" s="1"/>
  <c r="D73" i="39"/>
  <c r="I7" i="39"/>
  <c r="G7" i="39"/>
  <c r="E7" i="39"/>
  <c r="E120" i="39"/>
  <c r="F120" i="39" s="1"/>
  <c r="G120" i="39" s="1"/>
  <c r="H120" i="39" s="1"/>
  <c r="E119" i="39"/>
  <c r="F119" i="39" s="1"/>
  <c r="G119" i="39" s="1"/>
  <c r="H119" i="39" s="1"/>
  <c r="D120" i="39"/>
  <c r="D119" i="39"/>
  <c r="I40" i="39"/>
  <c r="G40" i="39"/>
  <c r="E40" i="39"/>
  <c r="C40" i="39"/>
  <c r="I9" i="39"/>
  <c r="G9" i="39"/>
  <c r="E9" i="39"/>
  <c r="I48" i="39"/>
  <c r="G48" i="39"/>
  <c r="E48" i="39"/>
  <c r="N14" i="1"/>
  <c r="N9" i="1"/>
  <c r="N8" i="1"/>
  <c r="N7" i="1"/>
  <c r="L14" i="1"/>
  <c r="L9" i="1"/>
  <c r="L8" i="1"/>
  <c r="L7" i="1"/>
  <c r="B56" i="1"/>
  <c r="D3" i="4" l="1"/>
  <c r="V5" i="59" l="1"/>
  <c r="U5" i="59"/>
  <c r="T5" i="59"/>
  <c r="S5" i="59"/>
  <c r="AH5" i="59"/>
  <c r="AG5" i="59"/>
  <c r="AF5" i="59"/>
  <c r="AE5" i="59"/>
  <c r="AD5" i="59"/>
  <c r="Q5" i="59"/>
  <c r="P5" i="59"/>
  <c r="O5" i="59"/>
  <c r="N5" i="59"/>
  <c r="X5" i="59" l="1"/>
  <c r="AH6" i="59"/>
  <c r="AG6" i="59"/>
  <c r="AE6" i="59"/>
  <c r="AF6" i="59" s="1"/>
  <c r="AD6" i="59"/>
  <c r="Q6" i="59"/>
  <c r="AB5" i="59" s="1"/>
  <c r="P6" i="59"/>
  <c r="AA5" i="59" s="1"/>
  <c r="O6" i="59"/>
  <c r="Y5" i="59" s="1"/>
  <c r="Z5" i="59" s="1"/>
  <c r="N6" i="59"/>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c r="P75" i="15"/>
  <c r="Q74" i="44"/>
  <c r="Q61" i="44"/>
  <c r="Q60" i="44"/>
  <c r="Q53" i="44"/>
  <c r="J51" i="44"/>
  <c r="J52" i="44"/>
  <c r="M48" i="44"/>
  <c r="A16" i="55"/>
  <c r="A15" i="55"/>
  <c r="B66" i="63"/>
  <c r="A11" i="55"/>
  <c r="A10" i="55"/>
  <c r="B61" i="63"/>
  <c r="A9" i="55"/>
  <c r="B60" i="63"/>
  <c r="A8" i="55"/>
  <c r="A6" i="54"/>
  <c r="A8" i="54"/>
  <c r="B53" i="63" s="1"/>
  <c r="A7" i="54"/>
  <c r="A28" i="51"/>
  <c r="N4" i="63" s="1"/>
  <c r="A27" i="51"/>
  <c r="B20" i="63"/>
  <c r="Q19" i="59"/>
  <c r="AB17" i="59"/>
  <c r="O19" i="59"/>
  <c r="Y17" i="59"/>
  <c r="Z17" i="59"/>
  <c r="N20" i="59"/>
  <c r="O20" i="59"/>
  <c r="P20" i="59"/>
  <c r="Q20" i="59"/>
  <c r="N19" i="59"/>
  <c r="X17"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s="1"/>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D77" i="46" s="1"/>
  <c r="K77" i="46"/>
  <c r="J77" i="46" s="1"/>
  <c r="M76" i="46"/>
  <c r="N76" i="46" s="1"/>
  <c r="D76" i="46"/>
  <c r="K76" i="46"/>
  <c r="J76" i="46" s="1"/>
  <c r="M75" i="46"/>
  <c r="N75" i="46" s="1"/>
  <c r="K75" i="46"/>
  <c r="J75" i="46" s="1"/>
  <c r="M74" i="46"/>
  <c r="N74" i="46" s="1"/>
  <c r="K74" i="46"/>
  <c r="J74" i="46" s="1"/>
  <c r="D74" i="46" s="1"/>
  <c r="M73" i="46"/>
  <c r="K73" i="46"/>
  <c r="D73" i="46" s="1"/>
  <c r="M72" i="46"/>
  <c r="N72" i="46" s="1"/>
  <c r="K72" i="46"/>
  <c r="J72" i="46" s="1"/>
  <c r="D72" i="46"/>
  <c r="M71" i="46"/>
  <c r="N71" i="46" s="1"/>
  <c r="K71" i="46"/>
  <c r="J71" i="46" s="1"/>
  <c r="M70" i="46"/>
  <c r="N70" i="46" s="1"/>
  <c r="K70" i="46"/>
  <c r="J70" i="46" s="1"/>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s="1"/>
  <c r="C65" i="39" s="1"/>
  <c r="H64" i="39"/>
  <c r="I64" i="39" s="1"/>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E19" i="4"/>
  <c r="F7" i="1"/>
  <c r="G7" i="1" s="1"/>
  <c r="B2" i="52"/>
  <c r="I2" i="46"/>
  <c r="N12" i="46" s="1"/>
  <c r="A7" i="46"/>
  <c r="F41" i="4"/>
  <c r="J52" i="40"/>
  <c r="H61" i="49"/>
  <c r="H37" i="46"/>
  <c r="H36" i="46"/>
  <c r="H35" i="46"/>
  <c r="H34" i="46"/>
  <c r="H33" i="46"/>
  <c r="J20" i="46"/>
  <c r="C18" i="46"/>
  <c r="F15" i="46"/>
  <c r="E15" i="46"/>
  <c r="D15" i="46"/>
  <c r="C15" i="46"/>
  <c r="C10" i="46"/>
  <c r="C11" i="46"/>
  <c r="C9" i="46"/>
  <c r="E32" i="6"/>
  <c r="E23" i="6"/>
  <c r="E24" i="6"/>
  <c r="E25" i="6"/>
  <c r="E26" i="6"/>
  <c r="D38" i="4"/>
  <c r="C39" i="4" s="1"/>
  <c r="C35" i="4"/>
  <c r="E16" i="12"/>
  <c r="F14" i="12"/>
  <c r="F15" i="12"/>
  <c r="F17" i="12"/>
  <c r="E19" i="12"/>
  <c r="E21" i="12"/>
  <c r="E22" i="12"/>
  <c r="F23" i="12"/>
  <c r="F24" i="12"/>
  <c r="I73" i="9"/>
  <c r="F73" i="9"/>
  <c r="P73" i="9" s="1"/>
  <c r="D107" i="9"/>
  <c r="C107" i="9"/>
  <c r="C105"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s="1"/>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s="1"/>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G9" i="12"/>
  <c r="K5" i="3"/>
  <c r="F20" i="6" s="1"/>
  <c r="E20" i="6" s="1"/>
  <c r="J5" i="3"/>
  <c r="BE10" i="3"/>
  <c r="BD13" i="3"/>
  <c r="BE13" i="3"/>
  <c r="BF13" i="3"/>
  <c r="BF5" i="3"/>
  <c r="BG13" i="3"/>
  <c r="BG5" i="3"/>
  <c r="BH13" i="3"/>
  <c r="BI13" i="3"/>
  <c r="BI5" i="3" s="1"/>
  <c r="BJ13" i="3"/>
  <c r="BK13" i="3"/>
  <c r="BM13" i="3"/>
  <c r="BN13" i="3"/>
  <c r="BO13" i="3"/>
  <c r="BL13" i="3" s="1"/>
  <c r="BL5" i="3" s="1"/>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F19" i="6" s="1"/>
  <c r="E19" i="6" s="1"/>
  <c r="L5" i="3"/>
  <c r="M5" i="3"/>
  <c r="G21" i="6" s="1"/>
  <c r="D38" i="46" s="1"/>
  <c r="H38" i="46" s="1"/>
  <c r="N5" i="3"/>
  <c r="O5" i="3"/>
  <c r="G22" i="6" s="1"/>
  <c r="D39" i="46" s="1"/>
  <c r="H39" i="46" s="1"/>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s="1"/>
  <c r="F29" i="35"/>
  <c r="S29" i="35" s="1"/>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AP11" i="1"/>
  <c r="B11" i="1"/>
  <c r="E11" i="1"/>
  <c r="K11" i="1"/>
  <c r="M11" i="1" s="1"/>
  <c r="O11" i="1" s="1"/>
  <c r="B9" i="1"/>
  <c r="E9" i="1"/>
  <c r="B7" i="1"/>
  <c r="E7" i="1" s="1"/>
  <c r="C20" i="43"/>
  <c r="F6" i="1"/>
  <c r="AP6" i="1" s="1"/>
  <c r="G11" i="1"/>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c r="C53" i="10"/>
  <c r="A25" i="64" s="1"/>
  <c r="A18" i="51"/>
  <c r="B14" i="63"/>
  <c r="BA16" i="3"/>
  <c r="BA17" i="3"/>
  <c r="AZ17" i="3"/>
  <c r="K1" i="43"/>
  <c r="G1" i="44"/>
  <c r="I4" i="6"/>
  <c r="G3" i="46" s="1"/>
  <c r="AZ15" i="3"/>
  <c r="BK5" i="3"/>
  <c r="BO5" i="3"/>
  <c r="BP5" i="3"/>
  <c r="BN5" i="3"/>
  <c r="BL18" i="3"/>
  <c r="AZ18" i="3"/>
  <c r="BC5" i="3"/>
  <c r="E8" i="6" s="1"/>
  <c r="E53" i="40" s="1"/>
  <c r="BD5" i="3"/>
  <c r="BR5" i="3"/>
  <c r="G28" i="6" s="1"/>
  <c r="BS5" i="3"/>
  <c r="F28" i="6" s="1"/>
  <c r="BQ5" i="3"/>
  <c r="BL16" i="3"/>
  <c r="BM5" i="3"/>
  <c r="F29" i="6" s="1"/>
  <c r="F30" i="6" s="1"/>
  <c r="G28" i="12"/>
  <c r="G22" i="43"/>
  <c r="G26" i="12"/>
  <c r="D24" i="44"/>
  <c r="D26" i="44"/>
  <c r="G27" i="12"/>
  <c r="G23" i="43"/>
  <c r="G21" i="43"/>
  <c r="N8" i="46"/>
  <c r="N4" i="46"/>
  <c r="N1" i="46"/>
  <c r="F47" i="46"/>
  <c r="H49" i="46" s="1"/>
  <c r="M9" i="46"/>
  <c r="M2" i="46"/>
  <c r="N11" i="46"/>
  <c r="N9" i="46"/>
  <c r="M4" i="46"/>
  <c r="M12" i="46"/>
  <c r="M8" i="46"/>
  <c r="M3" i="46"/>
  <c r="M5" i="46"/>
  <c r="C6" i="46"/>
  <c r="H6" i="48"/>
  <c r="H15" i="48"/>
  <c r="H5" i="48"/>
  <c r="H14" i="48"/>
  <c r="K17" i="46"/>
  <c r="H13" i="48"/>
  <c r="H11" i="48"/>
  <c r="D17" i="46"/>
  <c r="D71" i="46"/>
  <c r="D84" i="46"/>
  <c r="E80" i="46"/>
  <c r="B78" i="46"/>
  <c r="D69" i="46"/>
  <c r="E47" i="46"/>
  <c r="E58" i="46"/>
  <c r="B56" i="46"/>
  <c r="A4" i="64"/>
  <c r="A4" i="51"/>
  <c r="C51" i="10"/>
  <c r="A9" i="51" s="1"/>
  <c r="B9" i="63" s="1"/>
  <c r="I100"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O19" i="46"/>
  <c r="H86" i="46"/>
  <c r="H82" i="46"/>
  <c r="H10" i="48"/>
  <c r="H87" i="46"/>
  <c r="H85" i="46"/>
  <c r="H83" i="46"/>
  <c r="K10" i="1"/>
  <c r="M10" i="1" s="1"/>
  <c r="S11" i="1"/>
  <c r="R11" i="1"/>
  <c r="S13" i="1"/>
  <c r="R13" i="1"/>
  <c r="B6" i="1"/>
  <c r="E6" i="1"/>
  <c r="B10" i="1"/>
  <c r="E10" i="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5" i="6"/>
  <c r="D12" i="11" s="1"/>
  <c r="C12" i="11" s="1"/>
  <c r="G29" i="6"/>
  <c r="AZ16" i="3"/>
  <c r="A9" i="64"/>
  <c r="A3" i="55"/>
  <c r="B56" i="63"/>
  <c r="E4" i="4"/>
  <c r="C4" i="4"/>
  <c r="G66" i="36"/>
  <c r="J18" i="36"/>
  <c r="AE8" i="1"/>
  <c r="AE7" i="1"/>
  <c r="AE6" i="1"/>
  <c r="W18" i="36"/>
  <c r="AC18" i="36"/>
  <c r="AG6" i="1"/>
  <c r="L20" i="6"/>
  <c r="L19" i="6"/>
  <c r="B21" i="55"/>
  <c r="B72" i="63"/>
  <c r="B20" i="55"/>
  <c r="B70" i="63"/>
  <c r="C45" i="9"/>
  <c r="H14" i="66" s="1"/>
  <c r="B7" i="66" s="1"/>
  <c r="K31" i="9"/>
  <c r="K32" i="9" s="1"/>
  <c r="N76" i="9"/>
  <c r="C46" i="9"/>
  <c r="K33" i="9" s="1"/>
  <c r="K34" i="9" s="1"/>
  <c r="A25" i="51"/>
  <c r="B18" i="63" s="1"/>
  <c r="H58" i="46"/>
  <c r="C17" i="46"/>
  <c r="F38" i="46"/>
  <c r="H11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G30" i="6"/>
  <c r="H1" i="65"/>
  <c r="X7" i="46"/>
  <c r="N17" i="46"/>
  <c r="M17" i="46"/>
  <c r="E28" i="6"/>
  <c r="K14" i="1" s="1"/>
  <c r="M14" i="1" s="1"/>
  <c r="P13" i="1"/>
  <c r="E12" i="6"/>
  <c r="E64" i="39" s="1"/>
  <c r="AP7" i="1"/>
  <c r="G13" i="1"/>
  <c r="D46" i="36"/>
  <c r="F35" i="46"/>
  <c r="H63" i="46"/>
  <c r="H66" i="46"/>
  <c r="D100" i="46"/>
  <c r="AF12" i="46"/>
  <c r="K100" i="46"/>
  <c r="AB12" i="46"/>
  <c r="AJ12" i="46"/>
  <c r="H59" i="46"/>
  <c r="E10" i="46"/>
  <c r="E9" i="46"/>
  <c r="E11" i="46"/>
  <c r="E8" i="46"/>
  <c r="H47" i="46"/>
  <c r="AD12" i="46"/>
  <c r="AH12" i="46"/>
  <c r="C14" i="59"/>
  <c r="C13" i="59"/>
  <c r="T13" i="59"/>
  <c r="B14" i="59"/>
  <c r="B13" i="59"/>
  <c r="S13" i="59"/>
  <c r="D14" i="59"/>
  <c r="V13" i="59"/>
  <c r="D13" i="59"/>
  <c r="E46" i="36"/>
  <c r="F46" i="36" s="1"/>
  <c r="G46" i="36" s="1"/>
  <c r="H46" i="36" s="1"/>
  <c r="C7" i="46"/>
  <c r="D12" i="59"/>
  <c r="D11" i="59"/>
  <c r="F18" i="44"/>
  <c r="B13" i="67"/>
  <c r="N3" i="65"/>
  <c r="N7" i="65"/>
  <c r="I5" i="65"/>
  <c r="F14" i="67"/>
  <c r="M8" i="44"/>
  <c r="M28" i="44"/>
  <c r="M23" i="44"/>
  <c r="F45" i="44"/>
  <c r="M26" i="44"/>
  <c r="M31" i="44"/>
  <c r="F8" i="67"/>
  <c r="E8" i="67"/>
  <c r="F39" i="44"/>
  <c r="I7" i="65"/>
  <c r="F9" i="67"/>
  <c r="F11" i="44"/>
  <c r="B11" i="67"/>
  <c r="F13" i="67"/>
  <c r="M24" i="44"/>
  <c r="J6" i="65"/>
  <c r="F11" i="67"/>
  <c r="F28" i="44"/>
  <c r="F46" i="44"/>
  <c r="E11" i="67"/>
  <c r="F43" i="44"/>
  <c r="B9" i="67"/>
  <c r="C19" i="44"/>
  <c r="F15" i="44"/>
  <c r="E9" i="67"/>
  <c r="F10" i="44"/>
  <c r="J7" i="65"/>
  <c r="N4" i="65"/>
  <c r="N5" i="65"/>
  <c r="E13" i="67"/>
  <c r="F8" i="44"/>
  <c r="E14" i="67"/>
  <c r="M29" i="44"/>
  <c r="B12" i="67"/>
  <c r="F12" i="67"/>
  <c r="L48" i="44"/>
  <c r="M25" i="44"/>
  <c r="F40" i="44"/>
  <c r="J3" i="65"/>
  <c r="B14" i="67"/>
  <c r="B10" i="67"/>
  <c r="E10" i="67"/>
  <c r="M11" i="44"/>
  <c r="M30" i="44"/>
  <c r="F9" i="44"/>
  <c r="F37" i="44"/>
  <c r="L49" i="44"/>
  <c r="F10" i="67"/>
  <c r="M10" i="44"/>
  <c r="J17" i="44"/>
  <c r="I6" i="65"/>
  <c r="I3" i="65"/>
  <c r="J4" i="65"/>
  <c r="E12" i="67"/>
  <c r="N6" i="65"/>
  <c r="I4" i="65"/>
  <c r="F38" i="44"/>
  <c r="J5" i="65"/>
  <c r="B8" i="67"/>
  <c r="BA13" i="3" l="1"/>
  <c r="BA5" i="3"/>
  <c r="AZ13" i="3"/>
  <c r="AZ5" i="3" s="1"/>
  <c r="F27" i="6"/>
  <c r="D29" i="46" s="1"/>
  <c r="D1" i="46" s="1"/>
  <c r="E22" i="6"/>
  <c r="G27" i="6"/>
  <c r="G31" i="6" s="1"/>
  <c r="E21" i="6"/>
  <c r="D9" i="12"/>
  <c r="D10" i="12" s="1"/>
  <c r="K7" i="1"/>
  <c r="M7" i="1" s="1"/>
  <c r="O7" i="1" s="1"/>
  <c r="C9" i="12"/>
  <c r="C10" i="12" s="1"/>
  <c r="K6" i="1"/>
  <c r="M6" i="1" s="1"/>
  <c r="O6" i="1" s="1"/>
  <c r="E27" i="6"/>
  <c r="Y11" i="46"/>
  <c r="Y13" i="46" s="1"/>
  <c r="G22" i="46"/>
  <c r="F101" i="46"/>
  <c r="I101" i="46"/>
  <c r="I102" i="46" s="1"/>
  <c r="N101" i="46"/>
  <c r="N105" i="46" s="1"/>
  <c r="AD11" i="46"/>
  <c r="AD13" i="46" s="1"/>
  <c r="C101" i="46"/>
  <c r="J101" i="46"/>
  <c r="J107" i="46" s="1"/>
  <c r="L101" i="46"/>
  <c r="L102" i="46" s="1"/>
  <c r="Z7" i="46"/>
  <c r="E22" i="46"/>
  <c r="Z11" i="46"/>
  <c r="Z13" i="46" s="1"/>
  <c r="AA11" i="46"/>
  <c r="AA13" i="46" s="1"/>
  <c r="AF11" i="46"/>
  <c r="AF13" i="46" s="1"/>
  <c r="H22" i="46"/>
  <c r="J22" i="46"/>
  <c r="D101" i="46"/>
  <c r="D106" i="46" s="1"/>
  <c r="M101" i="46"/>
  <c r="M107" i="46" s="1"/>
  <c r="AC11" i="46"/>
  <c r="AC13" i="46" s="1"/>
  <c r="AJ11" i="46"/>
  <c r="AJ13" i="46" s="1"/>
  <c r="G101" i="46"/>
  <c r="G103" i="46" s="1"/>
  <c r="B113" i="46"/>
  <c r="I115" i="46" s="1"/>
  <c r="J115" i="46" s="1"/>
  <c r="K115" i="46" s="1"/>
  <c r="L115" i="46" s="1"/>
  <c r="M115" i="46" s="1"/>
  <c r="E101" i="46"/>
  <c r="E104" i="46" s="1"/>
  <c r="K101" i="46"/>
  <c r="K107" i="46" s="1"/>
  <c r="AG11" i="46"/>
  <c r="AG13" i="46" s="1"/>
  <c r="AH11" i="46"/>
  <c r="AH13" i="46" s="1"/>
  <c r="AE11" i="46"/>
  <c r="AE13" i="46" s="1"/>
  <c r="AB11" i="46"/>
  <c r="AB13" i="46" s="1"/>
  <c r="H101" i="46"/>
  <c r="H102" i="46" s="1"/>
  <c r="AI11" i="46"/>
  <c r="AI13" i="46" s="1"/>
  <c r="AP8" i="1"/>
  <c r="G41" i="46"/>
  <c r="E69" i="46"/>
  <c r="B67" i="46" s="1"/>
  <c r="C24" i="46" s="1"/>
  <c r="J73" i="46"/>
  <c r="N77" i="46"/>
  <c r="H54" i="46"/>
  <c r="H65" i="46"/>
  <c r="H60" i="46"/>
  <c r="F22" i="46"/>
  <c r="N104" i="45"/>
  <c r="H62" i="46"/>
  <c r="H64" i="46"/>
  <c r="I17" i="46"/>
  <c r="H48" i="46"/>
  <c r="L17" i="46"/>
  <c r="O17" i="46"/>
  <c r="E17" i="46"/>
  <c r="H53" i="46"/>
  <c r="F37" i="46"/>
  <c r="F34" i="46"/>
  <c r="J17" i="46"/>
  <c r="F39" i="46"/>
  <c r="F36" i="46"/>
  <c r="F69" i="46"/>
  <c r="H71" i="46" s="1"/>
  <c r="H70" i="46"/>
  <c r="H72" i="46"/>
  <c r="H73" i="46"/>
  <c r="H69" i="46"/>
  <c r="H52" i="46"/>
  <c r="H55" i="46"/>
  <c r="H50" i="46"/>
  <c r="H51" i="46"/>
  <c r="A30" i="51"/>
  <c r="B22" i="63" s="1"/>
  <c r="A30" i="64"/>
  <c r="J103" i="46"/>
  <c r="F26" i="35"/>
  <c r="J26" i="35"/>
  <c r="H26" i="35"/>
  <c r="U40" i="39"/>
  <c r="W40" i="39"/>
  <c r="S40" i="39"/>
  <c r="F28" i="15"/>
  <c r="F30" i="44"/>
  <c r="M20" i="44"/>
  <c r="F70" i="9"/>
  <c r="F72" i="9"/>
  <c r="F66" i="9"/>
  <c r="P72" i="9" s="1"/>
  <c r="K20" i="6"/>
  <c r="K26" i="6"/>
  <c r="M26" i="6" s="1"/>
  <c r="I26" i="6" s="1"/>
  <c r="S26" i="6" s="1"/>
  <c r="K22" i="6"/>
  <c r="K25" i="6"/>
  <c r="M25" i="6" s="1"/>
  <c r="I25" i="6" s="1"/>
  <c r="S25" i="6" s="1"/>
  <c r="K19" i="6"/>
  <c r="K24" i="6"/>
  <c r="M24" i="6" s="1"/>
  <c r="I24" i="6" s="1"/>
  <c r="S24" i="6" s="1"/>
  <c r="K23" i="6"/>
  <c r="M23" i="6" s="1"/>
  <c r="I23" i="6" s="1"/>
  <c r="S23" i="6" s="1"/>
  <c r="K21" i="6"/>
  <c r="F3" i="35"/>
  <c r="P12" i="1"/>
  <c r="P11" i="1"/>
  <c r="L27" i="6"/>
  <c r="G1" i="15"/>
  <c r="K1" i="12"/>
  <c r="E59" i="40"/>
  <c r="L105" i="46"/>
  <c r="N107" i="46"/>
  <c r="H109" i="46"/>
  <c r="G13" i="3"/>
  <c r="E15" i="6"/>
  <c r="E67" i="39" s="1"/>
  <c r="G106" i="46"/>
  <c r="I118" i="46"/>
  <c r="J118" i="46" s="1"/>
  <c r="K118" i="46" s="1"/>
  <c r="L118" i="46" s="1"/>
  <c r="M118" i="46" s="1"/>
  <c r="L106" i="46"/>
  <c r="I105" i="46"/>
  <c r="N109" i="46"/>
  <c r="I109" i="46"/>
  <c r="D103" i="46"/>
  <c r="F105" i="46"/>
  <c r="F107" i="46"/>
  <c r="E11" i="6"/>
  <c r="E63" i="39" s="1"/>
  <c r="E58" i="39"/>
  <c r="O14" i="1"/>
  <c r="P14" i="1" s="1"/>
  <c r="C102" i="46"/>
  <c r="D21" i="12"/>
  <c r="C21" i="12" s="1"/>
  <c r="F31" i="6"/>
  <c r="E3" i="6"/>
  <c r="O10" i="1"/>
  <c r="P10" i="1" s="1"/>
  <c r="E29" i="6"/>
  <c r="E14" i="6"/>
  <c r="E13" i="6"/>
  <c r="E10" i="6"/>
  <c r="C103" i="46"/>
  <c r="G105" i="46"/>
  <c r="D115" i="46"/>
  <c r="E115" i="46" s="1"/>
  <c r="F115" i="46" s="1"/>
  <c r="G115" i="46" s="1"/>
  <c r="H115" i="46" s="1"/>
  <c r="L103" i="46"/>
  <c r="L104" i="46"/>
  <c r="E105" i="46"/>
  <c r="G6" i="1"/>
  <c r="G12" i="1"/>
  <c r="K17" i="4"/>
  <c r="A22" i="51" s="1"/>
  <c r="B16" i="63" s="1"/>
  <c r="O41" i="9"/>
  <c r="R8" i="54" s="1"/>
  <c r="B54" i="63" s="1"/>
  <c r="D46" i="9"/>
  <c r="I14" i="66"/>
  <c r="B8" i="66" s="1"/>
  <c r="O40" i="9"/>
  <c r="R7" i="54" s="1"/>
  <c r="B52" i="63" s="1"/>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J7" i="21"/>
  <c r="C18" i="11"/>
  <c r="K77" i="9"/>
  <c r="K79" i="9" s="1"/>
  <c r="K81" i="9" s="1"/>
  <c r="E12" i="52"/>
  <c r="B15" i="52"/>
  <c r="F31" i="15"/>
  <c r="F33" i="44"/>
  <c r="D8" i="59"/>
  <c r="C7" i="59"/>
  <c r="E9" i="59"/>
  <c r="E8" i="59" s="1"/>
  <c r="E7" i="59" s="1"/>
  <c r="E6" i="59" s="1"/>
  <c r="E5" i="59" s="1"/>
  <c r="B9" i="59"/>
  <c r="B8" i="59" s="1"/>
  <c r="B7" i="59" s="1"/>
  <c r="B6" i="59" s="1"/>
  <c r="B5" i="59" s="1"/>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F26" i="15"/>
  <c r="F6" i="15"/>
  <c r="J36" i="15"/>
  <c r="M27" i="15"/>
  <c r="F40" i="15"/>
  <c r="M29" i="15"/>
  <c r="F7" i="15"/>
  <c r="F8" i="15"/>
  <c r="E2" i="65"/>
  <c r="F16" i="15"/>
  <c r="M21" i="15"/>
  <c r="F41" i="15"/>
  <c r="M22" i="15"/>
  <c r="M24" i="15"/>
  <c r="F42" i="15"/>
  <c r="M6" i="15"/>
  <c r="M8" i="15"/>
  <c r="F35" i="15"/>
  <c r="M9" i="15"/>
  <c r="F36" i="15"/>
  <c r="F13" i="15"/>
  <c r="F9" i="15"/>
  <c r="F43" i="15"/>
  <c r="F38" i="15"/>
  <c r="L48" i="15"/>
  <c r="L47" i="15"/>
  <c r="C18" i="44"/>
  <c r="F37" i="15"/>
  <c r="M28" i="15"/>
  <c r="M23" i="15"/>
  <c r="E3" i="65"/>
  <c r="J15" i="15"/>
  <c r="M26" i="15"/>
  <c r="H103" i="46" l="1"/>
  <c r="D109" i="46"/>
  <c r="E106" i="46"/>
  <c r="D107" i="46"/>
  <c r="D105" i="46"/>
  <c r="E103" i="46"/>
  <c r="E102" i="46"/>
  <c r="G102" i="46"/>
  <c r="G109" i="46"/>
  <c r="C23" i="46" s="1"/>
  <c r="E109" i="46"/>
  <c r="H105" i="46"/>
  <c r="H104" i="46"/>
  <c r="E107" i="46"/>
  <c r="G107" i="46"/>
  <c r="H107" i="46"/>
  <c r="H106" i="46"/>
  <c r="G104" i="46"/>
  <c r="C15" i="43"/>
  <c r="K102" i="46"/>
  <c r="P6" i="1"/>
  <c r="J104" i="46"/>
  <c r="M103" i="46"/>
  <c r="I107" i="46"/>
  <c r="I117" i="46"/>
  <c r="J117" i="46" s="1"/>
  <c r="K117" i="46" s="1"/>
  <c r="L117" i="46" s="1"/>
  <c r="M117" i="46" s="1"/>
  <c r="M104" i="46"/>
  <c r="P7" i="1"/>
  <c r="B116" i="46"/>
  <c r="C116" i="46" s="1"/>
  <c r="B117" i="46"/>
  <c r="C117" i="46" s="1"/>
  <c r="J105" i="46"/>
  <c r="J109" i="46"/>
  <c r="M102" i="46"/>
  <c r="I106" i="46"/>
  <c r="I103" i="46"/>
  <c r="I104" i="46"/>
  <c r="F9" i="12"/>
  <c r="D3" i="35"/>
  <c r="K9" i="1"/>
  <c r="M9" i="1" s="1"/>
  <c r="K8" i="1"/>
  <c r="G16" i="1" s="1"/>
  <c r="E9" i="12"/>
  <c r="E10" i="12" s="1"/>
  <c r="C6" i="12" s="1"/>
  <c r="C15" i="12"/>
  <c r="D102" i="46"/>
  <c r="D104" i="46"/>
  <c r="D22" i="46"/>
  <c r="C21" i="46" s="1"/>
  <c r="C109" i="46"/>
  <c r="C107" i="46"/>
  <c r="F106" i="46"/>
  <c r="F109" i="46"/>
  <c r="F102" i="46"/>
  <c r="K104" i="46"/>
  <c r="L109" i="46"/>
  <c r="B115" i="46"/>
  <c r="C115" i="46" s="1"/>
  <c r="D117" i="46"/>
  <c r="E117" i="46" s="1"/>
  <c r="F117" i="46" s="1"/>
  <c r="G117" i="46" s="1"/>
  <c r="H117" i="46" s="1"/>
  <c r="G118" i="46"/>
  <c r="H118" i="46" s="1"/>
  <c r="B118" i="46"/>
  <c r="C118" i="46" s="1"/>
  <c r="C104" i="46"/>
  <c r="C106" i="46"/>
  <c r="F104" i="46"/>
  <c r="M109" i="46"/>
  <c r="M106" i="46"/>
  <c r="M105" i="46"/>
  <c r="N104" i="46"/>
  <c r="N103" i="46"/>
  <c r="K106" i="46"/>
  <c r="L107" i="46"/>
  <c r="D118" i="46"/>
  <c r="E118" i="46" s="1"/>
  <c r="F118" i="46" s="1"/>
  <c r="N106" i="46"/>
  <c r="K105" i="46"/>
  <c r="I116" i="46"/>
  <c r="J116" i="46" s="1"/>
  <c r="K116" i="46" s="1"/>
  <c r="L116" i="46" s="1"/>
  <c r="M116" i="46" s="1"/>
  <c r="K109" i="46"/>
  <c r="K103" i="46"/>
  <c r="D116" i="46"/>
  <c r="E116" i="46" s="1"/>
  <c r="F116" i="46" s="1"/>
  <c r="G116" i="46" s="1"/>
  <c r="H116" i="46" s="1"/>
  <c r="N102" i="46"/>
  <c r="F103" i="46"/>
  <c r="C105" i="46"/>
  <c r="J106" i="46"/>
  <c r="J102" i="46"/>
  <c r="H76" i="46"/>
  <c r="H75" i="46"/>
  <c r="H77" i="46"/>
  <c r="H74" i="46"/>
  <c r="G17" i="46"/>
  <c r="C16" i="46" s="1"/>
  <c r="W26" i="35"/>
  <c r="AC26" i="35"/>
  <c r="U26" i="35"/>
  <c r="AB26" i="35"/>
  <c r="AA26" i="35"/>
  <c r="S26" i="35"/>
  <c r="S5" i="46"/>
  <c r="M21" i="6"/>
  <c r="I21" i="6" s="1"/>
  <c r="S21" i="6" s="1"/>
  <c r="S8" i="1"/>
  <c r="M19" i="6"/>
  <c r="S6" i="1"/>
  <c r="K27" i="6"/>
  <c r="M22" i="6"/>
  <c r="I22" i="6" s="1"/>
  <c r="S22" i="6" s="1"/>
  <c r="S9" i="1"/>
  <c r="M20" i="6"/>
  <c r="I20" i="6" s="1"/>
  <c r="S20" i="6" s="1"/>
  <c r="S7" i="1"/>
  <c r="C6" i="15"/>
  <c r="C32" i="15" s="1"/>
  <c r="J57" i="15"/>
  <c r="J55" i="15" s="1"/>
  <c r="J58" i="15" s="1"/>
  <c r="Q51" i="15" s="1"/>
  <c r="L56" i="15"/>
  <c r="J53" i="15"/>
  <c r="Q53" i="15" s="1"/>
  <c r="I54" i="15"/>
  <c r="F67" i="15"/>
  <c r="F62" i="15"/>
  <c r="C61" i="15" s="1"/>
  <c r="C34" i="15"/>
  <c r="F50" i="15"/>
  <c r="L58" i="15"/>
  <c r="Q74" i="15" s="1"/>
  <c r="L59" i="15"/>
  <c r="Q62" i="15" s="1"/>
  <c r="F65" i="15"/>
  <c r="F68" i="15"/>
  <c r="F63" i="15"/>
  <c r="C27" i="15"/>
  <c r="F64" i="15"/>
  <c r="M7" i="15"/>
  <c r="M17" i="15" s="1"/>
  <c r="F49" i="15"/>
  <c r="F58" i="15" s="1"/>
  <c r="Q72" i="15"/>
  <c r="J20" i="15"/>
  <c r="F70" i="15"/>
  <c r="E62" i="40"/>
  <c r="G5" i="3"/>
  <c r="B3" i="3" s="1"/>
  <c r="E13" i="3" s="1"/>
  <c r="E58" i="40"/>
  <c r="E16" i="6"/>
  <c r="E66" i="39"/>
  <c r="E61" i="40"/>
  <c r="K15" i="1"/>
  <c r="E30" i="6"/>
  <c r="E31" i="6" s="1"/>
  <c r="E65" i="39"/>
  <c r="E60" i="40"/>
  <c r="D16" i="12"/>
  <c r="D16" i="43"/>
  <c r="C16" i="43" s="1"/>
  <c r="L38" i="9"/>
  <c r="B14" i="66" s="1"/>
  <c r="B1" i="66" s="1"/>
  <c r="C7" i="66" s="1"/>
  <c r="C21" i="4"/>
  <c r="O5" i="54" s="1"/>
  <c r="B45" i="63" s="1"/>
  <c r="E6" i="6"/>
  <c r="D45" i="9"/>
  <c r="J7" i="34"/>
  <c r="W7" i="34" s="1"/>
  <c r="H7" i="21"/>
  <c r="F7" i="21"/>
  <c r="AA7" i="21" s="1"/>
  <c r="R48" i="21" s="1"/>
  <c r="H7" i="35"/>
  <c r="U7" i="35" s="1"/>
  <c r="B40" i="1"/>
  <c r="E65" i="40"/>
  <c r="D67" i="40"/>
  <c r="AC7" i="33"/>
  <c r="V48" i="33" s="1"/>
  <c r="I48" i="33" s="1"/>
  <c r="W7" i="33"/>
  <c r="S7" i="34"/>
  <c r="AA7" i="34"/>
  <c r="R49" i="34" s="1"/>
  <c r="AC7" i="34"/>
  <c r="V49" i="34" s="1"/>
  <c r="I49" i="34" s="1"/>
  <c r="U7" i="21"/>
  <c r="AB7" i="21"/>
  <c r="T48" i="21" s="1"/>
  <c r="G48" i="21" s="1"/>
  <c r="J7" i="37"/>
  <c r="W7" i="21"/>
  <c r="AC7" i="21"/>
  <c r="V48" i="21" s="1"/>
  <c r="I48" i="21" s="1"/>
  <c r="D72" i="39"/>
  <c r="E70" i="39"/>
  <c r="AB7" i="34"/>
  <c r="T49" i="34" s="1"/>
  <c r="G49" i="34" s="1"/>
  <c r="U7" i="34"/>
  <c r="H7" i="33"/>
  <c r="F7" i="33"/>
  <c r="J46" i="36"/>
  <c r="J7" i="35"/>
  <c r="F7" i="35"/>
  <c r="H7" i="37"/>
  <c r="F7" i="37"/>
  <c r="D7" i="59"/>
  <c r="C6" i="59"/>
  <c r="M19" i="44"/>
  <c r="C19" i="46"/>
  <c r="F17" i="11"/>
  <c r="C17" i="11" s="1"/>
  <c r="C19" i="11" s="1"/>
  <c r="L47" i="44"/>
  <c r="M13" i="44"/>
  <c r="J12" i="44" s="1"/>
  <c r="J7" i="44" s="1"/>
  <c r="F11" i="15"/>
  <c r="M11" i="15"/>
  <c r="J10" i="15" s="1"/>
  <c r="F13" i="44"/>
  <c r="C12" i="44" s="1"/>
  <c r="C7" i="44" s="1"/>
  <c r="Q75" i="44"/>
  <c r="Q62" i="44"/>
  <c r="M28" i="46"/>
  <c r="P28" i="46"/>
  <c r="O28" i="46"/>
  <c r="G20" i="46" s="1"/>
  <c r="N28" i="46"/>
  <c r="F1" i="44"/>
  <c r="Q54" i="44"/>
  <c r="J20" i="44"/>
  <c r="Q63" i="44"/>
  <c r="Q76" i="44"/>
  <c r="C34" i="44"/>
  <c r="C16" i="15"/>
  <c r="C17" i="15"/>
  <c r="F12" i="39" l="1"/>
  <c r="H12" i="40"/>
  <c r="F12" i="40"/>
  <c r="S12" i="40" s="1"/>
  <c r="S6" i="46"/>
  <c r="J12" i="40"/>
  <c r="W12" i="40" s="1"/>
  <c r="K16" i="1"/>
  <c r="N24" i="1" s="1"/>
  <c r="J12" i="39"/>
  <c r="H12" i="39"/>
  <c r="S2" i="46"/>
  <c r="S4" i="46"/>
  <c r="F1" i="15"/>
  <c r="S3" i="46"/>
  <c r="O9" i="1"/>
  <c r="P9" i="1" s="1"/>
  <c r="C24" i="12"/>
  <c r="C29" i="12"/>
  <c r="M8" i="1"/>
  <c r="Q16" i="1"/>
  <c r="H16" i="1"/>
  <c r="AP16" i="1"/>
  <c r="F22" i="11" s="1"/>
  <c r="S7" i="46"/>
  <c r="S12" i="39"/>
  <c r="AA12" i="39"/>
  <c r="D113" i="46"/>
  <c r="S7" i="21"/>
  <c r="C5" i="46"/>
  <c r="D5" i="46"/>
  <c r="E41" i="46"/>
  <c r="C41" i="46" s="1"/>
  <c r="C20" i="46"/>
  <c r="C34" i="46" s="1"/>
  <c r="C8" i="66"/>
  <c r="AB7" i="35"/>
  <c r="T38" i="35" s="1"/>
  <c r="G38" i="35" s="1"/>
  <c r="Q61" i="15"/>
  <c r="Q75" i="15"/>
  <c r="C48" i="15"/>
  <c r="J6" i="15"/>
  <c r="J5" i="15" s="1"/>
  <c r="S16" i="1"/>
  <c r="I19" i="6"/>
  <c r="M27" i="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156" i="3"/>
  <c r="E49" i="3"/>
  <c r="E193" i="3"/>
  <c r="E104" i="3"/>
  <c r="E534" i="3"/>
  <c r="E387" i="3"/>
  <c r="R6" i="3"/>
  <c r="E125" i="3"/>
  <c r="AH6" i="3"/>
  <c r="P6" i="3"/>
  <c r="E84" i="3"/>
  <c r="AP6" i="3"/>
  <c r="E431" i="3"/>
  <c r="E70" i="3"/>
  <c r="E38" i="3"/>
  <c r="E151" i="3"/>
  <c r="E313" i="3"/>
  <c r="E53" i="3"/>
  <c r="E405"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506" i="3"/>
  <c r="E535" i="3"/>
  <c r="E381" i="3"/>
  <c r="E427" i="3"/>
  <c r="E278" i="3"/>
  <c r="E94" i="3"/>
  <c r="E376" i="3"/>
  <c r="E294" i="3"/>
  <c r="E21" i="3"/>
  <c r="E64" i="3"/>
  <c r="E140" i="3"/>
  <c r="E343" i="3"/>
  <c r="E142" i="3"/>
  <c r="E410" i="3"/>
  <c r="E468" i="3"/>
  <c r="E109" i="3"/>
  <c r="E185" i="3"/>
  <c r="E148" i="3"/>
  <c r="E27" i="3"/>
  <c r="E412" i="3"/>
  <c r="E469"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562" i="3"/>
  <c r="E571" i="3"/>
  <c r="E518" i="3"/>
  <c r="E497" i="3"/>
  <c r="E167" i="3"/>
  <c r="E566" i="3"/>
  <c r="E515" i="3"/>
  <c r="E553" i="3"/>
  <c r="E494" i="3"/>
  <c r="E273" i="3"/>
  <c r="E542" i="3"/>
  <c r="E563" i="3"/>
  <c r="E254" i="3"/>
  <c r="E112" i="3"/>
  <c r="E341" i="3"/>
  <c r="E268" i="3"/>
  <c r="E316" i="3"/>
  <c r="E175" i="3"/>
  <c r="E318" i="3"/>
  <c r="E565" i="3"/>
  <c r="E380"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35" i="3"/>
  <c r="E483" i="3"/>
  <c r="E366" i="3"/>
  <c r="E532" i="3"/>
  <c r="E330" i="3"/>
  <c r="E340" i="3"/>
  <c r="E350" i="3"/>
  <c r="E521" i="3"/>
  <c r="E496" i="3"/>
  <c r="E130" i="3"/>
  <c r="E352" i="3"/>
  <c r="E461" i="3"/>
  <c r="E138" i="3"/>
  <c r="E328" i="3"/>
  <c r="E519" i="3"/>
  <c r="E155" i="3"/>
  <c r="E252" i="3"/>
  <c r="E346" i="3"/>
  <c r="E544" i="3"/>
  <c r="E541" i="3"/>
  <c r="E523" i="3"/>
  <c r="E5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AY6" i="3"/>
  <c r="AA12" i="40"/>
  <c r="D13" i="11"/>
  <c r="C13" i="11" s="1"/>
  <c r="D22" i="12"/>
  <c r="C22" i="12" s="1"/>
  <c r="C20" i="12" s="1"/>
  <c r="D19" i="12"/>
  <c r="C19" i="12" s="1"/>
  <c r="C16" i="12"/>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6" i="59"/>
  <c r="C5" i="59"/>
  <c r="C40" i="44"/>
  <c r="J28" i="44"/>
  <c r="J31" i="44" s="1"/>
  <c r="J26" i="44"/>
  <c r="C52" i="15"/>
  <c r="C10" i="15"/>
  <c r="C5" i="15" s="1"/>
  <c r="C20" i="11"/>
  <c r="C21" i="11" s="1"/>
  <c r="C22" i="11" s="1"/>
  <c r="C23" i="11" s="1"/>
  <c r="B2" i="11" s="1"/>
  <c r="U12" i="40" l="1"/>
  <c r="AB12" i="40"/>
  <c r="W12" i="39"/>
  <c r="AC12" i="39"/>
  <c r="AC12" i="40"/>
  <c r="AB12" i="39"/>
  <c r="U12" i="39"/>
  <c r="F24" i="43"/>
  <c r="C26" i="43" s="1"/>
  <c r="D24" i="43" s="1"/>
  <c r="F33" i="12"/>
  <c r="C34" i="12" s="1"/>
  <c r="D33" i="12" s="1"/>
  <c r="M16" i="1"/>
  <c r="O8" i="1"/>
  <c r="O16" i="1" s="1"/>
  <c r="N16" i="1"/>
  <c r="C29" i="43" s="1"/>
  <c r="P8" i="1"/>
  <c r="P16" i="1" s="1"/>
  <c r="C13" i="12" s="1"/>
  <c r="T3" i="46"/>
  <c r="V3" i="46" s="1"/>
  <c r="J18" i="15"/>
  <c r="C39" i="46"/>
  <c r="E39" i="46" s="1"/>
  <c r="C35" i="46"/>
  <c r="G35" i="46" s="1"/>
  <c r="I35" i="46" s="1"/>
  <c r="C37" i="46"/>
  <c r="G37" i="46" s="1"/>
  <c r="I37" i="46" s="1"/>
  <c r="C38" i="46"/>
  <c r="E38" i="46" s="1"/>
  <c r="T4" i="46"/>
  <c r="V4" i="46" s="1"/>
  <c r="T6" i="46"/>
  <c r="V6" i="46" s="1"/>
  <c r="T10" i="46"/>
  <c r="V10" i="46" s="1"/>
  <c r="T2" i="46"/>
  <c r="V2" i="46" s="1"/>
  <c r="T5" i="46"/>
  <c r="V5" i="46" s="1"/>
  <c r="C33" i="46"/>
  <c r="E33" i="46" s="1"/>
  <c r="C36" i="46"/>
  <c r="G36" i="46" s="1"/>
  <c r="I36" i="46" s="1"/>
  <c r="T7" i="46"/>
  <c r="V7" i="46" s="1"/>
  <c r="T12" i="46"/>
  <c r="V12" i="46" s="1"/>
  <c r="T15" i="46"/>
  <c r="V15" i="46" s="1"/>
  <c r="T11" i="46"/>
  <c r="V11" i="46" s="1"/>
  <c r="T13" i="46"/>
  <c r="V13" i="46" s="1"/>
  <c r="T9" i="46"/>
  <c r="V9" i="46" s="1"/>
  <c r="T8" i="46"/>
  <c r="V8" i="46" s="1"/>
  <c r="T16" i="46"/>
  <c r="V16" i="46" s="1"/>
  <c r="C29" i="46"/>
  <c r="T14" i="46"/>
  <c r="V14" i="46" s="1"/>
  <c r="G34" i="46"/>
  <c r="I34" i="46" s="1"/>
  <c r="E34" i="46"/>
  <c r="AC6" i="3"/>
  <c r="C47" i="15"/>
  <c r="C65" i="15" s="1"/>
  <c r="T9" i="1"/>
  <c r="T7" i="1"/>
  <c r="T11" i="1"/>
  <c r="T8" i="1"/>
  <c r="T13" i="1"/>
  <c r="T12" i="1"/>
  <c r="T6" i="1"/>
  <c r="T16" i="1" s="1"/>
  <c r="T10" i="1"/>
  <c r="S19" i="6"/>
  <c r="S27" i="6" s="1"/>
  <c r="I27" i="6"/>
  <c r="H6" i="3"/>
  <c r="E6" i="3" s="1"/>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69" i="3"/>
  <c r="AY26" i="3"/>
  <c r="AY529" i="3"/>
  <c r="AY53" i="3"/>
  <c r="AY98" i="3"/>
  <c r="AY217" i="3"/>
  <c r="AY383" i="3"/>
  <c r="AY427" i="3"/>
  <c r="AY170" i="3"/>
  <c r="AY214" i="3"/>
  <c r="AY476" i="3"/>
  <c r="AY116"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87" i="3"/>
  <c r="AY142" i="3"/>
  <c r="AY144" i="3"/>
  <c r="AY232" i="3"/>
  <c r="AY49" i="3"/>
  <c r="AY326"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299" i="3"/>
  <c r="AY153" i="3"/>
  <c r="AY447" i="3"/>
  <c r="AY375" i="3"/>
  <c r="AY185" i="3"/>
  <c r="AY559" i="3"/>
  <c r="AY483" i="3"/>
  <c r="AY506" i="3"/>
  <c r="AY108" i="3"/>
  <c r="AY240" i="3"/>
  <c r="AY60" i="3"/>
  <c r="AY475" i="3"/>
  <c r="AY40" i="3"/>
  <c r="AY281" i="3"/>
  <c r="AY322" i="3"/>
  <c r="AY395" i="3"/>
  <c r="AY189" i="3"/>
  <c r="AY393" i="3"/>
  <c r="BO6" i="3"/>
  <c r="AY490" i="3"/>
  <c r="AY210" i="3"/>
  <c r="AY297"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549" i="3"/>
  <c r="AY88" i="3"/>
  <c r="AY129" i="3"/>
  <c r="AY104" i="3"/>
  <c r="AY74" i="3"/>
  <c r="AY106" i="3"/>
  <c r="AY291" i="3"/>
  <c r="AY361" i="3"/>
  <c r="AY422" i="3"/>
  <c r="AY146" i="3"/>
  <c r="AY324" i="3"/>
  <c r="AY39" i="3"/>
  <c r="AY25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AY109" i="3"/>
  <c r="AY537" i="3"/>
  <c r="AY136" i="3"/>
  <c r="AY448" i="3"/>
  <c r="AY381" i="3"/>
  <c r="AY178"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30" i="3"/>
  <c r="AY198" i="3"/>
  <c r="AY73" i="3"/>
  <c r="AY262" i="3"/>
  <c r="AY397" i="3"/>
  <c r="AY379" i="3"/>
  <c r="AY135" i="3"/>
  <c r="AY315" i="3"/>
  <c r="AY168" i="3"/>
  <c r="AY464" i="3"/>
  <c r="AY295" i="3"/>
  <c r="AY194" i="3"/>
  <c r="AY16" i="3"/>
  <c r="AY278"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208" i="3"/>
  <c r="AY163" i="3"/>
  <c r="AY492" i="3"/>
  <c r="AY355" i="3"/>
  <c r="BR6" i="3"/>
  <c r="AY285" i="3"/>
  <c r="AY327" i="3"/>
  <c r="AY538" i="3"/>
  <c r="AY557" i="3"/>
  <c r="AY418" i="3"/>
  <c r="AY289" i="3"/>
  <c r="AY130" i="3"/>
  <c r="AY331" i="3"/>
  <c r="AY487" i="3"/>
  <c r="AY509" i="3"/>
  <c r="AY539" i="3"/>
  <c r="AY564" i="3"/>
  <c r="BB6" i="3"/>
  <c r="AY296" i="3"/>
  <c r="AY338" i="3"/>
  <c r="AY79" i="3"/>
  <c r="AY243" i="3"/>
  <c r="AY373" i="3"/>
  <c r="AY466" i="3"/>
  <c r="AY474" i="3"/>
  <c r="AY441" i="3"/>
  <c r="AY78" i="3"/>
  <c r="AY222" i="3"/>
  <c r="AY540" i="3"/>
  <c r="AY505" i="3"/>
  <c r="AY563" i="3"/>
  <c r="AY357" i="3"/>
  <c r="AY84" i="3"/>
  <c r="AY436" i="3"/>
  <c r="AY192" i="3"/>
  <c r="AY410" i="3"/>
  <c r="AY512" i="3"/>
  <c r="AY125" i="3"/>
  <c r="AY362" i="3"/>
  <c r="AY252" i="3"/>
  <c r="AY260" i="3"/>
  <c r="AY228" i="3"/>
  <c r="AY566" i="3"/>
  <c r="AY377" i="3"/>
  <c r="AY164" i="3"/>
  <c r="AY177" i="3"/>
  <c r="AY524" i="3"/>
  <c r="AY300" i="3"/>
  <c r="AY513" i="3"/>
  <c r="AY345" i="3"/>
  <c r="AY119" i="3"/>
  <c r="AY89" i="3"/>
  <c r="AY332" i="3"/>
  <c r="AY51" i="3"/>
  <c r="AY511" i="3"/>
  <c r="BJ6" i="3"/>
  <c r="AY535" i="3"/>
  <c r="AY97" i="3"/>
  <c r="AY57" i="3"/>
  <c r="AY149" i="3"/>
  <c r="AY366" i="3"/>
  <c r="AY256" i="3"/>
  <c r="AY342" i="3"/>
  <c r="AY438" i="3"/>
  <c r="AY352" i="3"/>
  <c r="AY21" i="3"/>
  <c r="AY411" i="3"/>
  <c r="AY200" i="3"/>
  <c r="AY85" i="3"/>
  <c r="AY314" i="3"/>
  <c r="AY510" i="3"/>
  <c r="AY368" i="3"/>
  <c r="AY471" i="3"/>
  <c r="AY367" i="3"/>
  <c r="BT6" i="3"/>
  <c r="AY456" i="3"/>
  <c r="AY247" i="3"/>
  <c r="AY287" i="3"/>
  <c r="AY15" i="3"/>
  <c r="AY497" i="3"/>
  <c r="AY567" i="3"/>
  <c r="AY478" i="3"/>
  <c r="AY93" i="3"/>
  <c r="AY270" i="3"/>
  <c r="AY554" i="3"/>
  <c r="AY212" i="3"/>
  <c r="AY353" i="3"/>
  <c r="AY419" i="3"/>
  <c r="AY301" i="3"/>
  <c r="AY482" i="3"/>
  <c r="BF6" i="3"/>
  <c r="AY484" i="3"/>
  <c r="AY68" i="3"/>
  <c r="AY276" i="3"/>
  <c r="AY387" i="3"/>
  <c r="AY313" i="3"/>
  <c r="AY205" i="3"/>
  <c r="AY423" i="3"/>
  <c r="AY488" i="3"/>
  <c r="AY451" i="3"/>
  <c r="AY460" i="3"/>
  <c r="AY444" i="3"/>
  <c r="AY261" i="3"/>
  <c r="AY196" i="3"/>
  <c r="AY570" i="3"/>
  <c r="AY521" i="3"/>
  <c r="BE6" i="3"/>
  <c r="AY508" i="3"/>
  <c r="AY468" i="3"/>
  <c r="BI6" i="3"/>
  <c r="AY469" i="3"/>
  <c r="AY263" i="3"/>
  <c r="AY231" i="3"/>
  <c r="AY19" i="3"/>
  <c r="AY347" i="3"/>
  <c r="AY470" i="3"/>
  <c r="AY533" i="3"/>
  <c r="AY102" i="3"/>
  <c r="AY462" i="3"/>
  <c r="AY94" i="3"/>
  <c r="AY536" i="3"/>
  <c r="AY517" i="3"/>
  <c r="AY523" i="3"/>
  <c r="AY77" i="3"/>
  <c r="AY349" i="3"/>
  <c r="AY463" i="3"/>
  <c r="AY548" i="3"/>
  <c r="AY81" i="3"/>
  <c r="AY279" i="3"/>
  <c r="AY336" i="3"/>
  <c r="AY124" i="3"/>
  <c r="AY293" i="3"/>
  <c r="AY271" i="3"/>
  <c r="AY111" i="3"/>
  <c r="AY229" i="3"/>
  <c r="AY268" i="3"/>
  <c r="AY75" i="3"/>
  <c r="AY171" i="3"/>
  <c r="AY316" i="3"/>
  <c r="AY413" i="3"/>
  <c r="AY370" i="3"/>
  <c r="AY112" i="3"/>
  <c r="AY20" i="3"/>
  <c r="AY385" i="3"/>
  <c r="AY220" i="3"/>
  <c r="AY404" i="3"/>
  <c r="AY534" i="3"/>
  <c r="AY434" i="3"/>
  <c r="AY334" i="3"/>
  <c r="AY571" i="3"/>
  <c r="AY532" i="3"/>
  <c r="AY251" i="3"/>
  <c r="AY284" i="3"/>
  <c r="AY426" i="3"/>
  <c r="AY496" i="3"/>
  <c r="AY491" i="3"/>
  <c r="AY390" i="3"/>
  <c r="AY17" i="3"/>
  <c r="AY133" i="3"/>
  <c r="AY113" i="3"/>
  <c r="AY56" i="3"/>
  <c r="AY421" i="3"/>
  <c r="BM6" i="3"/>
  <c r="AY18" i="3"/>
  <c r="AY568" i="3"/>
  <c r="AY54" i="3"/>
  <c r="AY312" i="3"/>
  <c r="AY134" i="3"/>
  <c r="BG6" i="3"/>
  <c r="AY165" i="3"/>
  <c r="AY255" i="3"/>
  <c r="AY354" i="3"/>
  <c r="AY121" i="3"/>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5" i="59"/>
  <c r="M20" i="46"/>
  <c r="B3" i="11"/>
  <c r="J26" i="15"/>
  <c r="J29" i="15" s="1"/>
  <c r="J24" i="15"/>
  <c r="C38" i="15"/>
  <c r="Q58" i="44"/>
  <c r="Q67" i="44"/>
  <c r="Q49" i="44"/>
  <c r="Q55" i="44" s="1"/>
  <c r="C16" i="44"/>
  <c r="F7" i="67"/>
  <c r="C14" i="15"/>
  <c r="E40" i="46" l="1"/>
  <c r="G35" i="9" s="1"/>
  <c r="C17" i="12"/>
  <c r="C14" i="12"/>
  <c r="L16" i="1"/>
  <c r="C13" i="43"/>
  <c r="B4" i="11"/>
  <c r="C30" i="46"/>
  <c r="E30" i="46" s="1"/>
  <c r="E35" i="46"/>
  <c r="G38" i="46"/>
  <c r="I38" i="46" s="1"/>
  <c r="G39" i="46"/>
  <c r="I39" i="46" s="1"/>
  <c r="G33" i="46"/>
  <c r="I33" i="46" s="1"/>
  <c r="E37" i="46"/>
  <c r="E36" i="46"/>
  <c r="E29" i="46"/>
  <c r="C59" i="15"/>
  <c r="C15" i="15"/>
  <c r="C18" i="15"/>
  <c r="C20" i="44"/>
  <c r="C17" i="44"/>
  <c r="E63" i="40"/>
  <c r="D6" i="6"/>
  <c r="H25" i="6"/>
  <c r="D20" i="6"/>
  <c r="H22" i="6"/>
  <c r="D26" i="6"/>
  <c r="H21" i="6"/>
  <c r="D29" i="6"/>
  <c r="D24" i="6"/>
  <c r="D28" i="6"/>
  <c r="D30" i="6" s="1"/>
  <c r="D25" i="6"/>
  <c r="R25" i="6" s="1"/>
  <c r="H26" i="6"/>
  <c r="K38" i="9"/>
  <c r="C14" i="66" s="1"/>
  <c r="B2" i="66" s="1"/>
  <c r="D21" i="6"/>
  <c r="D9" i="6"/>
  <c r="E68" i="39"/>
  <c r="D23" i="6"/>
  <c r="D19" i="6"/>
  <c r="H24" i="6"/>
  <c r="F46" i="9"/>
  <c r="D12" i="6"/>
  <c r="D14" i="6"/>
  <c r="D15" i="6"/>
  <c r="D11" i="6"/>
  <c r="D8" i="6"/>
  <c r="D13" i="6"/>
  <c r="E46" i="9"/>
  <c r="C22" i="4"/>
  <c r="F45" i="9"/>
  <c r="D10" i="6"/>
  <c r="D22" i="6"/>
  <c r="R22" i="6" s="1"/>
  <c r="R9" i="1" s="1"/>
  <c r="D5" i="6"/>
  <c r="H23" i="6"/>
  <c r="H19" i="6"/>
  <c r="H20" i="6"/>
  <c r="E45" i="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B7" i="67"/>
  <c r="E7" i="67"/>
  <c r="C108" i="9" l="1"/>
  <c r="L46" i="68"/>
  <c r="R20" i="6"/>
  <c r="R7" i="1" s="1"/>
  <c r="C18" i="12"/>
  <c r="C23" i="12" s="1"/>
  <c r="C35" i="12" s="1"/>
  <c r="C33" i="12" s="1"/>
  <c r="C14" i="43"/>
  <c r="C17" i="43"/>
  <c r="C26" i="46"/>
  <c r="B2" i="46" s="1"/>
  <c r="D4" i="46" s="1"/>
  <c r="C27" i="46"/>
  <c r="C21" i="44"/>
  <c r="C19" i="15"/>
  <c r="C20" i="15" s="1"/>
  <c r="C26" i="15" s="1"/>
  <c r="C22" i="44"/>
  <c r="C28" i="44" s="1"/>
  <c r="H27" i="6"/>
  <c r="A6" i="64"/>
  <c r="A6" i="51"/>
  <c r="B7" i="63" s="1"/>
  <c r="A20" i="64"/>
  <c r="N5" i="54"/>
  <c r="B43" i="63" s="1"/>
  <c r="A20" i="51"/>
  <c r="B15" i="63" s="1"/>
  <c r="R23" i="6"/>
  <c r="D7" i="66"/>
  <c r="D8" i="66"/>
  <c r="R24" i="6"/>
  <c r="D16" i="6"/>
  <c r="D27" i="6"/>
  <c r="D31" i="6" s="1"/>
  <c r="R19" i="6"/>
  <c r="R21" i="6"/>
  <c r="R8" i="1" s="1"/>
  <c r="R26" i="6"/>
  <c r="I65" i="40"/>
  <c r="H67" i="40"/>
  <c r="H72" i="39"/>
  <c r="I70" i="39"/>
  <c r="N46" i="36"/>
  <c r="E3" i="67"/>
  <c r="B2" i="67"/>
  <c r="C43" i="9" l="1"/>
  <c r="K47" i="9" s="1"/>
  <c r="A14" i="55" s="1"/>
  <c r="B65" i="63" s="1"/>
  <c r="C18" i="43"/>
  <c r="C19" i="43" s="1"/>
  <c r="C25" i="43" s="1"/>
  <c r="C24" i="43" s="1"/>
  <c r="B3" i="46"/>
  <c r="B4" i="46"/>
  <c r="R27" i="6"/>
  <c r="R6" i="1"/>
  <c r="R16" i="1" s="1"/>
  <c r="I5" i="6"/>
  <c r="I6" i="6"/>
  <c r="C13" i="39" s="1"/>
  <c r="O46" i="36"/>
  <c r="J7" i="36" s="1"/>
  <c r="F7" i="36"/>
  <c r="H7" i="36"/>
  <c r="J65" i="40"/>
  <c r="I67" i="40"/>
  <c r="J70" i="39"/>
  <c r="I72" i="39"/>
  <c r="B3" i="67"/>
  <c r="B4" i="67"/>
  <c r="C110" i="9" l="1"/>
  <c r="C112" i="9"/>
  <c r="H13" i="39"/>
  <c r="J13" i="39"/>
  <c r="F13" i="39"/>
  <c r="K70" i="39"/>
  <c r="J72" i="39"/>
  <c r="U7" i="36"/>
  <c r="AB7" i="36"/>
  <c r="T36" i="36" s="1"/>
  <c r="G36" i="36" s="1"/>
  <c r="AC7" i="36"/>
  <c r="V36" i="36" s="1"/>
  <c r="I36" i="36" s="1"/>
  <c r="W7" i="36"/>
  <c r="J67" i="40"/>
  <c r="K65" i="40"/>
  <c r="S7" i="36"/>
  <c r="AA7" i="36"/>
  <c r="R36" i="36" s="1"/>
  <c r="AC13" i="39" l="1"/>
  <c r="W13" i="39"/>
  <c r="S13" i="39"/>
  <c r="AA13" i="39"/>
  <c r="AB13" i="39"/>
  <c r="U13" i="39"/>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D19" i="9"/>
  <c r="B3" i="39" l="1"/>
  <c r="L44" i="9"/>
  <c r="B4" i="39"/>
  <c r="F21" i="43"/>
  <c r="F26" i="12"/>
  <c r="F26" i="44"/>
  <c r="F24" i="15"/>
  <c r="D20" i="9"/>
  <c r="D21"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C19" i="9"/>
  <c r="L43" i="9" l="1"/>
  <c r="D22" i="9"/>
  <c r="G19" i="9"/>
  <c r="B3" i="12"/>
  <c r="C33" i="15"/>
  <c r="C31" i="15" s="1"/>
  <c r="J59" i="15"/>
  <c r="J60" i="15" s="1"/>
  <c r="Q49" i="15" s="1"/>
  <c r="C38" i="44"/>
  <c r="J19" i="15"/>
  <c r="J17" i="15" s="1"/>
  <c r="C13" i="15"/>
  <c r="Q71" i="15" s="1"/>
  <c r="C35" i="44"/>
  <c r="C33" i="44" s="1"/>
  <c r="J21" i="44"/>
  <c r="J19" i="44" s="1"/>
  <c r="C36" i="15"/>
  <c r="J14" i="15"/>
  <c r="J13" i="15" s="1"/>
  <c r="J23" i="15" s="1"/>
  <c r="C56" i="15"/>
  <c r="C60" i="15" s="1"/>
  <c r="C58" i="15" s="1"/>
  <c r="J16" i="44"/>
  <c r="J24" i="44" s="1"/>
  <c r="Q51" i="44"/>
  <c r="B4" i="43"/>
  <c r="B4" i="12"/>
  <c r="B3" i="43"/>
  <c r="B5" i="12"/>
  <c r="C37" i="15"/>
  <c r="Q72" i="44"/>
  <c r="C39" i="44"/>
  <c r="C43" i="44"/>
  <c r="C21" i="9"/>
  <c r="C20" i="9"/>
  <c r="G20" i="9" l="1"/>
  <c r="G21" i="9"/>
  <c r="C32" i="9"/>
  <c r="N43" i="9"/>
  <c r="G22" i="9"/>
  <c r="L46" i="15"/>
  <c r="J22" i="15"/>
  <c r="J16" i="15" s="1"/>
  <c r="J25" i="15" s="1"/>
  <c r="J15" i="44"/>
  <c r="J25" i="44" s="1"/>
  <c r="C63" i="15"/>
  <c r="J35" i="15"/>
  <c r="C55" i="15"/>
  <c r="C64" i="15" s="1"/>
  <c r="C32" i="44"/>
  <c r="C42" i="44" s="1"/>
  <c r="C44" i="44" s="1"/>
  <c r="C45" i="44" s="1"/>
  <c r="C30" i="15"/>
  <c r="C39" i="15" s="1"/>
  <c r="Q70" i="15" s="1"/>
  <c r="Q69" i="15" s="1"/>
  <c r="J18" i="44"/>
  <c r="J27" i="44" s="1"/>
  <c r="L51" i="15"/>
  <c r="O43" i="9" l="1"/>
  <c r="C42" i="9"/>
  <c r="C33" i="9"/>
  <c r="O38" i="9"/>
  <c r="C34" i="9"/>
  <c r="C35" i="9"/>
  <c r="F42" i="9" s="1"/>
  <c r="Q71" i="44"/>
  <c r="Q70" i="44" s="1"/>
  <c r="C40" i="15"/>
  <c r="Q57" i="15" s="1"/>
  <c r="C57" i="15"/>
  <c r="C66" i="15" s="1"/>
  <c r="C67" i="15" s="1"/>
  <c r="C70" i="15" s="1"/>
  <c r="J39" i="15"/>
  <c r="J40" i="15" s="1"/>
  <c r="L57" i="15"/>
  <c r="L60" i="15" s="1"/>
  <c r="Q67" i="15" s="1"/>
  <c r="Q68" i="15"/>
  <c r="B2" i="44"/>
  <c r="L52" i="44"/>
  <c r="K26" i="9" l="1"/>
  <c r="K25" i="9"/>
  <c r="C44" i="9"/>
  <c r="D14" i="66"/>
  <c r="N68" i="9"/>
  <c r="R5" i="54"/>
  <c r="B48" i="63" s="1"/>
  <c r="D63" i="9"/>
  <c r="E42" i="9"/>
  <c r="P5" i="54" s="1"/>
  <c r="B46" i="63" s="1"/>
  <c r="M38" i="9"/>
  <c r="K27" i="9" s="1"/>
  <c r="D42" i="9"/>
  <c r="Q5" i="54" s="1"/>
  <c r="B47" i="63" s="1"/>
  <c r="N38" i="9"/>
  <c r="K28" i="9" s="1"/>
  <c r="Q48" i="15"/>
  <c r="Q54" i="15" s="1"/>
  <c r="C43" i="15"/>
  <c r="C46" i="15"/>
  <c r="J42" i="15"/>
  <c r="J43" i="15" s="1"/>
  <c r="Q66" i="15"/>
  <c r="Q76" i="15" s="1"/>
  <c r="B2" i="15"/>
  <c r="B3" i="15" s="1"/>
  <c r="Q58" i="15"/>
  <c r="Q63" i="15" s="1"/>
  <c r="Q69" i="44"/>
  <c r="L58" i="44"/>
  <c r="L61" i="44" s="1"/>
  <c r="B3" i="44"/>
  <c r="B5" i="44"/>
  <c r="B4" i="44"/>
  <c r="B5" i="66" l="1"/>
  <c r="F14" i="66"/>
  <c r="E14" i="66"/>
  <c r="D73" i="9"/>
  <c r="N73" i="9" s="1"/>
  <c r="C96" i="9"/>
  <c r="C91" i="9" s="1"/>
  <c r="C103" i="9"/>
  <c r="C90" i="9"/>
  <c r="C111" i="9"/>
  <c r="C104" i="9" s="1"/>
  <c r="C82" i="9"/>
  <c r="C81" i="9" s="1"/>
  <c r="C85" i="9" s="1"/>
  <c r="C86" i="9" s="1"/>
  <c r="D72" i="9" s="1"/>
  <c r="D70" i="9"/>
  <c r="D71" i="9"/>
  <c r="D66" i="9" s="1"/>
  <c r="N72" i="9" s="1"/>
  <c r="G14" i="66"/>
  <c r="B6" i="66" s="1"/>
  <c r="O39" i="9"/>
  <c r="F44" i="9"/>
  <c r="N69" i="9"/>
  <c r="D44" i="9"/>
  <c r="E44" i="9"/>
  <c r="Q59" i="44"/>
  <c r="Q64" i="44" s="1"/>
  <c r="Q68" i="44"/>
  <c r="Q77" i="44" s="1"/>
  <c r="B2" i="35"/>
  <c r="B3" i="35" s="1"/>
  <c r="C97" i="9" l="1"/>
  <c r="D6" i="66"/>
  <c r="C6" i="66"/>
  <c r="C113" i="9"/>
  <c r="M84" i="9"/>
  <c r="N84" i="9" s="1"/>
  <c r="M87" i="9"/>
  <c r="N87" i="9" s="1"/>
  <c r="M83" i="9"/>
  <c r="N83" i="9" s="1"/>
  <c r="M86" i="9"/>
  <c r="N86" i="9" s="1"/>
  <c r="M88" i="9"/>
  <c r="N88" i="9" s="1"/>
  <c r="M85" i="9"/>
  <c r="N85" i="9" s="1"/>
  <c r="R6" i="54"/>
  <c r="B50" i="63" s="1"/>
  <c r="K29" i="9"/>
  <c r="K30" i="9" s="1"/>
  <c r="C98" i="9"/>
  <c r="E98" i="9" s="1"/>
  <c r="E99" i="9" s="1"/>
  <c r="D5" i="66"/>
  <c r="C5" i="66"/>
  <c r="C99" i="9" l="1"/>
  <c r="N89" i="9"/>
  <c r="O89" i="9" s="1"/>
  <c r="C114" i="9"/>
  <c r="E114" i="9" s="1"/>
  <c r="E115" i="9" s="1"/>
  <c r="C115" i="9" l="1"/>
  <c r="D76" i="9" s="1"/>
  <c r="D74" i="9" s="1"/>
  <c r="N74" i="9" s="1"/>
  <c r="O77" i="9" s="1"/>
  <c r="O78" i="9" s="1"/>
  <c r="Q77" i="9" l="1"/>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<sst xmlns="http://schemas.openxmlformats.org/spreadsheetml/2006/main" count="7467" uniqueCount="3261">
  <si>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</si>
  <si>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</si>
  <si>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</si>
  <si>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</si>
  <si>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</si>
  <si>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</si>
  <si>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</si>
  <si>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</si>
  <si>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</si>
  <si>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</si>
  <si>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</si>
  <si>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</si>
  <si>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</si>
  <si>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</si>
  <si>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</si>
  <si>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</si>
  <si>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</si>
  <si>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</si>
  <si>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</si>
  <si>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</si>
  <si>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</si>
  <si>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</si>
  <si>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</si>
  <si>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</si>
  <si>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</si>
  <si>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</si>
  <si>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</si>
  <si>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</si>
  <si>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</si>
  <si>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</si>
  <si>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</si>
  <si>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</si>
  <si>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</si>
  <si>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</si>
  <si>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</si>
  <si>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</si>
  <si>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</si>
  <si>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</si>
  <si>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</si>
  <si>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</si>
  <si>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</si>
  <si>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</si>
  <si>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</si>
  <si>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</si>
  <si>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</si>
  <si>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</si>
  <si>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</si>
  <si>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</si>
  <si>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</si>
  <si>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</si>
  <si>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</si>
  <si>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</si>
  <si>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</si>
  <si>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</si>
  <si>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</si>
  <si>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</si>
  <si>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</si>
  <si>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</si>
  <si>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</si>
  <si>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</si>
  <si>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</si>
  <si>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</si>
  <si>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</si>
  <si>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</si>
  <si>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</si>
  <si>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</si>
  <si>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</si>
  <si>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</si>
  <si>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</si>
  <si>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</si>
  <si>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</si>
  <si>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</si>
  <si>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</si>
  <si>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</si>
  <si>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</si>
  <si>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</si>
  <si>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</si>
  <si>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</si>
  <si>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</si>
  <si>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</si>
  <si>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</si>
  <si>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</si>
  <si>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</si>
  <si>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</si>
  <si>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</si>
  <si>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</si>
  <si>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</si>
  <si>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</si>
  <si>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</si>
  <si>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</si>
  <si>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</si>
  <si>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</si>
  <si>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</si>
  <si>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</si>
  <si>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</si>
  <si>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</si>
  <si>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</si>
  <si>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</si>
  <si>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</si>
  <si>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</si>
  <si>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</si>
  <si>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</si>
  <si>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</si>
  <si>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</si>
  <si>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</si>
  <si>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</si>
  <si>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</si>
  <si>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</si>
  <si>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</si>
  <si>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</si>
  <si>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</si>
  <si>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</si>
  <si>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</si>
  <si>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</si>
  <si>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</si>
  <si>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</si>
  <si>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</si>
  <si>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</si>
  <si>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</si>
  <si>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</si>
  <si>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</si>
  <si>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</si>
  <si>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</si>
  <si>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</si>
  <si>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</si>
  <si>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</si>
  <si>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</si>
  <si>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</si>
  <si>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</si>
  <si>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</si>
  <si>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</si>
  <si>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</si>
  <si>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</si>
  <si>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</si>
  <si>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</si>
  <si>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</si>
  <si>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</si>
  <si>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</si>
  <si>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</si>
  <si>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</si>
  <si>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</si>
  <si>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</si>
  <si>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</si>
  <si>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</si>
  <si>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</si>
  <si>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</si>
  <si>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</si>
  <si>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</si>
  <si>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</si>
  <si>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</si>
  <si>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</si>
  <si>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</si>
  <si>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</si>
  <si>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</si>
  <si>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</si>
  <si>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</si>
  <si>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</si>
  <si>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</si>
  <si>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</si>
  <si>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</si>
  <si>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</si>
  <si>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</si>
  <si>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</si>
  <si>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</si>
  <si>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</si>
  <si>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</si>
  <si>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</si>
  <si>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</si>
  <si>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</si>
  <si>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</si>
  <si>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</si>
  <si>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</si>
  <si>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</si>
  <si>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</si>
  <si>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</si>
  <si>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</si>
  <si>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</si>
  <si>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</si>
  <si>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</si>
  <si>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</si>
  <si>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</si>
  <si>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</si>
  <si>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</si>
  <si>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</si>
  <si>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</si>
  <si>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</si>
  <si>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</si>
  <si>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</si>
  <si>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</si>
  <si>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</si>
  <si>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</si>
  <si>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</si>
  <si>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</si>
  <si>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</si>
  <si>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</si>
  <si>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</si>
  <si>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</si>
  <si>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</si>
  <si>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</si>
  <si>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</si>
  <si>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</si>
  <si>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</si>
  <si>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</si>
  <si>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</si>
  <si>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</si>
  <si>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</si>
  <si>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</si>
  <si>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</si>
  <si>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</si>
  <si>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</si>
  <si>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</si>
  <si>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</si>
  <si>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</si>
  <si>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</si>
  <si>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</si>
  <si>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</si>
  <si>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</si>
  <si>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</si>
  <si>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</si>
  <si>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</si>
  <si>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</si>
  <si>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</si>
  <si>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</si>
  <si>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</si>
  <si>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</si>
  <si>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</si>
  <si>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</si>
  <si>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</si>
  <si>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</si>
  <si>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</si>
  <si>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</si>
  <si>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</si>
  <si>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</si>
  <si>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</si>
  <si>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</si>
  <si>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</si>
  <si>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</si>
  <si>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</si>
  <si>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</si>
  <si>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</si>
  <si>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</si>
  <si>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</si>
  <si>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</si>
  <si>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</si>
  <si>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</si>
  <si>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</si>
  <si>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</si>
  <si>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</si>
  <si>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</si>
  <si>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</si>
  <si>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</si>
  <si>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</si>
  <si>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</si>
  <si>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</si>
  <si>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</si>
  <si>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</si>
  <si>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</si>
  <si>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</si>
  <si>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</si>
  <si>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</si>
  <si>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</si>
  <si>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</si>
  <si>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</si>
  <si>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</si>
  <si>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</si>
  <si>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</si>
  <si>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</si>
  <si>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</si>
  <si>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</si>
  <si>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</si>
  <si>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</si>
  <si>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</si>
  <si>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</si>
  <si>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</si>
  <si>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</si>
  <si>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</si>
  <si>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</si>
  <si>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</si>
  <si>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</si>
  <si>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</si>
  <si>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</si>
  <si>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</si>
  <si>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</si>
  <si>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</si>
  <si>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</si>
  <si>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</si>
  <si>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</si>
  <si>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</si>
  <si>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</si>
  <si>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</si>
  <si>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</si>
  <si>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</si>
  <si>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</si>
  <si>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</si>
  <si>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</si>
  <si>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</si>
  <si>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</si>
  <si>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</si>
  <si>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</si>
  <si>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</si>
  <si>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</si>
  <si>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</si>
  <si>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</si>
  <si>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</si>
  <si>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</si>
  <si>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</si>
  <si>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</si>
  <si>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</si>
  <si>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</si>
  <si>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</si>
  <si>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</si>
  <si>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</si>
  <si>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</si>
  <si>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</si>
  <si>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</si>
  <si>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</si>
  <si>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</si>
  <si>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</si>
  <si>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</si>
  <si>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</si>
  <si>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</si>
  <si>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</si>
  <si>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</si>
  <si>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</si>
  <si>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</si>
  <si>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</si>
  <si>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</si>
  <si>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</si>
  <si>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</si>
  <si>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</si>
  <si>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</si>
  <si>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</si>
  <si>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</si>
  <si>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</si>
  <si>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</si>
  <si>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</si>
  <si>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</si>
  <si>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</si>
  <si>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</si>
  <si>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</si>
  <si>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</si>
  <si>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</si>
  <si>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</si>
  <si>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</si>
  <si>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</si>
  <si>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</si>
  <si>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</si>
  <si>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</si>
  <si>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</si>
  <si>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</si>
  <si>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</si>
  <si>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</si>
  <si>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</si>
  <si>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</si>
  <si>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</si>
  <si>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</si>
  <si>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</si>
  <si>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</si>
  <si>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</si>
  <si>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</si>
  <si>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</si>
  <si>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</si>
  <si>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</si>
  <si>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</si>
  <si>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</si>
  <si>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</si>
  <si>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</si>
  <si>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</si>
  <si>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</si>
  <si>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</si>
  <si>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</si>
  <si>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</si>
  <si>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</si>
  <si>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</si>
  <si>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</si>
  <si>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</si>
  <si>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</si>
  <si>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</si>
  <si>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</si>
  <si>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</si>
  <si>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</si>
  <si>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</si>
  <si>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</si>
  <si>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</si>
  <si>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</si>
  <si>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</si>
  <si>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</si>
  <si>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</si>
  <si>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</si>
  <si>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</si>
  <si>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</si>
  <si>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</si>
  <si>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</si>
  <si>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</si>
  <si>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</si>
  <si>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</si>
  <si>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</si>
  <si>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</si>
  <si>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</si>
  <si>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</si>
  <si>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</si>
  <si>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</si>
  <si>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</si>
  <si>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</si>
  <si>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</si>
  <si>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</si>
  <si>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</si>
  <si>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</si>
  <si>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</si>
  <si>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</si>
  <si>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</si>
  <si>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</si>
  <si>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</si>
  <si>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</si>
  <si>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</si>
  <si>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</si>
  <si>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</si>
  <si>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</si>
  <si>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</si>
  <si>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</si>
  <si>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</si>
  <si>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</si>
  <si>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</si>
  <si>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</si>
  <si>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</si>
  <si>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</si>
  <si>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</si>
  <si>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</si>
  <si>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</si>
  <si>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</si>
  <si>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</si>
  <si>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</si>
  <si>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</si>
  <si>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</si>
  <si>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</si>
  <si>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</si>
  <si>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</si>
  <si>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</si>
  <si>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</si>
  <si>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</si>
  <si>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</si>
  <si>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</si>
  <si>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</si>
  <si>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</si>
  <si>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</si>
  <si>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</si>
  <si>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</si>
  <si>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</si>
  <si>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</si>
  <si>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</si>
  <si>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</si>
  <si>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</si>
  <si>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</si>
  <si>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</si>
  <si>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</si>
  <si>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</si>
  <si>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</si>
  <si>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</si>
  <si>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</si>
  <si>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</si>
  <si>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</si>
  <si>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</si>
  <si>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</si>
  <si>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</si>
  <si>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</si>
  <si>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</si>
  <si>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</si>
  <si>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</si>
  <si>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</si>
  <si>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</si>
  <si>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</si>
  <si>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</si>
  <si>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</si>
  <si>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</si>
  <si>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</si>
  <si>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</si>
  <si>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</si>
  <si>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</si>
  <si>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</si>
  <si>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</si>
  <si>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</si>
  <si>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</si>
  <si>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</si>
  <si>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</si>
  <si>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</si>
  <si>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</si>
  <si>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</si>
  <si>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</si>
  <si>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</si>
  <si>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</si>
  <si>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</si>
  <si>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</si>
  <si>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</si>
  <si>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</si>
  <si>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</si>
  <si>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</si>
  <si>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</si>
  <si>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</si>
  <si>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</si>
  <si>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</si>
  <si>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</si>
  <si>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</si>
  <si>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</si>
  <si>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</si>
  <si>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</si>
  <si>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</si>
  <si>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</si>
  <si>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</si>
  <si>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</si>
  <si>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</si>
  <si>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</si>
  <si>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</si>
  <si>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</si>
  <si>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</si>
  <si>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</si>
  <si>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</si>
  <si>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</si>
  <si>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</si>
  <si>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</si>
  <si>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</si>
  <si>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</si>
  <si>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</si>
  <si>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</si>
  <si>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</si>
  <si>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</si>
  <si>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</si>
  <si>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</si>
  <si>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</si>
  <si>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</si>
  <si>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</si>
  <si>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</si>
  <si>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</si>
  <si>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</si>
  <si>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</si>
  <si>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</si>
  <si>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</si>
  <si>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</si>
  <si>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</si>
  <si>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</si>
  <si>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</si>
  <si>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</si>
  <si>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</si>
  <si>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</si>
  <si>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</si>
  <si>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</si>
  <si>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</si>
  <si>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</si>
  <si>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</si>
  <si>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</si>
  <si>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</si>
  <si>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</si>
  <si>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</si>
  <si>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</si>
  <si>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</si>
  <si>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</si>
  <si>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</si>
  <si>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</si>
  <si>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</si>
  <si>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</si>
  <si>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</si>
  <si>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</si>
  <si>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</si>
  <si>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</si>
  <si>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</si>
  <si>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</si>
  <si>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</si>
  <si>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</si>
  <si>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</si>
  <si>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</si>
  <si>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</si>
  <si>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</si>
  <si>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</si>
  <si>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</si>
  <si>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</si>
  <si>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</si>
  <si>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</si>
  <si>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</si>
  <si>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</si>
  <si>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</si>
  <si>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</si>
  <si>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</si>
  <si>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</si>
  <si>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</si>
  <si>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</si>
  <si>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</si>
  <si>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</si>
  <si>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</si>
  <si>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</si>
  <si>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</si>
  <si>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</si>
  <si>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</si>
  <si>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</si>
  <si>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</si>
  <si>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</si>
  <si>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</si>
  <si>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</si>
  <si>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</si>
  <si>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</si>
  <si>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</si>
  <si>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</si>
  <si>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</si>
  <si>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</si>
  <si>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</si>
  <si>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</si>
  <si>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</si>
  <si>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</si>
  <si>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</si>
  <si>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</si>
  <si>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</si>
  <si>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</si>
  <si>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</si>
  <si>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</si>
  <si>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</si>
  <si>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</si>
  <si>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</si>
  <si>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</si>
  <si>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</si>
  <si>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</si>
  <si>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</si>
  <si>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</si>
  <si>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</si>
  <si>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</si>
  <si>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</si>
  <si>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</si>
  <si>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</si>
  <si>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</si>
  <si>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</si>
  <si>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</si>
  <si>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</si>
  <si>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</si>
  <si>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</si>
  <si>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</si>
  <si>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</si>
  <si>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</si>
  <si>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</si>
  <si>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</si>
  <si>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</si>
  <si>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</si>
  <si>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</si>
  <si>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</si>
  <si>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</si>
  <si>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</si>
  <si>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</si>
  <si>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</si>
  <si>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</si>
  <si>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</si>
  <si>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</si>
  <si>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</si>
  <si>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</si>
  <si>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</si>
  <si>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</si>
  <si>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</si>
  <si>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</si>
  <si>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</si>
  <si>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</si>
  <si>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</si>
  <si>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</si>
  <si>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</si>
  <si>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</si>
  <si>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</si>
  <si>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</si>
  <si>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</si>
  <si>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</si>
  <si>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</si>
  <si>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</si>
  <si>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</si>
  <si>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</si>
  <si>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</si>
  <si>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</si>
  <si>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</si>
  <si>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</si>
  <si>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</si>
  <si>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</si>
  <si>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</si>
  <si>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</si>
  <si>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</si>
  <si>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</si>
  <si>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</si>
  <si>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</si>
  <si>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</si>
  <si>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</si>
  <si>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</si>
  <si>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</si>
  <si>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</si>
  <si>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</si>
  <si>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</si>
  <si>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</si>
  <si>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</si>
  <si>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</si>
  <si>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</si>
  <si>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</si>
  <si>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</si>
  <si>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</si>
  <si>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</si>
  <si>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</si>
  <si>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</si>
  <si>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</si>
  <si>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</si>
  <si>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</si>
  <si>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</si>
  <si>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</si>
  <si>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</si>
  <si>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</si>
  <si>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</si>
  <si>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</si>
  <si>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</si>
  <si>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</si>
  <si>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</si>
  <si>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</si>
  <si>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</si>
  <si>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</si>
  <si>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</si>
  <si>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</si>
  <si>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</si>
  <si>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</si>
  <si>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</si>
  <si>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</si>
  <si>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</si>
  <si>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</si>
  <si>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</si>
  <si>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</si>
  <si>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</si>
  <si>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</si>
  <si>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</si>
  <si>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</si>
  <si>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</si>
  <si>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</si>
  <si>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</si>
  <si>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</si>
  <si>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</si>
  <si>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</si>
  <si>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</si>
  <si>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</si>
  <si>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</si>
  <si>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</si>
  <si>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</si>
  <si>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</si>
  <si>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</si>
  <si>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</si>
  <si>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</si>
  <si>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</si>
  <si>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</si>
  <si>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</si>
  <si>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</si>
  <si>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</si>
  <si>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</si>
  <si>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</si>
  <si>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</si>
  <si>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</si>
  <si>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</si>
  <si>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</si>
  <si>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</si>
  <si>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</si>
  <si>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</si>
  <si>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</si>
  <si>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</si>
  <si>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</si>
  <si>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</si>
  <si>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</si>
  <si>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</si>
  <si>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</si>
  <si>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</si>
  <si>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</si>
  <si>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</si>
  <si>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</si>
  <si>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</si>
  <si>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</si>
  <si>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</si>
  <si>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</si>
  <si>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</si>
  <si>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</si>
  <si>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</si>
  <si>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</si>
  <si>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</si>
  <si>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</si>
  <si>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</si>
  <si>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</si>
  <si>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</si>
  <si>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</si>
  <si>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</si>
  <si>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</si>
  <si>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</si>
  <si>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</si>
  <si>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</si>
  <si>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</si>
  <si>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</si>
  <si>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</si>
  <si>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</si>
  <si>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</si>
  <si>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</si>
  <si>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</si>
  <si>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</si>
  <si>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</si>
  <si>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</si>
  <si>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</si>
  <si>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</si>
  <si>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</si>
  <si>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</si>
  <si>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</si>
  <si>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</si>
  <si>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</si>
  <si>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</si>
  <si>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</si>
  <si>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</si>
  <si>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</si>
  <si>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</si>
  <si>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</si>
  <si>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</si>
  <si>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</si>
  <si>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</si>
  <si>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</si>
  <si>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</si>
  <si>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</si>
  <si>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</si>
  <si>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</si>
  <si>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</si>
  <si>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</si>
  <si>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</si>
  <si>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</si>
  <si>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</si>
  <si>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</si>
  <si>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</si>
  <si>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</si>
  <si>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</si>
  <si>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</si>
  <si>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</si>
  <si>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</si>
  <si>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</si>
  <si>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</si>
  <si>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</si>
  <si>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</si>
  <si>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</si>
  <si>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</si>
  <si>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</si>
  <si>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</si>
  <si>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</si>
  <si>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</si>
  <si>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</si>
  <si>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</si>
  <si>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</si>
  <si>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</si>
  <si>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</si>
  <si>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</si>
  <si>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</si>
  <si>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</si>
  <si>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</si>
  <si>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</si>
  <si>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</si>
  <si>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</si>
  <si>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</si>
  <si>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</si>
  <si>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</si>
  <si>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</si>
  <si>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</si>
  <si>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</si>
  <si>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</si>
  <si>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</si>
  <si>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</si>
  <si>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</si>
  <si>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</si>
  <si>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</si>
  <si>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</si>
  <si>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</si>
  <si>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</si>
  <si>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</si>
  <si>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</si>
  <si>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</si>
  <si>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</si>
  <si>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</si>
  <si>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</si>
  <si>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</si>
  <si>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</si>
  <si>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</si>
  <si>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</si>
  <si>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</si>
  <si>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</si>
  <si>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</si>
  <si>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</si>
  <si>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</si>
  <si>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</si>
  <si>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</si>
  <si>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</si>
  <si>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</si>
  <si>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</si>
  <si>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</si>
  <si>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</si>
  <si>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</si>
  <si>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</si>
  <si>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</si>
  <si>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</si>
  <si>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</si>
  <si>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</si>
  <si>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</si>
  <si>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</si>
  <si>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</si>
  <si>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</si>
  <si>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</si>
  <si>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</si>
  <si>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</si>
  <si>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</si>
  <si>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</si>
  <si>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</si>
  <si>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</si>
  <si>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</si>
  <si>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</si>
  <si>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</si>
  <si>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</si>
  <si>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</si>
  <si>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</si>
  <si>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</si>
  <si>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</si>
  <si>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</si>
  <si>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</si>
  <si>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</si>
  <si>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</si>
  <si>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</si>
  <si>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</si>
  <si>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</si>
  <si>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</si>
  <si>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</si>
  <si>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</si>
  <si>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</si>
  <si>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</si>
  <si>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</si>
  <si>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</si>
  <si>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</si>
  <si>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</si>
  <si>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</si>
  <si>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</si>
  <si>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</si>
  <si>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</si>
  <si>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</si>
  <si>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</si>
  <si>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</si>
  <si>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</si>
  <si>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</si>
  <si>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</si>
  <si>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</si>
  <si>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</si>
  <si>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</si>
  <si>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</si>
  <si>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</si>
  <si>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</si>
  <si>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</si>
  <si>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</si>
  <si>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</si>
  <si>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</si>
  <si>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</si>
  <si>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</si>
  <si>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</si>
  <si>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</si>
  <si>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</si>
  <si>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</si>
  <si>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</si>
  <si>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</si>
  <si>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</si>
  <si>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</si>
  <si>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</si>
  <si>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</si>
  <si>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</si>
  <si>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</si>
  <si>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</si>
  <si>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</si>
  <si>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</si>
  <si>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</si>
  <si>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</si>
  <si>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</si>
  <si>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</si>
  <si>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</si>
  <si>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</si>
  <si>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</si>
  <si>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</si>
  <si>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</si>
  <si>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</si>
  <si>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</si>
  <si>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</si>
  <si>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</si>
  <si>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</si>
  <si>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</si>
  <si>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</si>
  <si>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</si>
  <si>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</si>
  <si>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</si>
  <si>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</si>
  <si>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</si>
  <si>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</si>
  <si>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</si>
  <si>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</si>
  <si>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</si>
  <si>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</si>
  <si>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</si>
  <si>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</si>
  <si>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</si>
  <si>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</si>
  <si>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</si>
  <si>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</si>
  <si>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</si>
  <si>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</si>
  <si>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</si>
  <si>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</si>
  <si>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</si>
  <si>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</si>
  <si>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</si>
  <si>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</si>
  <si>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</si>
  <si>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</si>
  <si>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</si>
  <si>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</si>
  <si>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</si>
  <si>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</si>
  <si>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</si>
  <si>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</si>
  <si>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</si>
  <si>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</si>
  <si>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</si>
  <si>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</si>
  <si>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</si>
  <si>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</si>
  <si>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</si>
  <si>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</si>
  <si>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</si>
  <si>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</si>
  <si>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</si>
  <si>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</si>
  <si>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</si>
  <si>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</si>
  <si>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</si>
  <si>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</si>
  <si>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</si>
  <si>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</si>
  <si>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</si>
  <si>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</si>
  <si>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</si>
  <si>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</si>
  <si>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</si>
  <si>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</si>
  <si>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</si>
  <si>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</si>
  <si>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</si>
  <si>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</si>
  <si>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</si>
  <si>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</si>
  <si>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</si>
  <si>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</si>
  <si>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</si>
  <si>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</si>
  <si>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</si>
  <si>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</si>
  <si>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</si>
  <si>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</si>
  <si>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</si>
  <si>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</si>
  <si>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</si>
  <si>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</si>
  <si>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</si>
  <si>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</si>
  <si>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</si>
  <si>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</si>
  <si>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</si>
  <si>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</si>
  <si>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</si>
  <si>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</si>
  <si>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</si>
  <si>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</si>
  <si>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</si>
  <si>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</si>
  <si>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</si>
  <si>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</si>
  <si>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</si>
  <si>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</si>
  <si>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</si>
  <si>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</si>
  <si>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</si>
  <si>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</si>
  <si>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</si>
  <si>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</si>
  <si>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</si>
  <si>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</si>
  <si>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</si>
  <si>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</si>
  <si>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</si>
  <si>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</si>
  <si>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</si>
  <si>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</si>
  <si>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</si>
  <si>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</si>
  <si>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</si>
  <si>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</si>
  <si>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</si>
  <si>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</si>
  <si>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</si>
  <si>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</si>
  <si>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</si>
  <si>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</si>
  <si>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</si>
  <si>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</si>
  <si>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</si>
  <si>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</si>
  <si>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</si>
  <si>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</si>
  <si>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</si>
  <si>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</si>
  <si>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</si>
  <si>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</si>
  <si>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</si>
  <si>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</si>
  <si>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</si>
  <si>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</si>
  <si>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</si>
  <si>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</si>
  <si>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</si>
  <si>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</si>
  <si>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</si>
  <si>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</si>
  <si>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</si>
  <si>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</si>
  <si>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</si>
  <si>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</si>
  <si>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</si>
  <si>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</si>
  <si>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</si>
  <si>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</si>
  <si>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</si>
  <si>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</si>
  <si>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</si>
  <si>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</si>
  <si>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</si>
  <si>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</si>
  <si>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</si>
  <si>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</si>
  <si>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</si>
  <si>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</si>
  <si>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</si>
  <si>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</si>
  <si>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</si>
  <si>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</si>
  <si>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</si>
  <si>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</si>
  <si>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</si>
  <si>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</si>
  <si>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</si>
  <si>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</si>
  <si>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</si>
  <si>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</si>
  <si>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</si>
  <si>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</si>
  <si>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</si>
  <si>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</si>
  <si>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</si>
  <si>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</si>
  <si>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</si>
  <si>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</si>
  <si>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</si>
  <si>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</si>
  <si>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</si>
  <si>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</si>
  <si>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</si>
  <si>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</si>
  <si>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</si>
  <si>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</si>
  <si>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</si>
  <si>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</si>
  <si>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</si>
  <si>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</si>
  <si>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</si>
  <si>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</si>
  <si>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</si>
  <si>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</si>
  <si>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</si>
  <si>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</si>
  <si>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</si>
  <si>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</si>
  <si>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</si>
  <si>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</si>
  <si>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</si>
  <si>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</si>
  <si>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</si>
  <si>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</si>
  <si>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</si>
  <si>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</si>
  <si>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</si>
  <si>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</si>
  <si>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</si>
  <si>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</si>
  <si>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</si>
  <si>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</si>
  <si>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</si>
  <si>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</si>
  <si>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</si>
  <si>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</si>
  <si>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</si>
  <si>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</si>
  <si>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</si>
  <si>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</si>
  <si>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</si>
  <si>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</si>
  <si>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</si>
  <si>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</si>
  <si>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</si>
  <si>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</si>
  <si>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</si>
  <si>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</si>
  <si>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</si>
  <si>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</si>
  <si>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</si>
  <si>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</si>
  <si>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</si>
  <si>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</si>
  <si>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</si>
  <si>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</si>
  <si>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</si>
  <si>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</si>
  <si>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</si>
  <si>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</si>
  <si>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</si>
  <si>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</si>
  <si>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</si>
  <si>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</si>
  <si>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</si>
  <si>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</si>
  <si>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</si>
  <si>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</si>
  <si>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</si>
  <si>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</si>
  <si>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</si>
  <si>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</si>
  <si>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</si>
  <si>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</si>
  <si>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</si>
  <si>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</si>
  <si>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</si>
  <si>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</si>
  <si>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</si>
  <si>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</si>
  <si>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</si>
  <si>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</si>
  <si>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</si>
  <si>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</si>
  <si>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</si>
  <si>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</si>
  <si>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</si>
  <si>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</si>
  <si>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</si>
  <si>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</si>
  <si>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</si>
  <si>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</si>
  <si>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</si>
  <si>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</si>
  <si>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</si>
  <si>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</si>
  <si>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</si>
  <si>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</si>
  <si>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</si>
  <si>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</si>
  <si>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</si>
  <si>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</si>
  <si>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</si>
  <si>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</si>
  <si>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</si>
  <si>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</si>
  <si>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</si>
  <si>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</si>
  <si>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</si>
  <si>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</si>
  <si>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</si>
  <si>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</si>
  <si>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</si>
  <si>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</si>
  <si>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</si>
  <si>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</si>
  <si>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</si>
  <si>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</si>
  <si>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</si>
  <si>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</si>
  <si>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</si>
  <si>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</si>
  <si>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</si>
  <si>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</si>
  <si>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</si>
  <si>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</si>
  <si>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</si>
  <si>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</si>
  <si>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</si>
  <si>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</si>
  <si>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</si>
  <si>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</si>
  <si>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</si>
  <si>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</si>
  <si>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</si>
  <si>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</si>
  <si>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</si>
  <si>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</si>
  <si>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</si>
  <si>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</si>
  <si>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</si>
  <si>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</si>
  <si>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</si>
  <si>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</si>
  <si>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</si>
  <si>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</si>
  <si>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</si>
  <si>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</si>
  <si>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</si>
  <si>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</si>
  <si>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</si>
  <si>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</si>
  <si>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</si>
  <si>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</si>
  <si>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</si>
  <si>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</si>
  <si>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</si>
  <si>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</si>
  <si>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</si>
  <si>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</si>
  <si>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</si>
  <si>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</si>
  <si>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</si>
  <si>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</si>
  <si>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</si>
  <si>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</si>
  <si>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</si>
  <si>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</si>
  <si>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</si>
  <si>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</si>
  <si>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</si>
  <si>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</si>
  <si>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</si>
  <si>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</si>
  <si>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</si>
  <si>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</si>
  <si>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</si>
  <si>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</si>
  <si>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</si>
  <si>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</si>
  <si>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</si>
  <si>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</si>
  <si>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</si>
  <si>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</si>
  <si>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</si>
  <si>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</si>
  <si>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</si>
  <si>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</si>
  <si>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</si>
  <si>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</si>
  <si>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</si>
  <si>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</si>
  <si>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</si>
  <si>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</si>
  <si>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</si>
  <si>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</si>
  <si>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</si>
  <si>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</si>
  <si>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</si>
  <si>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</si>
  <si>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</si>
  <si>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</si>
  <si>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</si>
  <si>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</si>
  <si>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</si>
  <si>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</si>
  <si>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</si>
  <si>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</si>
  <si>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</si>
  <si>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</si>
  <si>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</si>
  <si>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</si>
  <si>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</si>
  <si>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</si>
  <si>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</si>
  <si>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</si>
  <si>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</si>
  <si>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</si>
  <si>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</si>
  <si>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</si>
  <si>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</si>
  <si>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</si>
  <si>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</si>
  <si>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</si>
  <si>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</si>
  <si>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</si>
  <si>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</si>
  <si>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</si>
  <si>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</si>
  <si>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</si>
  <si>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</si>
  <si>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</si>
  <si>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</si>
  <si>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</si>
  <si>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</si>
  <si>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</si>
  <si>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</si>
  <si>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</si>
  <si>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</si>
  <si>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</si>
  <si>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</si>
  <si>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</si>
  <si>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</si>
  <si>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</si>
  <si>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</si>
  <si>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</si>
  <si>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</si>
  <si>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</si>
  <si>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</si>
  <si>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</si>
  <si>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</si>
  <si>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</si>
  <si>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</si>
  <si>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</si>
  <si>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</si>
  <si>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</si>
  <si>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</si>
  <si>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</si>
  <si>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</si>
  <si>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</si>
  <si>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</si>
  <si>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</si>
  <si>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</si>
  <si>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</si>
  <si>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</si>
  <si>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</si>
  <si>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</si>
  <si>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</si>
  <si>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</si>
  <si>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</si>
  <si>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</si>
  <si>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</si>
  <si>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</si>
  <si>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</si>
  <si>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</si>
  <si>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</si>
  <si>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</si>
  <si>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</si>
  <si>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</si>
  <si>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</si>
  <si>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</si>
  <si>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</si>
  <si>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</si>
  <si>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</si>
  <si>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</si>
  <si>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</si>
  <si>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</si>
  <si>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</si>
  <si>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</si>
  <si>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</si>
  <si>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</si>
  <si>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</si>
  <si>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</si>
  <si>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</si>
  <si>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</si>
  <si>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</si>
  <si>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</si>
  <si>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</si>
  <si>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</si>
  <si>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</si>
  <si>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</si>
  <si>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</si>
  <si>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</si>
  <si>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</si>
  <si>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</si>
  <si>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</si>
  <si>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</si>
  <si>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</si>
  <si>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</si>
  <si>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</si>
  <si>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</si>
  <si>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</si>
  <si>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</si>
  <si>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</si>
  <si>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</si>
  <si>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</si>
  <si>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</si>
  <si>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</si>
  <si>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</si>
  <si>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</si>
  <si>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</si>
  <si>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</si>
  <si>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</si>
  <si>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</si>
  <si>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</si>
  <si>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</si>
  <si>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</si>
  <si>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</si>
  <si>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</si>
  <si>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</si>
  <si>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</si>
  <si>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</si>
  <si>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</si>
  <si>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</si>
  <si>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</si>
  <si>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</si>
  <si>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</si>
  <si>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</si>
  <si>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</si>
  <si>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</si>
  <si>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</si>
  <si>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</si>
  <si>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</si>
  <si>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</si>
  <si>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</si>
  <si>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</si>
  <si>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</si>
  <si>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</si>
  <si>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</si>
  <si>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</si>
  <si>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</si>
  <si>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</si>
  <si>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</si>
  <si>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</si>
  <si>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</si>
  <si>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</si>
  <si>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</si>
  <si>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</si>
  <si>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</si>
  <si>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</si>
  <si>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</si>
  <si>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</si>
  <si>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</si>
  <si>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</si>
  <si>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</si>
  <si>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</si>
  <si>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</si>
  <si>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</si>
  <si>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</si>
  <si>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</si>
  <si>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</si>
  <si>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</si>
  <si>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</si>
  <si>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</si>
  <si>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</si>
  <si>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</si>
  <si>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</si>
  <si>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</si>
  <si>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</si>
  <si>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</si>
  <si>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</si>
  <si>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</si>
  <si>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</si>
  <si>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</si>
  <si>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</si>
  <si>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</si>
  <si>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</si>
  <si>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</si>
  <si>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</si>
  <si>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</si>
  <si>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</si>
  <si>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</si>
  <si>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</si>
  <si>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</si>
  <si>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</si>
  <si>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</si>
  <si>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</si>
  <si>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</si>
  <si>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</si>
  <si>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</si>
  <si>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</si>
  <si>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</si>
  <si>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</si>
  <si>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</si>
  <si>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</si>
  <si>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</si>
  <si>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</si>
  <si>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</si>
  <si>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</si>
  <si>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</si>
  <si>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</si>
  <si>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</si>
  <si>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</si>
  <si>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</si>
  <si>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</si>
  <si>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</si>
  <si>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</si>
  <si>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</si>
  <si>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</si>
  <si>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</si>
  <si>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</si>
  <si>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</si>
  <si>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</si>
  <si>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</si>
  <si>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</si>
  <si>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</si>
  <si>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</si>
  <si>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</si>
  <si>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</si>
  <si>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</si>
  <si>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</si>
  <si>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</si>
  <si>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</si>
  <si>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</si>
  <si>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</si>
  <si>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</si>
  <si>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</si>
  <si>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</si>
  <si>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</si>
  <si>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</si>
  <si>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</si>
  <si>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</si>
  <si>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</si>
  <si>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</si>
  <si>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</si>
  <si>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</si>
  <si>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</si>
  <si>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</si>
  <si>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</si>
  <si>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</si>
  <si>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</si>
  <si>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</si>
  <si>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</si>
  <si>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</si>
  <si>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</si>
  <si>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</si>
  <si>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</si>
  <si>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</si>
  <si>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</si>
  <si>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</si>
  <si>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</si>
  <si>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</si>
  <si>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</si>
  <si>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</si>
  <si>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</si>
  <si>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</si>
  <si>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</si>
  <si>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</si>
  <si>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</si>
  <si>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</si>
  <si>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</si>
  <si>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</si>
  <si>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</si>
  <si>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</si>
  <si>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</si>
  <si>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</si>
  <si>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</si>
  <si>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</si>
  <si>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</si>
  <si>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</si>
  <si>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</si>
  <si>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</si>
  <si>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</si>
  <si>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</si>
  <si>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</si>
  <si>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</si>
  <si>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</si>
  <si>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</si>
  <si>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</si>
  <si>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</si>
  <si>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</si>
  <si>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</si>
  <si>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</si>
  <si>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</si>
  <si>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</si>
  <si>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</si>
  <si>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</si>
  <si>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</si>
  <si>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</si>
  <si>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</si>
  <si>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</si>
  <si>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</si>
  <si>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</si>
  <si>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</si>
  <si>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</si>
  <si>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</si>
  <si>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</si>
  <si>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</si>
  <si>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</si>
  <si>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</si>
  <si>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</si>
  <si>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</si>
  <si>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</si>
  <si>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</si>
  <si>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</si>
  <si>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</si>
  <si>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</si>
  <si>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</si>
  <si>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</si>
  <si>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</si>
  <si>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</si>
  <si>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</si>
  <si>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</si>
  <si>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</si>
  <si>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</si>
  <si>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</si>
  <si>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</si>
  <si>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</si>
  <si>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</si>
  <si>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</si>
  <si>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</si>
  <si>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</si>
  <si>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</si>
  <si>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</si>
  <si>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</si>
  <si>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</si>
  <si>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</si>
  <si>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</si>
  <si>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</si>
  <si>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</si>
  <si>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</si>
  <si>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</si>
  <si>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</si>
  <si>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</si>
  <si>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</si>
  <si>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</si>
  <si>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</si>
  <si>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</si>
  <si>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</si>
  <si>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</si>
  <si>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</si>
  <si>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</si>
  <si>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</si>
  <si>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</si>
  <si>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</si>
  <si>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</si>
  <si>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</si>
  <si>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</si>
  <si>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</si>
  <si>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</si>
  <si>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</si>
  <si>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</si>
  <si>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</si>
  <si>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</si>
  <si>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</si>
  <si>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</si>
  <si>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</si>
  <si>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</si>
  <si>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</si>
  <si>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</si>
  <si>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</si>
  <si>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</si>
  <si>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</si>
  <si>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</si>
  <si>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</si>
  <si>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</si>
  <si>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</si>
  <si>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</si>
  <si>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</si>
  <si>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</si>
  <si>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</si>
  <si>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</si>
  <si>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</si>
  <si>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</si>
  <si>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</si>
  <si>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</si>
  <si>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</si>
  <si>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</si>
  <si>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</si>
  <si>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</si>
  <si>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</si>
  <si>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</si>
  <si>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</si>
  <si>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</si>
  <si>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</si>
  <si>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</si>
  <si>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</si>
  <si>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</si>
  <si>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</si>
  <si>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</si>
  <si>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</si>
  <si>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</si>
  <si>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</si>
  <si>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</si>
  <si>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</si>
  <si>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</si>
  <si>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</si>
  <si>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</si>
  <si>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</si>
  <si>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</si>
  <si>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</si>
  <si>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</si>
  <si>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</si>
  <si>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</si>
  <si>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</si>
  <si>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</si>
  <si>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</si>
  <si>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</si>
  <si>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</si>
  <si>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</si>
  <si>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</si>
  <si>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</si>
  <si>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</si>
  <si>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</si>
  <si>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</si>
  <si>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</si>
  <si>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</si>
  <si>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</si>
  <si>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</si>
  <si>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</si>
  <si>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</si>
  <si>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</si>
  <si>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</si>
  <si>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</si>
  <si>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</si>
  <si>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</si>
  <si>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</si>
  <si>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</si>
  <si>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</si>
  <si>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</si>
  <si>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</si>
  <si>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</si>
  <si>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</si>
  <si>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</si>
  <si>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</si>
  <si>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</si>
  <si>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</si>
  <si>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</si>
  <si>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</si>
  <si>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</si>
  <si>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</si>
  <si>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</si>
  <si>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</si>
  <si>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</si>
  <si>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</si>
  <si>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</si>
  <si>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</si>
  <si>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</si>
  <si>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</si>
  <si>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</si>
  <si>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</si>
  <si>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</si>
  <si>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</si>
  <si>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</si>
  <si>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</si>
  <si>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</si>
  <si>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</si>
  <si>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</si>
  <si>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</si>
  <si>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</si>
  <si>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</si>
  <si>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</si>
  <si>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</si>
  <si>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</si>
  <si>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</si>
  <si>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</si>
  <si>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</si>
  <si>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</si>
  <si>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</si>
  <si>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</si>
  <si>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</si>
  <si>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</si>
  <si>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</si>
  <si>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</si>
  <si>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</si>
  <si>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</si>
  <si>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</si>
  <si>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</si>
  <si>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</si>
  <si>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</si>
  <si>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</si>
  <si>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</si>
  <si>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</si>
  <si>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</si>
  <si>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</si>
  <si>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</si>
  <si>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</si>
  <si>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</si>
  <si>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</si>
  <si>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</si>
  <si>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</si>
  <si>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</si>
  <si>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</si>
  <si>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</si>
  <si>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</si>
  <si>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</si>
  <si>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</si>
  <si>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</si>
  <si>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</si>
  <si>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</si>
  <si>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</si>
  <si>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</si>
  <si>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</si>
  <si>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</si>
  <si>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</si>
  <si>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</si>
  <si>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</si>
  <si>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</si>
  <si>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</si>
  <si>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</si>
  <si>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</si>
  <si>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</si>
  <si>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</si>
  <si>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</si>
  <si>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</si>
  <si>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</si>
  <si>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</si>
  <si>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</si>
  <si>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</si>
  <si>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</si>
  <si>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</si>
  <si>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</si>
  <si>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</si>
  <si>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</si>
  <si>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</si>
  <si>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</si>
  <si>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</si>
  <si>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</si>
  <si>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</si>
  <si>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</si>
  <si>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</si>
  <si>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</si>
  <si>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</si>
  <si>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</si>
  <si>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</si>
  <si>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</si>
  <si>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</si>
  <si>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</si>
  <si>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</si>
  <si>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</si>
  <si>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</si>
  <si>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</si>
  <si>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</si>
  <si>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</si>
  <si>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</si>
  <si>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</si>
  <si>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</si>
  <si>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</si>
  <si>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</si>
  <si>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</si>
  <si>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</si>
  <si>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</si>
  <si>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</si>
  <si>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</si>
  <si>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</si>
  <si>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</si>
  <si>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</si>
  <si>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</si>
  <si>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</si>
  <si>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</si>
  <si>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</si>
  <si>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</si>
  <si>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</si>
  <si>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</si>
  <si>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</si>
  <si>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</si>
  <si>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</si>
  <si>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</si>
  <si>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</si>
  <si>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</si>
  <si>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</si>
  <si>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</si>
  <si>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</si>
  <si>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</si>
  <si>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</si>
  <si>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</si>
  <si>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</si>
  <si>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</si>
  <si>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</si>
  <si>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</si>
  <si>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</si>
  <si>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</si>
  <si>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</si>
  <si>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</si>
  <si>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</si>
  <si>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</si>
  <si>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</si>
  <si>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</si>
  <si>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</si>
  <si>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</si>
  <si>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</si>
  <si>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</si>
  <si>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</si>
  <si>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</si>
  <si>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</si>
  <si>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</si>
  <si>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</si>
  <si>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</si>
  <si>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</si>
  <si>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</si>
  <si>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</si>
  <si>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</si>
  <si>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</si>
  <si>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</si>
  <si>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</si>
  <si>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</si>
  <si>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</si>
  <si>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</si>
  <si>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</si>
  <si>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</si>
  <si>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</si>
  <si>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</si>
  <si>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</si>
  <si>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</si>
  <si>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</si>
  <si>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</si>
  <si>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</si>
  <si>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</si>
  <si>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</si>
  <si>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</si>
  <si>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</si>
  <si>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</si>
  <si>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</si>
  <si>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</si>
  <si>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</si>
  <si>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</si>
  <si>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</si>
  <si>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</si>
  <si>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</si>
  <si>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</si>
  <si>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</si>
  <si>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</si>
  <si>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</si>
  <si>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</si>
  <si>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</si>
  <si>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</si>
  <si>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</si>
  <si>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</si>
  <si>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</si>
  <si>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</si>
  <si>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</si>
  <si>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</si>
  <si>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</si>
  <si>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</si>
  <si>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</si>
  <si>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</si>
  <si>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</si>
  <si>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</si>
  <si>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</si>
  <si>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</si>
  <si>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</si>
  <si>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</si>
  <si>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</si>
  <si>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</si>
  <si>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</si>
  <si>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</si>
  <si>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</si>
  <si>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</si>
  <si>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</si>
  <si>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</si>
  <si>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</si>
  <si>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</si>
  <si>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</si>
  <si>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</si>
  <si>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</si>
  <si>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</si>
  <si>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</si>
  <si>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</si>
  <si>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</si>
  <si>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</si>
  <si>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</si>
  <si>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</si>
  <si>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</si>
  <si>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</si>
  <si>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</si>
  <si>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</si>
  <si>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</si>
  <si>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</si>
  <si>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</si>
  <si>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</si>
  <si>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</si>
  <si>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</si>
  <si>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</si>
  <si>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</si>
  <si>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</si>
  <si>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</si>
  <si>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</si>
  <si>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</si>
  <si>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</si>
  <si>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</si>
  <si>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</si>
  <si>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</si>
  <si>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</si>
  <si>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</si>
  <si>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</si>
  <si>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</si>
  <si>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</si>
  <si>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</si>
  <si>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</si>
  <si>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</si>
  <si>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</si>
  <si>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</si>
  <si>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</si>
  <si>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</si>
  <si>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</si>
  <si>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</si>
  <si>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</si>
  <si>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</si>
  <si>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</si>
  <si>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</si>
  <si>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</si>
  <si>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</si>
  <si>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</si>
  <si>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</si>
  <si>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</si>
  <si>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</si>
  <si>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</si>
  <si>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</si>
  <si>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</si>
  <si>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</si>
  <si>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</si>
  <si>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</si>
  <si>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</si>
  <si>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</si>
  <si>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</si>
  <si>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</si>
  <si>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</si>
  <si>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</si>
  <si>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</si>
  <si>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</si>
  <si>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</si>
  <si>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</si>
  <si>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</si>
  <si>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</si>
  <si>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</si>
  <si>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</si>
  <si>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</si>
  <si>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</si>
  <si>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</si>
  <si>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</si>
  <si>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</si>
  <si>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</si>
  <si>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</si>
  <si>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</si>
  <si>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</si>
  <si>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</si>
  <si>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</si>
  <si>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</si>
  <si>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</si>
  <si>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</si>
  <si>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</si>
  <si>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</si>
  <si>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</si>
  <si>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</si>
  <si>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</si>
  <si>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</si>
  <si>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</si>
  <si>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</si>
  <si>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</si>
  <si>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</si>
  <si>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</si>
  <si>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</si>
  <si>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</si>
  <si>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</si>
  <si>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</si>
  <si>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</si>
  <si>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</si>
  <si>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</si>
  <si>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</si>
  <si>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</si>
  <si>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</si>
  <si>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</si>
  <si>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</si>
  <si>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</si>
  <si>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</si>
  <si>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</si>
  <si>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</si>
  <si>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</si>
  <si>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</si>
  <si>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</si>
  <si>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</si>
  <si>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</si>
  <si>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</si>
  <si>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</si>
  <si>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</si>
  <si>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</si>
  <si>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</si>
  <si>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</si>
  <si>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</si>
  <si>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</si>
  <si>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</si>
  <si>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</si>
  <si>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</si>
  <si>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</si>
  <si>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</si>
  <si>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</si>
  <si>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</si>
  <si>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</si>
  <si>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</si>
  <si>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</si>
  <si>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</si>
  <si>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</si>
  <si>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</si>
  <si>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</si>
  <si>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</si>
  <si>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</si>
  <si>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</si>
  <si>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</si>
  <si>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</si>
  <si>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</si>
  <si>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</si>
  <si>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</si>
  <si>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</si>
  <si>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</si>
  <si>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</si>
  <si>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</si>
  <si>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</si>
  <si>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</si>
  <si>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</si>
  <si>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</si>
  <si>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</si>
  <si>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</si>
  <si>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</si>
  <si>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</si>
  <si>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</si>
  <si>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</si>
  <si>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</si>
  <si>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</si>
  <si>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</si>
  <si>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</si>
  <si>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</si>
  <si>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</si>
  <si>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</si>
  <si>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</si>
  <si>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</si>
  <si>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</si>
  <si>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</si>
  <si>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</si>
  <si>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</si>
  <si>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</si>
  <si>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</si>
  <si>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</si>
  <si>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</si>
  <si>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</si>
  <si>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</si>
  <si>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</si>
  <si>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</si>
  <si>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</si>
  <si>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</si>
  <si>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</si>
  <si>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</si>
  <si>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</si>
  <si>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</si>
  <si>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</si>
  <si>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</si>
  <si>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</si>
  <si>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</si>
  <si>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</si>
  <si>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</si>
  <si>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</si>
  <si>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</si>
  <si>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</si>
  <si>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</si>
  <si>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</si>
  <si>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</si>
  <si>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</si>
  <si>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</si>
  <si>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</si>
  <si>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</si>
  <si>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</si>
  <si>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</si>
  <si>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</si>
  <si>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</si>
  <si>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</si>
  <si>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</si>
  <si>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</si>
  <si>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</si>
  <si>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</si>
  <si>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</si>
  <si>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</si>
  <si>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</si>
  <si>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</si>
  <si>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</si>
  <si>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</si>
  <si>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</si>
  <si>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</si>
  <si>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</si>
  <si>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</si>
  <si>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</si>
  <si>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</si>
  <si>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</si>
  <si>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</si>
  <si>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</si>
  <si>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</si>
  <si>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</si>
  <si>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</si>
  <si>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</si>
  <si>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</si>
  <si>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</si>
  <si>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</si>
  <si>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</si>
  <si>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</si>
  <si>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</si>
  <si>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</si>
  <si>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</si>
  <si>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</si>
  <si>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</si>
  <si>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</si>
  <si>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</si>
  <si>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</si>
  <si>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</si>
  <si>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</si>
  <si>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</si>
  <si>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</si>
  <si>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</si>
  <si>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</si>
  <si>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</si>
  <si>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</si>
  <si>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</si>
  <si>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</si>
  <si>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</si>
  <si>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</si>
  <si>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</si>
  <si>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</si>
  <si>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</si>
  <si>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</si>
  <si>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</si>
  <si>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</si>
  <si>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</si>
  <si>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</si>
  <si>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</si>
  <si>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</si>
  <si>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</si>
  <si>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</si>
  <si>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</si>
  <si>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</si>
  <si>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</si>
  <si>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</si>
  <si>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</si>
  <si>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</si>
  <si>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</si>
  <si>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</si>
  <si>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</si>
  <si>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</si>
  <si>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</si>
  <si>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</si>
  <si>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</si>
  <si>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</si>
  <si>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</si>
  <si>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</si>
  <si>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</si>
  <si>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</si>
  <si>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</si>
  <si>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</si>
  <si>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</si>
  <si>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</si>
  <si>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</si>
  <si>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</si>
  <si>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</si>
  <si>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</si>
  <si>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</si>
  <si>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</si>
  <si>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</si>
  <si>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</si>
  <si>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</si>
  <si>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</si>
  <si>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</si>
  <si>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</si>
  <si>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</si>
  <si>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</si>
  <si>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</si>
  <si>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</si>
  <si>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</si>
  <si>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</si>
  <si>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</si>
  <si>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</si>
  <si>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</si>
  <si>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</si>
  <si>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</si>
  <si>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</si>
  <si>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</si>
  <si>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</si>
  <si>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</si>
  <si>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</si>
  <si>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</si>
  <si>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</si>
  <si>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</si>
  <si>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</si>
  <si>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</si>
  <si>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</si>
  <si>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</si>
  <si>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</si>
  <si>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</si>
  <si>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</si>
  <si>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</si>
  <si>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</si>
  <si>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</si>
  <si>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</si>
  <si>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</si>
  <si>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</si>
  <si>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</si>
  <si>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</si>
  <si>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</si>
  <si>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</si>
  <si>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</si>
  <si>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</si>
  <si>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</si>
  <si>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</si>
  <si>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</si>
  <si>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</si>
  <si>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</si>
  <si>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</si>
  <si>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</si>
  <si>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</si>
  <si>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</si>
  <si>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</si>
  <si>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</si>
  <si>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</si>
  <si>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</si>
  <si>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</si>
  <si>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</si>
  <si>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</si>
  <si>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</si>
  <si>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</si>
  <si>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</si>
  <si>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</si>
  <si>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</si>
  <si>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</si>
  <si>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</si>
  <si>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</si>
  <si>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</si>
  <si>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</si>
  <si>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</si>
  <si>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</si>
  <si>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</si>
  <si>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</si>
  <si>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</si>
  <si>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</si>
  <si>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</si>
  <si>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</si>
  <si>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</si>
  <si>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</si>
  <si>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</si>
  <si>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</si>
  <si>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</si>
  <si>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</si>
  <si>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</si>
  <si>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</si>
  <si>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</si>
  <si>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</si>
  <si>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</si>
  <si>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</si>
  <si>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</si>
  <si>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</si>
  <si>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</si>
  <si>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</si>
  <si>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</si>
  <si>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</si>
  <si>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</si>
  <si>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</si>
  <si>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</si>
  <si>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</si>
  <si>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</si>
  <si>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</si>
  <si>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</si>
  <si>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</si>
  <si>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</si>
  <si>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</si>
  <si>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</si>
  <si>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</si>
  <si>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</si>
  <si>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</si>
  <si>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</si>
  <si>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</si>
  <si>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</si>
  <si>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</si>
  <si>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</si>
  <si>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</si>
  <si>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</si>
  <si>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</si>
  <si>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</si>
  <si>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</si>
  <si>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</si>
  <si>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</si>
  <si>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</si>
  <si>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</si>
  <si>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</si>
  <si>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</si>
  <si>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</si>
  <si>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</si>
  <si>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</si>
  <si>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</si>
  <si>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</si>
  <si>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</si>
  <si>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</si>
  <si>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</si>
  <si>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</si>
  <si>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</si>
  <si>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</si>
  <si>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</si>
  <si>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</si>
  <si>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</si>
  <si>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</si>
  <si>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</si>
  <si>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</si>
  <si>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</si>
  <si>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</si>
  <si>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</si>
  <si>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</si>
  <si>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</si>
  <si>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</si>
  <si>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</si>
  <si>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</si>
  <si>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</si>
  <si>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</si>
  <si>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</si>
  <si>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</si>
  <si>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</si>
  <si>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</si>
  <si>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</si>
  <si>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</si>
  <si>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</si>
  <si>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</si>
  <si>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</si>
  <si>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</si>
  <si>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</si>
  <si>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</si>
  <si>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</si>
  <si>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</si>
  <si>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</si>
  <si>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</si>
  <si>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</si>
  <si>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</si>
  <si>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</si>
  <si>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</si>
  <si>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</si>
  <si>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</si>
  <si>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</si>
  <si>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</si>
  <si>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</si>
  <si>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</si>
  <si>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</si>
  <si>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</si>
  <si>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</si>
  <si>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</si>
  <si>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</si>
  <si>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</si>
  <si>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</si>
  <si>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</si>
  <si>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</si>
  <si>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</si>
  <si>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</si>
  <si>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</si>
  <si>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</si>
  <si>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</si>
  <si>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</si>
  <si>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</si>
  <si>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</si>
  <si>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</si>
  <si>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</si>
  <si>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</si>
  <si>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</si>
  <si>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</si>
  <si>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</si>
  <si>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</si>
  <si>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</si>
  <si>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</si>
  <si>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</si>
  <si>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</si>
  <si>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</si>
  <si>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</si>
  <si>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</si>
  <si>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</si>
  <si>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</si>
  <si>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</si>
  <si>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</si>
  <si>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</si>
  <si>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</si>
  <si>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</si>
  <si>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</si>
  <si>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</si>
  <si>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</si>
  <si>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</si>
  <si>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</si>
  <si>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</si>
  <si>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</si>
  <si>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</si>
  <si>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</si>
  <si>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</si>
  <si>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</si>
  <si>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</si>
  <si>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</si>
  <si>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</si>
  <si>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</si>
  <si>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</si>
  <si>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</si>
  <si>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</si>
  <si>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</si>
  <si>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</si>
  <si>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</si>
  <si>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</si>
  <si>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</si>
  <si>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</si>
  <si>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</si>
  <si>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</si>
  <si>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</si>
  <si>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</si>
  <si>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</si>
  <si>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</si>
  <si>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</si>
  <si>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</si>
  <si>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</si>
  <si>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</si>
  <si>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</si>
  <si>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</si>
  <si>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</si>
  <si>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</si>
  <si>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</si>
  <si>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</si>
  <si>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</si>
  <si>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</si>
  <si>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</si>
  <si>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</si>
  <si>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</si>
  <si>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</si>
  <si>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</si>
  <si>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</si>
  <si>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</si>
  <si>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</si>
  <si>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</si>
  <si>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</si>
  <si>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</si>
  <si>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</si>
  <si>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</si>
  <si>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</si>
  <si>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</si>
  <si>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</si>
  <si>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</si>
  <si>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</si>
  <si>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</si>
  <si>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</si>
  <si>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</si>
  <si>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</si>
  <si>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</si>
  <si>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</si>
  <si>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</si>
  <si>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</si>
  <si>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</si>
  <si>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</si>
  <si>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</si>
  <si>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</si>
  <si>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</si>
  <si>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</si>
  <si>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</si>
  <si>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</si>
  <si>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</si>
  <si>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</si>
  <si>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</si>
  <si>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</si>
  <si>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</si>
  <si>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</si>
  <si>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</si>
  <si>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</si>
  <si>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</si>
  <si>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</si>
  <si>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</si>
  <si>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</si>
  <si>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</si>
  <si>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</si>
  <si>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</si>
  <si>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</si>
  <si>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</si>
  <si>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</si>
  <si>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</si>
  <si>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</si>
  <si>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</si>
  <si>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</si>
  <si>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</si>
  <si>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</si>
  <si>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</si>
  <si>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</si>
  <si>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</si>
  <si>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</si>
  <si>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</si>
  <si>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</si>
  <si>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</si>
  <si>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</si>
  <si>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</si>
  <si>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</si>
  <si>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</si>
  <si>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</si>
  <si>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</si>
  <si>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</si>
  <si>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</si>
  <si>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</si>
  <si>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</si>
  <si>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</si>
  <si>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</si>
  <si>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</si>
  <si>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</si>
  <si>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</si>
  <si>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</si>
  <si>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</si>
  <si>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</si>
  <si>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</si>
  <si>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</si>
  <si>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</si>
  <si>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</si>
  <si>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</si>
  <si>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</si>
  <si>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</si>
  <si>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</si>
  <si>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</si>
  <si>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</si>
  <si>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</si>
  <si>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</si>
  <si>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</si>
  <si>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</si>
  <si>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</si>
  <si>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</si>
  <si>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</si>
  <si>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</si>
  <si>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</si>
  <si>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</si>
  <si>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</si>
  <si>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</si>
  <si>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</si>
  <si>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</si>
  <si>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</si>
  <si>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</si>
  <si>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</si>
  <si>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</si>
  <si>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</si>
  <si>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</si>
  <si>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</si>
  <si>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</si>
  <si>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</si>
  <si>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</si>
  <si>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</si>
  <si>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</si>
  <si>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</si>
  <si>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</si>
  <si>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</si>
  <si>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</si>
  <si>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</si>
  <si>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</si>
  <si>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</si>
  <si>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</si>
  <si>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</si>
  <si>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</si>
  <si>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</si>
  <si>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</si>
  <si>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</si>
  <si>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</si>
  <si>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</si>
  <si>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</si>
  <si>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</si>
  <si>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</si>
  <si>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</si>
  <si>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</si>
  <si>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</si>
  <si>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</si>
  <si>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</si>
  <si>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</si>
  <si>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</si>
  <si>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</si>
  <si>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</si>
  <si>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</si>
  <si>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</si>
  <si>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</si>
  <si>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</si>
  <si>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</si>
  <si>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</si>
  <si>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</si>
  <si>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</si>
  <si>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</si>
  <si>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</si>
  <si>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</si>
  <si>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</si>
  <si>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</si>
  <si>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</si>
  <si>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</si>
  <si>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</si>
  <si>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</si>
  <si>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</si>
  <si>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</si>
  <si>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</si>
  <si>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</si>
  <si>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</si>
  <si>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</si>
  <si>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</si>
  <si>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</si>
  <si>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</si>
  <si>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</si>
  <si>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</si>
  <si>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</si>
  <si>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</si>
  <si>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</si>
  <si>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</si>
  <si>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</si>
  <si>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</si>
  <si>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</si>
  <si>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</si>
  <si>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</si>
  <si>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</si>
  <si>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</si>
  <si>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</si>
  <si>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</si>
  <si>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</si>
  <si>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</si>
  <si>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</si>
  <si>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</si>
  <si>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</si>
  <si>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</si>
  <si>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</si>
  <si>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</si>
  <si>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</si>
  <si>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</si>
  <si>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</si>
  <si>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</si>
  <si>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</si>
  <si>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</si>
  <si>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</si>
  <si>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</si>
  <si>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</si>
  <si>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</si>
  <si>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</si>
  <si>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</si>
  <si>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</si>
  <si>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</si>
  <si>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</si>
  <si>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</si>
  <si>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</si>
  <si>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</si>
  <si>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</si>
  <si>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</si>
  <si>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</si>
  <si>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</si>
  <si>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</si>
  <si>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</si>
  <si>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</si>
  <si>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</si>
  <si>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</si>
  <si>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</si>
  <si>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</si>
  <si>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</si>
  <si>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</si>
  <si>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</si>
  <si>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</si>
  <si>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</si>
  <si>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</si>
  <si>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</si>
  <si>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</si>
  <si>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</si>
  <si>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</si>
  <si>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</si>
  <si>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</si>
  <si>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</si>
  <si>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</si>
  <si>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</si>
  <si>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</si>
  <si>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</si>
  <si>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</si>
  <si>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</si>
  <si>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</si>
  <si>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</si>
  <si>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</si>
  <si>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</si>
  <si>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</si>
  <si>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</si>
  <si>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</si>
  <si>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</si>
  <si>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</si>
  <si>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</si>
  <si>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</si>
  <si>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</si>
  <si>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</si>
  <si>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</si>
  <si>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</si>
  <si>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</si>
  <si>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</si>
  <si>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</si>
  <si>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</si>
  <si>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</si>
  <si>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</si>
  <si>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</si>
  <si>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</si>
  <si>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</si>
  <si>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</si>
  <si>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</si>
  <si>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</si>
  <si>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</si>
  <si>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</si>
  <si>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</si>
  <si>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</si>
  <si>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</si>
  <si>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</si>
  <si>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</si>
  <si>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</si>
  <si>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</si>
  <si>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</si>
  <si>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</si>
  <si>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</si>
  <si>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</si>
  <si>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</si>
  <si>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</si>
  <si>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</si>
  <si>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</si>
  <si>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</si>
  <si>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</si>
  <si>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</si>
  <si>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</si>
  <si>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</si>
  <si>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</si>
  <si>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</si>
  <si>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</si>
  <si>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</si>
  <si>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</si>
  <si>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</si>
  <si>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</si>
  <si>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</si>
  <si>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</si>
  <si>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</si>
  <si>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</si>
  <si>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</si>
  <si>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</si>
  <si>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</si>
  <si>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</si>
  <si>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</si>
  <si>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</si>
  <si>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</si>
  <si>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</si>
  <si>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</si>
  <si>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</si>
  <si>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</si>
  <si>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</si>
  <si>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</si>
  <si>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</si>
  <si>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</si>
  <si>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</si>
  <si>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</si>
  <si>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</si>
  <si>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</si>
  <si>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</si>
  <si>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</si>
  <si>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</si>
  <si>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</si>
  <si>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</si>
  <si>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</si>
  <si>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</si>
  <si>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</si>
  <si>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</si>
  <si>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</si>
  <si>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</si>
  <si>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</si>
  <si>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</si>
  <si>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</si>
  <si>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</si>
  <si>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</si>
  <si>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</si>
  <si>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</si>
  <si>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</si>
  <si>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</si>
  <si>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</si>
  <si>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</si>
  <si>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</si>
  <si>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</si>
  <si>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</si>
  <si>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</si>
  <si>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</si>
  <si>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</si>
  <si>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</si>
  <si>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</si>
  <si>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</si>
  <si>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</si>
  <si>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</si>
  <si>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</si>
  <si>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</si>
  <si>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</si>
  <si>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</si>
  <si>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</si>
  <si>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</si>
  <si>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</si>
  <si>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</si>
  <si>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</si>
  <si>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</si>
  <si>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</si>
  <si>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</si>
  <si>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</si>
  <si>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</si>
  <si>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</si>
  <si>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</si>
  <si>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</si>
  <si>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</si>
  <si>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</si>
  <si>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</si>
  <si>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</si>
  <si>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</si>
  <si>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</si>
  <si>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</si>
  <si>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</si>
  <si>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</si>
  <si>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</si>
  <si>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</si>
  <si>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</si>
  <si>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</si>
  <si>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</si>
  <si>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</si>
  <si>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</si>
  <si>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</si>
  <si>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</si>
  <si>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</si>
  <si>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</si>
  <si>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</si>
  <si>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</si>
  <si>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</si>
  <si>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</si>
  <si>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</si>
  <si>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</si>
  <si>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</si>
  <si>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</si>
  <si>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</si>
  <si>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</si>
  <si>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</si>
  <si>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</si>
  <si>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</si>
  <si>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</si>
  <si>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</si>
  <si>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</si>
  <si>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</si>
  <si>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</si>
  <si>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</si>
  <si>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</si>
  <si>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</si>
  <si>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</si>
  <si>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</si>
  <si>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</si>
  <si>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</si>
  <si>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</si>
  <si>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</si>
  <si>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</si>
  <si>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</si>
  <si>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企业</t>
  </si>
  <si>
    <t>商业</t>
  </si>
  <si>
    <t>地下仓储</t>
  </si>
  <si>
    <t>地上</t>
  </si>
  <si>
    <t>平墅</t>
  </si>
  <si>
    <t>平墅</t>
    <phoneticPr fontId="14" type="noConversion"/>
  </si>
  <si>
    <t>合院</t>
  </si>
  <si>
    <t>合院</t>
    <phoneticPr fontId="14" type="noConversion"/>
  </si>
  <si>
    <t>地下</t>
  </si>
  <si>
    <t>仓储</t>
  </si>
  <si>
    <t>车库</t>
  </si>
  <si>
    <t>戊类库房</t>
  </si>
  <si>
    <t>平墅</t>
    <phoneticPr fontId="7" type="noConversion"/>
  </si>
  <si>
    <t>合院</t>
    <phoneticPr fontId="7" type="noConversion"/>
  </si>
  <si>
    <t>仓储</t>
    <phoneticPr fontId="7" type="noConversion"/>
  </si>
  <si>
    <t>车库</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</si>
  <si>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</si>
  <si>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</si>
  <si>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</si>
  <si>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</si>
  <si>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</si>
  <si>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</si>
  <si>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</si>
  <si>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</si>
  <si>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</si>
  <si>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</si>
  <si>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</si>
  <si>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</si>
  <si>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</si>
  <si>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</si>
  <si>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</si>
  <si>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</si>
  <si>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</si>
  <si>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</si>
  <si>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</si>
  <si>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</si>
  <si>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</si>
  <si>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</si>
  <si>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</si>
  <si>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</si>
  <si>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</si>
  <si>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</si>
  <si>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</si>
  <si>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</si>
  <si>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</si>
  <si>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</si>
  <si>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</si>
  <si>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</si>
  <si>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</si>
  <si>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</si>
  <si>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</si>
  <si>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</si>
  <si>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</si>
  <si>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</si>
  <si>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</si>
  <si>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</si>
  <si>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</si>
  <si>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</si>
  <si>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</si>
  <si>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</si>
  <si>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</si>
  <si>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北京市朝阳区东坝北东南一期土地储备项目1104-611地块R2二类居住用地</t>
  </si>
  <si>
    <t>住宅用地</t>
  </si>
  <si>
    <t>朝阳区</t>
  </si>
  <si>
    <t>东坝</t>
  </si>
  <si>
    <t>朝阳区东坝乡</t>
  </si>
  <si>
    <t>挂牌</t>
  </si>
  <si>
    <t>京土整储挂(朝)[2020]043号</t>
  </si>
  <si>
    <t>R2二类居住用地</t>
  </si>
  <si>
    <t>≤2.8</t>
  </si>
  <si>
    <t>≤80米</t>
  </si>
  <si>
    <t>限地价,限房价,竞自持,报高标准商品住宅建设方案</t>
  </si>
  <si>
    <t>限地价,限房价,竞自持</t>
  </si>
  <si>
    <t>未开工</t>
  </si>
  <si>
    <t>2020-11-10</t>
  </si>
  <si>
    <t>2020-11-30</t>
  </si>
  <si>
    <t>2020-12-14</t>
  </si>
  <si>
    <t>已成交</t>
  </si>
  <si>
    <t>北京宏远慧业科技有限公司、北京兴诺咨询服务有限公司、北京首都开发股份有限公司</t>
  </si>
  <si>
    <t>金地(集团)股份有限公司,旭辉控股（集团）有限公司,北京首都开发股份有限公司</t>
  </si>
  <si>
    <t>居住70年、商业40年、办公50年</t>
  </si>
  <si>
    <t>4星</t>
  </si>
  <si>
    <t>北京市朝阳区东坝乡东风村1104-613地块R2二类居住用地、1104-614地块A33基础教育用地</t>
  </si>
  <si>
    <t>综合用地(含住宅)</t>
  </si>
  <si>
    <t>京土整储挂(朝)[2020]015号</t>
  </si>
  <si>
    <t>R2二类居住用地、A33基础教育用地</t>
  </si>
  <si>
    <t>r2≤2.8,a33≤0.8</t>
  </si>
  <si>
    <t>≤30%</t>
  </si>
  <si>
    <t>R2≤80米,幼托≤12米</t>
  </si>
  <si>
    <t>限地价,限房价,竞自持,报高标准商品住宅建设方案,90/70</t>
  </si>
  <si>
    <t>限地价,限房价,90/70</t>
  </si>
  <si>
    <t>开工中</t>
  </si>
  <si>
    <t>2020-03-30</t>
  </si>
  <si>
    <t>2020-04-29</t>
  </si>
  <si>
    <t>2020-05-15</t>
  </si>
  <si>
    <t>北京盛智房地产有限公司、北京鑫远嘉业科技有限公司和北京首都开发股份有限公司联合体</t>
  </si>
  <si>
    <t>北京市朝阳区金盏乡小店村3005-12地块R2二类居住用地、3005-14地块A33基础教育用地、3005-15地块A22文化活动用地、3005-17地块A8社区综合服务设施用地</t>
  </si>
  <si>
    <t>机场高速五环外沿线</t>
  </si>
  <si>
    <t>朝阳区金盏乡</t>
  </si>
  <si>
    <t>京土整储挂(朝)[2020]003号</t>
  </si>
  <si>
    <t>R2二类居住用地、A33基础教育用地、A22文化活动用地、A8社区综合服务设施用地</t>
  </si>
  <si>
    <t>r2≤1.5,a33≤0.8,a22、a8≤1</t>
  </si>
  <si>
    <t>R2、A33≤30%,A22、A8≤50%</t>
  </si>
  <si>
    <t>R2≤18米,A22、A33、A8≤19米</t>
  </si>
  <si>
    <t>限地价,竞自持,报高标准商品住宅建设方案</t>
  </si>
  <si>
    <t>限地价</t>
  </si>
  <si>
    <t>2020-02-28</t>
  </si>
  <si>
    <t>2020-03-19</t>
  </si>
  <si>
    <t>2020-04-02</t>
  </si>
  <si>
    <t>北京中海地产有限公司和北京首都开发股份有限公司联合体</t>
  </si>
  <si>
    <t>中国海外发展有限公司,北京首都开发股份有限公司</t>
  </si>
  <si>
    <t>3星</t>
  </si>
  <si>
    <t>北京市朝阳区孙河乡西甸村、孙河村2902-88地块F1住宅混合公建用地</t>
  </si>
  <si>
    <t>黄港</t>
  </si>
  <si>
    <t>朝阳区孙河乡</t>
  </si>
  <si>
    <t>京土整储挂(朝)[2019]020号</t>
  </si>
  <si>
    <t>F1住宅混合公建用地</t>
  </si>
  <si>
    <t>≤1.5</t>
  </si>
  <si>
    <t>≤54米</t>
  </si>
  <si>
    <t>2019-08-09</t>
  </si>
  <si>
    <t>2019-08-29</t>
  </si>
  <si>
    <t>2019-09-12</t>
  </si>
  <si>
    <t>北京天恒正同资产管理有限公司和徐州恒江房地产开发有限公司联合体</t>
  </si>
  <si>
    <t>恒基兆业地产有限公司,北京天恒房地产股份有限公司</t>
  </si>
  <si>
    <t>居住70年商业40年办公50年</t>
  </si>
  <si>
    <t>北京市朝阳区东坝乡驹子房1106-720地块F1住宅混合公建用地、1106-721地块A33基础教育用地</t>
  </si>
  <si>
    <t>京土整储挂(朝)[2019]017号</t>
  </si>
  <si>
    <t>F1住宅混合公建用地、A33基础教育用地</t>
  </si>
  <si>
    <t>f1≤3,a33≤0.9</t>
  </si>
  <si>
    <t>F1≤30%</t>
  </si>
  <si>
    <t>F1≤80米,A33≤15米</t>
  </si>
  <si>
    <t>本次出让宗地居住建筑规模全部建设“共有产权住房”,销售价格41000元/平方米(含全装修费用)</t>
  </si>
  <si>
    <t>限房价,含自住房/共有产权住房</t>
  </si>
  <si>
    <t>2019-07-26</t>
  </si>
  <si>
    <t>2019-08-15</t>
  </si>
  <si>
    <t>北京房地置业发展有限公司</t>
  </si>
  <si>
    <t>北京首都开发股份有限公司</t>
  </si>
  <si>
    <t>5星</t>
  </si>
  <si>
    <t>北京市朝阳区孙河乡北甸西村、北甸东村、西甸村、孙河村2902-31地块R2二类居住用地</t>
  </si>
  <si>
    <t>京土整储挂(朝)[2019]007号</t>
  </si>
  <si>
    <t>≤1.1</t>
  </si>
  <si>
    <t/>
  </si>
  <si>
    <t>2019-04-24</t>
  </si>
  <si>
    <t>2019-05-14</t>
  </si>
  <si>
    <t>2019-05-28</t>
  </si>
  <si>
    <t>苏州恒相房地产开发有限公司</t>
  </si>
  <si>
    <t>恒基兆业地产有限公司</t>
  </si>
  <si>
    <t>北京市朝阳区将台乡1016-030地块R2二类居住用地、1016-033地块F2公建混合住宅用地</t>
  </si>
  <si>
    <t>望京、酒仙桥</t>
  </si>
  <si>
    <t>朝阳区将台乡驼房营村</t>
  </si>
  <si>
    <t>京土整储挂(朝)[2018]064号</t>
  </si>
  <si>
    <t>R2二类居住用地、F2公建混合住宅用地</t>
  </si>
  <si>
    <t>r2=2.5,f2=3</t>
  </si>
  <si>
    <t>≤60米</t>
  </si>
  <si>
    <t>居住建筑规模全部建设“共有产权住房”,销售价格43000元/平方米(含全装修费用)</t>
  </si>
  <si>
    <t>2018-12-29</t>
  </si>
  <si>
    <t>2019-01-18</t>
  </si>
  <si>
    <t>2019-02-01</t>
  </si>
  <si>
    <t>华通置业有限公司和北京茂康企业管理有限公司联合体</t>
  </si>
  <si>
    <t>中交地产股份有限公司,世茂集团控股有限公司</t>
  </si>
  <si>
    <t>北京市朝阳区东坝乡单店村1108-006地块R2二类居住用地</t>
  </si>
  <si>
    <t>京土整储挂(朝)[2018]050号</t>
  </si>
  <si>
    <t>≤30</t>
  </si>
  <si>
    <t>出让宗地居住建筑规模全部建设“共有产权住房”,销售价格37000元/平方米(含全装修费用)</t>
  </si>
  <si>
    <t>2018-12-14</t>
  </si>
  <si>
    <t>2019-01-03</t>
  </si>
  <si>
    <t>2019-01-17</t>
  </si>
  <si>
    <t>北京润置商业运营管理有限公司、北京天恒正同资产管理有限公司和北京建工地产有限责任公司联合体</t>
  </si>
  <si>
    <t>华润置地有限公司</t>
  </si>
  <si>
    <t>北京市朝阳区崔各庄乡2909-0604地块F1住宅混合公建用地</t>
  </si>
  <si>
    <t>来广营、清河营</t>
  </si>
  <si>
    <t>朝阳区崔各庄乡</t>
  </si>
  <si>
    <t>京土整储挂(朝)[2018]024号</t>
  </si>
  <si>
    <t>≤80</t>
  </si>
  <si>
    <t>已完工</t>
  </si>
  <si>
    <t>2018-09-27</t>
  </si>
  <si>
    <t>2018-10-17</t>
  </si>
  <si>
    <t>2018-10-31</t>
  </si>
  <si>
    <t>北京金地鸿志企业管理咨询有限公司和北京首都开发股份有限公司联合体</t>
  </si>
  <si>
    <t>金地(集团)股份有限公司,北京首都开发股份有限公司</t>
  </si>
  <si>
    <t>北京市朝阳区崔各庄乡2909-0603地块F1住宅混合公建用地</t>
  </si>
  <si>
    <t>京土整储挂(朝)[2018]023号</t>
  </si>
  <si>
    <t>北京金地鸿鹄企业管理咨询有限公司和北京首都开发股份有限公司联合体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</si>
  <si>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</si>
  <si>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</si>
  <si>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</si>
  <si>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</si>
  <si>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详见挂牌文件</t>
  </si>
  <si>
    <t>限地价,限房价</t>
  </si>
  <si>
    <t>2018-08-10</t>
  </si>
  <si>
    <t>2018-08-30</t>
  </si>
  <si>
    <t>2018-09-13</t>
  </si>
  <si>
    <t>北京中海地产有限公司</t>
  </si>
  <si>
    <t>中国海外发展有限公司</t>
  </si>
  <si>
    <t>北京市朝阳区豆各庄乡水牛坊村1306-635地块R2二类居住用地、1306-636地块A8社区综合服务用地</t>
  </si>
  <si>
    <t>豆各庄、黑庄户</t>
  </si>
  <si>
    <t>朝阳区豆各庄乡</t>
  </si>
  <si>
    <t>京土整储挂(朝)[2017]105号</t>
  </si>
  <si>
    <t>R2二类居住用地、A8社区综合服务用地</t>
  </si>
  <si>
    <t>出让宗地居住建筑规模全部用于建设“共有产权住房”,销售价格36000元/平方米(含全装修费用)</t>
  </si>
  <si>
    <t>2017-12-22</t>
  </si>
  <si>
    <t>2018-01-11</t>
  </si>
  <si>
    <t>2018-01-25</t>
  </si>
  <si>
    <t>中铁房地产集团北方有限公司</t>
  </si>
  <si>
    <t>中国铁建股份有限公司</t>
  </si>
  <si>
    <t>北京市朝阳孙河乡北甸西村2902-14地块R2二类居住用地</t>
  </si>
  <si>
    <t>京土整储挂(朝)[2017]102号</t>
  </si>
  <si>
    <t>≤18</t>
  </si>
  <si>
    <t>2017-12-14</t>
  </si>
  <si>
    <t>2018-01-03</t>
  </si>
  <si>
    <t>2018-01-17</t>
  </si>
  <si>
    <t>北京乐优富拓投资有限公司和北京燕都水郡房地产开发有限公司联合体</t>
  </si>
  <si>
    <t>大悦城控股集团股份有限公司,旭辉控股（集团）有限公司</t>
  </si>
  <si>
    <t>北京市朝阳区孙河乡北甸西村、北甸东村、西甸村2902-46地块R2二类居住用地</t>
  </si>
  <si>
    <t>京土整储挂(朝)[2017]096号</t>
  </si>
  <si>
    <t>≤12</t>
  </si>
  <si>
    <t>2017-11-30</t>
  </si>
  <si>
    <t>2017-12-20</t>
  </si>
  <si>
    <t>2018-01-04</t>
  </si>
  <si>
    <t>北京中瑞凯华投资管理有限公司和北京德俊置业有限公司联合体</t>
  </si>
  <si>
    <t>远洋集团控股有限公司,首创置业股份有限公司</t>
  </si>
  <si>
    <t>北京市朝阳区豆各庄乡马家湾村1306-606地块R2二类居住用地</t>
  </si>
  <si>
    <t>京土整储挂(朝)[2017]090号</t>
  </si>
  <si>
    <t>≤24</t>
  </si>
  <si>
    <t>2017-11-10</t>
  </si>
  <si>
    <t>正常</t>
  </si>
  <si>
    <t>2018-1</t>
    <phoneticPr fontId="26" type="noConversion"/>
  </si>
  <si>
    <t>楼面地价</t>
  </si>
  <si>
    <t>元/车位</t>
  </si>
  <si>
    <t>售价</t>
  </si>
  <si>
    <t>华樾北京</t>
    <phoneticPr fontId="3" type="noConversion"/>
  </si>
  <si>
    <t>中海·望京府</t>
    <phoneticPr fontId="3" type="noConversion"/>
  </si>
  <si>
    <t>中海首开拾光里</t>
    <phoneticPr fontId="3" type="noConversion"/>
  </si>
  <si>
    <t>懋源·璟玺</t>
    <phoneticPr fontId="3" type="noConversion"/>
  </si>
  <si>
    <t>已部分缴纳</t>
  </si>
  <si>
    <t>土地</t>
  </si>
  <si>
    <t>剩余法-待开发</t>
  </si>
  <si>
    <t>比较法-住宅、综合</t>
  </si>
  <si>
    <t>仅含出让金</t>
  </si>
  <si>
    <t>个人住宅</t>
  </si>
  <si>
    <t>情况1</t>
  </si>
  <si>
    <t>自行开发建设</t>
  </si>
  <si>
    <t>居住用地（指二类居住用地）</t>
  </si>
  <si>
    <t>宗地容积率</t>
  </si>
  <si>
    <t>无</t>
  </si>
  <si>
    <t>1000米以外</t>
  </si>
  <si>
    <t>与级别开发程度不一致</t>
  </si>
  <si>
    <t>通路</t>
  </si>
  <si>
    <t>通电</t>
  </si>
  <si>
    <t>平整</t>
  </si>
  <si>
    <t>通上水</t>
  </si>
  <si>
    <t>一般</t>
  </si>
  <si>
    <t>较好</t>
  </si>
  <si>
    <t>好</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</si>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</sst>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178" fontId="81" fillId="0" borderId="2" xfId="2" applyNumberFormat="1" applyFont="1" applyFill="1" applyBorder="1" applyAlignment="1" applyProtection="1">
      <alignment vertical="center"/>
      <protection locked="0"/>
    </xf>
    <xf numFmtId="0" fontId="164" fillId="0" borderId="0" xfId="0" applyFont="1" applyAlignment="1"/>
    <xf numFmtId="0" fontId="164" fillId="0" borderId="0" xfId="0" applyFont="1">
      <alignment vertical="center"/>
    </xf>
    <xf numFmtId="0" fontId="170" fillId="0" borderId="0" xfId="0" applyFont="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24848</xdr:rowOff>
    </xdr:from>
    <xdr:to>
      <xdr:col>18</xdr:col>
      <xdr:colOff>137704</xdr:colOff>
      <xdr:row>30</xdr:row>
      <xdr:rowOff>119953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08413"/>
          <a:ext cx="4941617" cy="1138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北京市出让国有建设用地使用权抵押价格预评估</v>
      </c>
      <c r="AX2" s="2613"/>
      <c r="AZ2" s="2613"/>
      <c r="BA2" s="2614"/>
      <c r="BC2" s="2614"/>
    </row>
    <row r="3" spans="1:55" s="2615" customFormat="1">
      <c r="A3" s="2594" t="s">
        <v>2641</v>
      </c>
      <c r="B3" s="2597">
        <f>'预评函-封皮'!B40</f>
        <v>0</v>
      </c>
    </row>
    <row r="4" spans="1:55" s="2596" customFormat="1">
      <c r="A4" s="2594" t="s">
        <v>2642</v>
      </c>
      <c r="B4" s="2595" t="str">
        <f>'预评函-封皮'!B46</f>
        <v>土地估价师、土地估价师</v>
      </c>
      <c r="N4" s="2596" t="str">
        <f>'预评函-1'!A28</f>
        <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受贵公司委托，我公司对北京市出让国有建设用地使用权抵押价格进行了预评估。</v>
      </c>
      <c r="AM6" s="2619"/>
    </row>
    <row r="7" spans="1:55" s="2593" customFormat="1">
      <c r="A7" s="2594" t="s">
        <v>2637</v>
      </c>
      <c r="B7" s="2595" t="str">
        <f>'预评函-1'!A6</f>
        <v>估价对象为使用的、位于北京市出让国有建设用地使用权。根据《国有土地使用证》[]，估价对象（分摊）出让国有建设用地使用权面积为114571.08平方米。根据《建设工程规划许可证》[]、《出让合同》[]，估价对象规划建筑面积为123065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2639</v>
      </c>
      <c r="B10" s="2595" t="str">
        <f>'预评函-1'!A11</f>
        <v>2021年3月10日（评估专业人员勘察现场之日）</v>
      </c>
    </row>
    <row r="11" spans="1:55" s="2593" customFormat="1">
      <c r="A11" s="2594" t="s">
        <v>2645</v>
      </c>
      <c r="B11" s="2595" t="str">
        <f>'预评函-1'!A14</f>
        <v>根据《国有土地使用证》[]，本次评估估价对象证载（地类）用途为。</v>
      </c>
    </row>
    <row r="12" spans="1:55" s="2593" customFormat="1">
      <c r="A12" s="2594" t="s">
        <v>2646</v>
      </c>
      <c r="B12" s="2595" t="str">
        <f>'预评函-1'!A15</f>
        <v>本次评估设定用途即为证载用途。</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根据《国有土地使用证》[]，估价对象（分摊）出让国有建设用地使用权面积为114571.08平方米。根据《建设工程规划许可证》[]、《出让合同》[]，估价对象规划建筑面积为123065平方米。</v>
      </c>
    </row>
    <row r="16" spans="1:55" s="2593" customFormat="1">
      <c r="A16" s="2594" t="s">
        <v>2649</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3月10日，在规划利用条件下、设定土地开发程度为红线外“七通”、宗地内场地，设定用途为，剩余土地使用年限为的出让国有建设用地使用权价格。</v>
      </c>
    </row>
    <row r="19" spans="1:48" s="2593" customFormat="1">
      <c r="A19" s="2594" t="s">
        <v>2652</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
      </c>
    </row>
    <row r="22" spans="1:48" ht="15" thickTop="1">
      <c r="A22" s="2605" t="s">
        <v>2655</v>
      </c>
      <c r="B22" s="260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估价期日：2021年3月10日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f>'预评函-2'!E5</f>
        <v>0</v>
      </c>
      <c r="AV32" s="2599"/>
    </row>
    <row r="33" spans="1:2">
      <c r="A33" s="2594" t="s">
        <v>2693</v>
      </c>
      <c r="B33" s="2595">
        <f>'预评函-2'!F5</f>
        <v>258</v>
      </c>
    </row>
    <row r="34" spans="1:2">
      <c r="A34" s="2594" t="s">
        <v>2694</v>
      </c>
      <c r="B34" s="2595">
        <f>'预评函-2'!G5</f>
        <v>0</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114571.08</v>
      </c>
    </row>
    <row r="44" spans="1:2">
      <c r="A44" s="2594" t="s">
        <v>2720</v>
      </c>
      <c r="B44" s="2595" t="str">
        <f>'预评函-2'!O3</f>
        <v>规划建筑面积/㎡</v>
      </c>
    </row>
    <row r="45" spans="1:2">
      <c r="A45" s="2594" t="s">
        <v>2702</v>
      </c>
      <c r="B45" s="2595">
        <f>'预评函-2'!O5</f>
        <v>123065</v>
      </c>
    </row>
    <row r="46" spans="1:2">
      <c r="A46" s="2594" t="s">
        <v>2703</v>
      </c>
      <c r="B46" s="2595">
        <f ca="1">'预评函-2'!P5</f>
        <v>39044</v>
      </c>
    </row>
    <row r="47" spans="1:2">
      <c r="A47" s="2594" t="s">
        <v>2704</v>
      </c>
      <c r="B47" s="2595">
        <f ca="1">'预评函-2'!Q5</f>
        <v>36349</v>
      </c>
    </row>
    <row r="48" spans="1:2">
      <c r="A48" s="2594" t="s">
        <v>2705</v>
      </c>
      <c r="B48" s="2595">
        <f ca="1">'预评函-2'!R5</f>
        <v>447332</v>
      </c>
    </row>
    <row r="49" spans="1:2">
      <c r="A49" s="2594" t="s">
        <v>2721</v>
      </c>
      <c r="B49" s="2595" t="str">
        <f>'预评函-2'!A6</f>
        <v>抵押价格</v>
      </c>
    </row>
    <row r="50" spans="1:2">
      <c r="A50" s="2594" t="s">
        <v>2706</v>
      </c>
      <c r="B50" s="2595">
        <f ca="1">'预评函-2'!R6</f>
        <v>377079</v>
      </c>
    </row>
    <row r="51" spans="1:2">
      <c r="A51" s="2594" t="s">
        <v>2722</v>
      </c>
      <c r="B51" s="2595" t="str">
        <f>'预评函-2'!A7</f>
        <v>——</v>
      </c>
    </row>
    <row r="52" spans="1:2">
      <c r="A52" s="2594" t="s">
        <v>2707</v>
      </c>
      <c r="B52" s="2595" t="str">
        <f>'预评函-2'!R7</f>
        <v>——</v>
      </c>
    </row>
    <row r="53" spans="1:2">
      <c r="A53" s="2594" t="s">
        <v>2723</v>
      </c>
      <c r="B53" s="2595" t="str">
        <f>'预评函-2'!A8</f>
        <v>——</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 ca="1">'预评函-3'!A14</f>
        <v>综上，本次评估估价师知悉的法定优先受偿款为人民币70253万元整。</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G26" sqref="G26"/>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31" t="str">
        <f>IF(B10="北京市","北京市",C10)&amp;F10&amp;B16&amp;"国有建设用地使用权"&amp;B9&amp;"预评估"</f>
        <v>北京市出让国有建设用地使用权抵押价格预评估</v>
      </c>
      <c r="C1" s="3332"/>
      <c r="D1" s="3332"/>
      <c r="E1" s="3332"/>
      <c r="F1" s="3332"/>
      <c r="G1" s="3332"/>
      <c r="H1" s="3332"/>
      <c r="I1" s="3333"/>
      <c r="J1" s="3073"/>
      <c r="K1" s="2309" t="str">
        <f>IF(B10="北京市","北京市",C10)&amp;F10&amp;B16&amp;"国有建设用地使用权"&amp;B9</f>
        <v>北京市出让国有建设用地使用权抵押价格</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7" t="s">
        <v>1928</v>
      </c>
      <c r="B3" s="1588">
        <v>44265</v>
      </c>
      <c r="C3" s="2996" t="s">
        <v>1984</v>
      </c>
      <c r="D3" s="1588">
        <f>B3</f>
        <v>44265</v>
      </c>
      <c r="E3" s="3073"/>
      <c r="F3" s="3073"/>
      <c r="G3" s="3073"/>
      <c r="H3" s="3074"/>
      <c r="I3" s="3075"/>
      <c r="J3" s="3073"/>
      <c r="K3" s="3056"/>
      <c r="L3" s="3052"/>
      <c r="M3" s="3052"/>
      <c r="N3" s="3053"/>
      <c r="O3" s="3054"/>
      <c r="P3" s="3053"/>
      <c r="Q3" s="3053"/>
      <c r="R3" s="3053"/>
      <c r="S3" s="3053"/>
      <c r="T3" s="3053"/>
      <c r="U3" s="3053"/>
    </row>
    <row r="4" spans="1:21" ht="29.25" thickBot="1">
      <c r="A4" s="1590"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1930</v>
      </c>
      <c r="B5" s="1702"/>
      <c r="C5" s="1592"/>
      <c r="D5" s="1593"/>
      <c r="E5" s="3073"/>
      <c r="F5" s="3073"/>
      <c r="G5" s="3073"/>
      <c r="H5" s="3074"/>
      <c r="I5" s="3075"/>
      <c r="J5" s="3073"/>
      <c r="K5" s="3056"/>
      <c r="L5" s="3052"/>
      <c r="M5" s="3052"/>
      <c r="N5" s="3053"/>
      <c r="O5" s="3054"/>
      <c r="P5" s="3053"/>
      <c r="Q5" s="3053"/>
      <c r="R5" s="3053"/>
      <c r="S5" s="3053"/>
      <c r="T5" s="3053"/>
      <c r="U5" s="3053"/>
    </row>
    <row r="6" spans="1:21" ht="26.25">
      <c r="A6" s="1589" t="s">
        <v>2686</v>
      </c>
      <c r="B6" s="1702"/>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2687</v>
      </c>
      <c r="B7" s="1702"/>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2956</v>
      </c>
      <c r="C8" s="1597"/>
      <c r="D8" s="3337" t="s">
        <v>1933</v>
      </c>
      <c r="E8" s="1756" t="s">
        <v>3005</v>
      </c>
      <c r="F8" s="1598"/>
      <c r="G8" s="3074"/>
      <c r="H8" s="3074"/>
      <c r="I8" s="3077"/>
      <c r="J8" s="3073"/>
      <c r="K8" s="3056"/>
      <c r="L8" s="3052"/>
      <c r="M8" s="3052"/>
      <c r="N8" s="3053"/>
      <c r="O8" s="3054"/>
      <c r="P8" s="3053"/>
      <c r="Q8" s="3053"/>
      <c r="R8" s="3053"/>
      <c r="S8" s="3053"/>
      <c r="T8" s="3053"/>
      <c r="U8" s="3053"/>
    </row>
    <row r="9" spans="1:21" ht="15" thickBot="1">
      <c r="A9" s="2998" t="s">
        <v>1932</v>
      </c>
      <c r="B9" s="1599" t="s">
        <v>3005</v>
      </c>
      <c r="C9" s="1600"/>
      <c r="D9" s="3338"/>
      <c r="E9" s="1599" t="s">
        <v>943</v>
      </c>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1"/>
      <c r="D10" s="1593"/>
      <c r="E10" s="1602" t="s">
        <v>1935</v>
      </c>
      <c r="F10" s="1603"/>
      <c r="G10" s="1661"/>
      <c r="H10" s="1662"/>
      <c r="I10" s="1593"/>
      <c r="J10" s="3073"/>
      <c r="K10" s="3056"/>
      <c r="L10" s="3052"/>
      <c r="M10" s="3052"/>
      <c r="N10" s="3053"/>
      <c r="O10" s="3054"/>
      <c r="P10" s="3053"/>
      <c r="Q10" s="3053"/>
      <c r="R10" s="3053"/>
      <c r="S10" s="3053"/>
      <c r="T10" s="3053"/>
      <c r="U10" s="3053"/>
    </row>
    <row r="11" spans="1:21">
      <c r="A11" s="3000" t="s">
        <v>1989</v>
      </c>
      <c r="B11" s="1618" t="s">
        <v>3006</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34"/>
      <c r="C12" s="3335"/>
      <c r="D12" s="3336"/>
      <c r="E12" s="1619" t="s">
        <v>2050</v>
      </c>
      <c r="F12" s="3352" t="s">
        <v>2868</v>
      </c>
      <c r="G12" s="3353"/>
      <c r="H12" s="3353"/>
      <c r="I12" s="3354"/>
      <c r="J12" s="3073"/>
      <c r="K12" s="3056"/>
      <c r="L12" s="3052"/>
      <c r="M12" s="3052"/>
      <c r="N12" s="3053"/>
      <c r="O12" s="3054"/>
      <c r="P12" s="3053"/>
      <c r="Q12" s="3053"/>
      <c r="R12" s="3053"/>
      <c r="S12" s="3053"/>
      <c r="T12" s="3053"/>
      <c r="U12" s="3053"/>
    </row>
    <row r="13" spans="1:21">
      <c r="A13" s="1610" t="s">
        <v>2048</v>
      </c>
      <c r="B13" s="3334"/>
      <c r="C13" s="3335"/>
      <c r="D13" s="3336"/>
      <c r="E13" s="1619" t="s">
        <v>2050</v>
      </c>
      <c r="F13" s="3352" t="s">
        <v>2869</v>
      </c>
      <c r="G13" s="3353"/>
      <c r="H13" s="3353"/>
      <c r="I13" s="3354"/>
      <c r="J13" s="3073"/>
      <c r="K13" s="3056"/>
      <c r="L13" s="3052"/>
      <c r="M13" s="3052"/>
      <c r="N13" s="3053"/>
      <c r="O13" s="3054"/>
      <c r="P13" s="3053"/>
      <c r="Q13" s="3053"/>
      <c r="R13" s="3053"/>
      <c r="S13" s="3053"/>
      <c r="T13" s="3053"/>
      <c r="U13" s="3053"/>
    </row>
    <row r="14" spans="1:21">
      <c r="A14" s="1587" t="s">
        <v>2051</v>
      </c>
      <c r="B14" s="1619"/>
      <c r="C14" s="1757"/>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42.75">
      <c r="A16" s="3001" t="s">
        <v>1936</v>
      </c>
      <c r="B16" s="1605" t="s">
        <v>2951</v>
      </c>
      <c r="C16" s="1619" t="s">
        <v>1937</v>
      </c>
      <c r="D16" s="2487" t="s">
        <v>1938</v>
      </c>
      <c r="E16" s="1642" t="s">
        <v>3007</v>
      </c>
      <c r="F16" s="1642"/>
      <c r="G16" s="1642" t="s">
        <v>3016</v>
      </c>
      <c r="H16" s="1642" t="s">
        <v>3008</v>
      </c>
      <c r="I16" s="1609" t="s">
        <v>1943</v>
      </c>
      <c r="J16" s="3073"/>
      <c r="K16" s="2310" t="str">
        <f>IF(D17="","",D16&amp;TEXT(D17,"yyyy年m月d日;;"))</f>
        <v>住宅2067年10月9日</v>
      </c>
      <c r="L16" s="1619" t="str">
        <f>IF(OR(K16="",M16=""),"","、")</f>
        <v>、</v>
      </c>
      <c r="M16" s="2310" t="str">
        <f>IF(E17="","",E16&amp;TEXT(E17,"yyyy年m月d日;;"))</f>
        <v>商业2037年10月9日</v>
      </c>
      <c r="N16" s="1619" t="str">
        <f>IF(OR(M16="",O16=""),"","、")</f>
        <v/>
      </c>
      <c r="O16" s="2310" t="str">
        <f>IF(F17="","",F16&amp;TEXT(F17,"yyyy年m月d日;;"))</f>
        <v/>
      </c>
      <c r="P16" s="1619" t="str">
        <f>IF(OR(O16="",Q16=""),"","、")</f>
        <v/>
      </c>
      <c r="Q16" s="2310" t="str">
        <f>IF(G17="","",G16&amp;TEXT(G17,"yyyy年m月d日;;"))</f>
        <v>车库2047年10月9日</v>
      </c>
      <c r="R16" s="1619" t="str">
        <f>IF(OR(Q16="",S16=""),"","、")</f>
        <v>、</v>
      </c>
      <c r="S16" s="2310" t="str">
        <f>IF(H17="","",H16&amp;TEXT(H17,"yyyy年m月d日;;"))</f>
        <v>地下仓储2047年10月9日</v>
      </c>
      <c r="T16" s="1619" t="str">
        <f>IF(OR(S16="",U16=""),"","、")</f>
        <v/>
      </c>
      <c r="U16" s="2310" t="str">
        <f>IF(I17="","",I16&amp;TEXT(I17,"yyyy年m月d日;;"))</f>
        <v/>
      </c>
    </row>
    <row r="17" spans="1:21">
      <c r="A17" s="1679"/>
      <c r="B17" s="1606"/>
      <c r="C17" s="3002" t="s">
        <v>1944</v>
      </c>
      <c r="D17" s="1620">
        <v>61279</v>
      </c>
      <c r="E17" s="1620">
        <v>50322</v>
      </c>
      <c r="F17" s="1620"/>
      <c r="G17" s="1620">
        <v>53974</v>
      </c>
      <c r="H17" s="1620">
        <v>53974</v>
      </c>
      <c r="I17" s="1620"/>
      <c r="J17" s="3073"/>
      <c r="K17" s="3051" t="str">
        <f>CONCATENATE(K16,L16,M16,N16,O16,P16,Q16,R16,S16,T16,,U16)</f>
        <v>住宅2067年10月9日、商业2037年10月9日车库2047年10月9日、地下仓储2047年10月9日</v>
      </c>
      <c r="L17" s="3052"/>
      <c r="M17" s="3052"/>
      <c r="N17" s="3053"/>
      <c r="O17" s="3054"/>
      <c r="P17" s="3053"/>
      <c r="Q17" s="3053"/>
      <c r="R17" s="3053"/>
      <c r="S17" s="3053"/>
      <c r="T17" s="3053"/>
      <c r="U17" s="3053"/>
    </row>
    <row r="18" spans="1:21">
      <c r="A18" s="1679"/>
      <c r="B18" s="1606"/>
      <c r="C18" s="3002" t="s">
        <v>1945</v>
      </c>
      <c r="D18" s="1607">
        <v>70</v>
      </c>
      <c r="E18" s="1607">
        <v>40</v>
      </c>
      <c r="F18" s="1607"/>
      <c r="G18" s="1607">
        <v>50</v>
      </c>
      <c r="H18" s="1607">
        <v>50</v>
      </c>
      <c r="I18" s="1607"/>
      <c r="J18" s="3073"/>
      <c r="K18" s="3056"/>
      <c r="L18" s="3052"/>
      <c r="M18" s="3052"/>
      <c r="N18" s="3053"/>
      <c r="O18" s="3054"/>
      <c r="P18" s="3053"/>
      <c r="Q18" s="3053"/>
      <c r="R18" s="3053"/>
      <c r="S18" s="3053"/>
      <c r="T18" s="3053"/>
      <c r="U18" s="3053"/>
    </row>
    <row r="19" spans="1:21">
      <c r="A19" s="1679"/>
      <c r="B19" s="1606"/>
      <c r="C19" s="1586" t="s">
        <v>1946</v>
      </c>
      <c r="D19" s="1674">
        <f>IF(B16="出让",IF(D17="","",ROUNDDOWN(MIN((D17-$D$3)/365,D18),2)),D18)</f>
        <v>46.61</v>
      </c>
      <c r="E19" s="1608">
        <f>IF(B16="出让",IF(E17="","",ROUNDDOWN(MIN((E17-$D$3)/365,E18),2)),E18)</f>
        <v>16.59</v>
      </c>
      <c r="F19" s="1608" t="str">
        <f>IF(B16="出让",IF(F17="","",ROUNDDOWN(MIN((F17-$D$3)/365,F18),2)),F18)</f>
        <v/>
      </c>
      <c r="G19" s="1608">
        <f>IF(B16="出让",IF(G17="","",ROUNDDOWN(MIN((G17-$D$3)/365,G18),2)),G18)</f>
        <v>26.6</v>
      </c>
      <c r="H19" s="1608">
        <f>IF(B16="出让",IF(H17="","",ROUNDDOWN(MIN((H17-$D$3)/365,H18),2)),H18)</f>
        <v>26.6</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49"/>
      <c r="E20" s="3350"/>
      <c r="F20" s="3350"/>
      <c r="G20" s="3350"/>
      <c r="H20" s="3350"/>
      <c r="I20" s="3351"/>
      <c r="J20" s="3073"/>
      <c r="K20" s="3056"/>
      <c r="L20" s="3052"/>
      <c r="M20" s="3052"/>
      <c r="N20" s="3053"/>
      <c r="O20" s="3054"/>
      <c r="P20" s="3053"/>
      <c r="Q20" s="3053"/>
      <c r="R20" s="3053"/>
      <c r="S20" s="3053"/>
      <c r="T20" s="3053"/>
      <c r="U20" s="3053"/>
    </row>
    <row r="21" spans="1:21">
      <c r="A21" s="1679" t="s">
        <v>1947</v>
      </c>
      <c r="B21" s="1680" t="s">
        <v>1948</v>
      </c>
      <c r="C21" s="1675">
        <f>'数据-汇总表'!E3</f>
        <v>123065</v>
      </c>
      <c r="D21" s="1676" t="s">
        <v>1949</v>
      </c>
      <c r="E21" s="3339" t="s">
        <v>1987</v>
      </c>
      <c r="F21" s="3340"/>
      <c r="G21" s="3340"/>
      <c r="H21" s="3340"/>
      <c r="I21" s="3341"/>
      <c r="J21" s="3073"/>
      <c r="K21" s="3056"/>
      <c r="L21" s="3052"/>
      <c r="M21" s="3052"/>
      <c r="N21" s="3053"/>
      <c r="O21" s="3054"/>
      <c r="P21" s="3053"/>
      <c r="Q21" s="3053"/>
      <c r="R21" s="3053"/>
      <c r="S21" s="3053"/>
      <c r="T21" s="3053"/>
      <c r="U21" s="3053"/>
    </row>
    <row r="22" spans="1:21">
      <c r="A22" s="2801" t="s">
        <v>943</v>
      </c>
      <c r="B22" s="1587" t="s">
        <v>1950</v>
      </c>
      <c r="C22" s="1609">
        <f>'数据-汇总表'!D3</f>
        <v>114571.08</v>
      </c>
      <c r="D22" s="1610" t="s">
        <v>1949</v>
      </c>
      <c r="E22" s="3339" t="s">
        <v>2870</v>
      </c>
      <c r="F22" s="3340"/>
      <c r="G22" s="3340"/>
      <c r="H22" s="3340"/>
      <c r="I22" s="3341"/>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42" t="s">
        <v>1955</v>
      </c>
      <c r="C24" s="3343"/>
      <c r="D24" s="3344" t="s">
        <v>1956</v>
      </c>
      <c r="E24" s="3345"/>
      <c r="F24" s="1628" t="s">
        <v>1957</v>
      </c>
      <c r="G24" s="3073"/>
      <c r="H24" s="3073"/>
      <c r="I24" s="3077"/>
      <c r="J24" s="3073"/>
      <c r="K24" s="3330"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30"/>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30"/>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16" t="s">
        <v>1990</v>
      </c>
      <c r="B31" s="1680" t="s">
        <v>1991</v>
      </c>
      <c r="C31" s="3355"/>
      <c r="D31" s="3356"/>
      <c r="E31" s="3073"/>
      <c r="F31" s="3073"/>
      <c r="G31" s="3073"/>
      <c r="H31" s="3073"/>
      <c r="I31" s="3077"/>
      <c r="J31" s="3073"/>
      <c r="K31" s="3059"/>
      <c r="L31" s="3053"/>
      <c r="M31" s="3053"/>
      <c r="N31" s="3053"/>
      <c r="O31" s="3053"/>
      <c r="P31" s="3053"/>
      <c r="Q31" s="3053"/>
      <c r="R31" s="3053"/>
      <c r="S31" s="3053"/>
      <c r="T31" s="3053"/>
      <c r="U31" s="3053"/>
    </row>
    <row r="32" spans="1:21">
      <c r="A32" s="3316"/>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16"/>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17"/>
      <c r="B34" s="1587" t="s">
        <v>1994</v>
      </c>
      <c r="C34" s="3318"/>
      <c r="D34" s="3319"/>
      <c r="E34" s="3073"/>
      <c r="F34" s="3073"/>
      <c r="G34" s="3073"/>
      <c r="H34" s="3073"/>
      <c r="I34" s="3077"/>
      <c r="J34" s="3073"/>
      <c r="K34" s="3059"/>
      <c r="L34" s="3053"/>
      <c r="M34" s="3053"/>
      <c r="N34" s="3053"/>
      <c r="O34" s="3053"/>
      <c r="P34" s="3053"/>
      <c r="Q34" s="3053"/>
      <c r="R34" s="3053"/>
      <c r="S34" s="3053"/>
      <c r="T34" s="3053"/>
      <c r="U34" s="3053"/>
    </row>
    <row r="35" spans="1:28">
      <c r="A35" s="3320" t="s">
        <v>839</v>
      </c>
      <c r="B35" s="1642"/>
      <c r="C35" s="1689" t="str">
        <f>IF(B35="场地平整","——","具体情况：")</f>
        <v>具体情况：</v>
      </c>
      <c r="D35" s="3322"/>
      <c r="E35" s="3323"/>
      <c r="F35" s="3323"/>
      <c r="G35" s="3323"/>
      <c r="H35" s="3323"/>
      <c r="I35" s="3324"/>
      <c r="J35" s="3073"/>
      <c r="K35" s="3060"/>
      <c r="L35" s="3052"/>
      <c r="M35" s="3052"/>
      <c r="N35" s="3053"/>
      <c r="O35" s="3054"/>
      <c r="P35" s="3053"/>
      <c r="Q35" s="3053"/>
      <c r="R35" s="3053"/>
      <c r="S35" s="3053"/>
      <c r="T35" s="3053"/>
      <c r="U35" s="3053"/>
    </row>
    <row r="36" spans="1:28">
      <c r="A36" s="3316"/>
      <c r="B36" s="3325" t="s">
        <v>2043</v>
      </c>
      <c r="C36" s="3326"/>
      <c r="D36" s="1705"/>
      <c r="E36" s="3327"/>
      <c r="F36" s="3327"/>
      <c r="G36" s="1610" t="str">
        <f>IF(B35="场地未平整","估价结果处理","")</f>
        <v/>
      </c>
      <c r="H36" s="3328"/>
      <c r="I36" s="3328"/>
      <c r="J36" s="3073"/>
      <c r="K36" s="3060"/>
      <c r="L36" s="3052"/>
      <c r="M36" s="3052"/>
      <c r="N36" s="3053"/>
      <c r="O36" s="3054"/>
      <c r="P36" s="3053"/>
      <c r="Q36" s="3053"/>
      <c r="R36" s="3053"/>
      <c r="S36" s="3053"/>
      <c r="T36" s="3053"/>
      <c r="U36" s="3053"/>
    </row>
    <row r="37" spans="1:28" ht="28.5">
      <c r="A37" s="3316"/>
      <c r="B37" s="3346"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16"/>
      <c r="B38" s="3347"/>
      <c r="C38" s="1595"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317"/>
      <c r="B39" s="3348"/>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29" t="s">
        <v>1974</v>
      </c>
      <c r="T40" s="1651" t="str">
        <f>NUMBERSTRING(7-K40,1)&amp;"通"</f>
        <v>七通</v>
      </c>
      <c r="U40" s="3053"/>
    </row>
    <row r="41" spans="1:28">
      <c r="A41" s="1589"/>
      <c r="B41" s="3321" t="s">
        <v>1712</v>
      </c>
      <c r="C41" s="3321"/>
      <c r="D41" s="3321"/>
      <c r="E41" s="3321"/>
      <c r="F41" s="1652">
        <f>C10</f>
        <v>0</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29"/>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t="s">
        <v>1398</v>
      </c>
      <c r="D43" s="1657" t="s">
        <v>1398</v>
      </c>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t="s">
        <v>1277</v>
      </c>
      <c r="D44" s="1657" t="s">
        <v>1277</v>
      </c>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120388.78</v>
      </c>
      <c r="B3" s="22">
        <f>IF(C3="否",G5-AT5,G5)</f>
        <v>129314</v>
      </c>
      <c r="C3" s="23" t="s">
        <v>1669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129314</v>
      </c>
      <c r="H5" s="27">
        <f t="shared" ref="H5:AT5" si="0">SUM(H13:H641)</f>
        <v>122465</v>
      </c>
      <c r="I5" s="27">
        <f t="shared" si="0"/>
        <v>63580</v>
      </c>
      <c r="J5" s="27">
        <f t="shared" si="0"/>
        <v>0</v>
      </c>
      <c r="K5" s="27">
        <f t="shared" si="0"/>
        <v>5480</v>
      </c>
      <c r="L5" s="27">
        <f t="shared" si="0"/>
        <v>0</v>
      </c>
      <c r="M5" s="27">
        <f t="shared" si="0"/>
        <v>34717</v>
      </c>
      <c r="N5" s="27">
        <f t="shared" si="0"/>
        <v>0</v>
      </c>
      <c r="O5" s="27">
        <f t="shared" si="0"/>
        <v>18688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600</v>
      </c>
      <c r="AD5" s="27">
        <f t="shared" si="0"/>
        <v>0</v>
      </c>
      <c r="AE5" s="27">
        <f t="shared" si="0"/>
        <v>0</v>
      </c>
      <c r="AF5" s="27">
        <f t="shared" si="0"/>
        <v>0</v>
      </c>
      <c r="AG5" s="27">
        <f t="shared" si="0"/>
        <v>0</v>
      </c>
      <c r="AH5" s="27">
        <f t="shared" si="0"/>
        <v>100</v>
      </c>
      <c r="AI5" s="27">
        <f t="shared" si="0"/>
        <v>0</v>
      </c>
      <c r="AJ5" s="27">
        <f t="shared" si="0"/>
        <v>0</v>
      </c>
      <c r="AK5" s="27">
        <f t="shared" si="0"/>
        <v>0</v>
      </c>
      <c r="AL5" s="27">
        <f t="shared" si="0"/>
        <v>0</v>
      </c>
      <c r="AM5" s="27">
        <f t="shared" si="0"/>
        <v>0</v>
      </c>
      <c r="AN5" s="27">
        <f t="shared" si="0"/>
        <v>500</v>
      </c>
      <c r="AO5" s="27">
        <f t="shared" si="0"/>
        <v>0</v>
      </c>
      <c r="AP5" s="27">
        <f t="shared" si="0"/>
        <v>0</v>
      </c>
      <c r="AQ5" s="27">
        <f t="shared" si="0"/>
        <v>0</v>
      </c>
      <c r="AR5" s="27">
        <f t="shared" si="0"/>
        <v>0</v>
      </c>
      <c r="AS5" s="27">
        <f t="shared" si="0"/>
        <v>0</v>
      </c>
      <c r="AT5" s="27">
        <f t="shared" si="0"/>
        <v>6249</v>
      </c>
      <c r="AU5" s="976"/>
      <c r="AV5" s="26" t="s">
        <v>168</v>
      </c>
      <c r="AW5" s="977"/>
      <c r="AX5" s="977"/>
      <c r="AY5" s="28" t="s">
        <v>3</v>
      </c>
      <c r="AZ5" s="29">
        <f t="shared" ref="AZ5:BT5" si="1">SUM(AZ13:AZ641)</f>
        <v>123065</v>
      </c>
      <c r="BA5" s="29">
        <f t="shared" si="1"/>
        <v>122465</v>
      </c>
      <c r="BB5" s="29">
        <f t="shared" si="1"/>
        <v>63580</v>
      </c>
      <c r="BC5" s="29">
        <f t="shared" si="1"/>
        <v>5480</v>
      </c>
      <c r="BD5" s="29">
        <f t="shared" si="1"/>
        <v>34717</v>
      </c>
      <c r="BE5" s="29">
        <f t="shared" si="1"/>
        <v>18688</v>
      </c>
      <c r="BF5" s="29">
        <f t="shared" si="1"/>
        <v>0</v>
      </c>
      <c r="BG5" s="29">
        <f t="shared" si="1"/>
        <v>0</v>
      </c>
      <c r="BH5" s="29">
        <f t="shared" si="1"/>
        <v>0</v>
      </c>
      <c r="BI5" s="29">
        <f t="shared" si="1"/>
        <v>0</v>
      </c>
      <c r="BJ5" s="29">
        <f t="shared" si="1"/>
        <v>0</v>
      </c>
      <c r="BK5" s="29">
        <f t="shared" si="1"/>
        <v>0</v>
      </c>
      <c r="BL5" s="29">
        <f t="shared" si="1"/>
        <v>600</v>
      </c>
      <c r="BM5" s="29">
        <f t="shared" si="1"/>
        <v>0</v>
      </c>
      <c r="BN5" s="29">
        <f t="shared" si="1"/>
        <v>0</v>
      </c>
      <c r="BO5" s="29">
        <f t="shared" si="1"/>
        <v>100</v>
      </c>
      <c r="BP5" s="29">
        <f t="shared" si="1"/>
        <v>0</v>
      </c>
      <c r="BQ5" s="29">
        <f t="shared" si="1"/>
        <v>0</v>
      </c>
      <c r="BR5" s="29">
        <f t="shared" si="1"/>
        <v>500</v>
      </c>
      <c r="BS5" s="29">
        <f t="shared" si="1"/>
        <v>0</v>
      </c>
      <c r="BT5" s="30">
        <f t="shared" si="1"/>
        <v>0</v>
      </c>
    </row>
    <row r="6" spans="1:72" s="37" customFormat="1" ht="12.75">
      <c r="A6" s="26" t="s">
        <v>169</v>
      </c>
      <c r="B6" s="31"/>
      <c r="C6" s="31"/>
      <c r="D6" s="32"/>
      <c r="E6" s="27">
        <f>H6+AC6+AT6</f>
        <v>120388.78</v>
      </c>
      <c r="F6" s="27" t="s">
        <v>1</v>
      </c>
      <c r="G6" s="27" t="s">
        <v>2</v>
      </c>
      <c r="H6" s="33">
        <f>SUMIF(I$12:AB$12,"总值",I6:AB6)</f>
        <v>114012.49</v>
      </c>
      <c r="I6" s="27">
        <f t="shared" ref="I6:AB6" si="2">ROUND($A$3*I5/$B$3,2)</f>
        <v>59191.72</v>
      </c>
      <c r="J6" s="27">
        <f t="shared" si="2"/>
        <v>0</v>
      </c>
      <c r="K6" s="27">
        <f t="shared" si="2"/>
        <v>5101.7700000000004</v>
      </c>
      <c r="L6" s="27">
        <f t="shared" si="2"/>
        <v>0</v>
      </c>
      <c r="M6" s="27">
        <f t="shared" si="2"/>
        <v>32320.84</v>
      </c>
      <c r="N6" s="27">
        <f t="shared" si="2"/>
        <v>0</v>
      </c>
      <c r="O6" s="27">
        <f t="shared" si="2"/>
        <v>17398.16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558.59</v>
      </c>
      <c r="AD6" s="27">
        <f t="shared" ref="AD6:AS6" si="3">ROUND($A$3*AD5/$B$3,2)</f>
        <v>0</v>
      </c>
      <c r="AE6" s="27">
        <f t="shared" si="3"/>
        <v>0</v>
      </c>
      <c r="AF6" s="27">
        <f t="shared" si="3"/>
        <v>0</v>
      </c>
      <c r="AG6" s="27">
        <f t="shared" si="3"/>
        <v>0</v>
      </c>
      <c r="AH6" s="27">
        <f t="shared" si="3"/>
        <v>93.1</v>
      </c>
      <c r="AI6" s="27">
        <f t="shared" si="3"/>
        <v>0</v>
      </c>
      <c r="AJ6" s="27">
        <f t="shared" si="3"/>
        <v>0</v>
      </c>
      <c r="AK6" s="27">
        <f t="shared" si="3"/>
        <v>0</v>
      </c>
      <c r="AL6" s="27">
        <f t="shared" si="3"/>
        <v>0</v>
      </c>
      <c r="AM6" s="27">
        <f t="shared" si="3"/>
        <v>0</v>
      </c>
      <c r="AN6" s="27">
        <f t="shared" si="3"/>
        <v>465.49</v>
      </c>
      <c r="AO6" s="27">
        <f t="shared" si="3"/>
        <v>0</v>
      </c>
      <c r="AP6" s="27">
        <f t="shared" si="3"/>
        <v>0</v>
      </c>
      <c r="AQ6" s="27">
        <f t="shared" si="3"/>
        <v>0</v>
      </c>
      <c r="AR6" s="27">
        <f t="shared" si="3"/>
        <v>0</v>
      </c>
      <c r="AS6" s="27">
        <f t="shared" si="3"/>
        <v>0</v>
      </c>
      <c r="AT6" s="33">
        <f>IF(C3="是",ROUND($A$3*AT5/$B$3,2),0)</f>
        <v>5817.7</v>
      </c>
      <c r="AU6" s="34"/>
      <c r="AV6" s="26" t="s">
        <v>169</v>
      </c>
      <c r="AW6" s="31"/>
      <c r="AX6" s="31"/>
      <c r="AY6" s="35">
        <f>IF(AY3&gt;0,AY3,ROUND($A$3*AZ5/$B$3,2))</f>
        <v>114571.08</v>
      </c>
      <c r="AZ6" s="27" t="s">
        <v>3</v>
      </c>
      <c r="BA6" s="27">
        <f>ROUND($AY$6*BA5/$AZ$5,2)</f>
        <v>114012.49</v>
      </c>
      <c r="BB6" s="27">
        <f>ROUND($AY$6*BB5/$AZ$5,2)</f>
        <v>59191.72</v>
      </c>
      <c r="BC6" s="27">
        <f t="shared" ref="BC6:BH6" si="4">ROUND($AY$6*BC5/$AZ$5,2)</f>
        <v>5101.7700000000004</v>
      </c>
      <c r="BD6" s="27">
        <f t="shared" si="4"/>
        <v>32320.84</v>
      </c>
      <c r="BE6" s="27">
        <f t="shared" si="4"/>
        <v>17398.16</v>
      </c>
      <c r="BF6" s="27">
        <f t="shared" si="4"/>
        <v>0</v>
      </c>
      <c r="BG6" s="27">
        <f t="shared" si="4"/>
        <v>0</v>
      </c>
      <c r="BH6" s="27">
        <f t="shared" si="4"/>
        <v>0</v>
      </c>
      <c r="BI6" s="27">
        <f t="shared" ref="BI6:BT6" si="5">ROUND($AY$6*BI5/$AZ$5,2)</f>
        <v>0</v>
      </c>
      <c r="BJ6" s="27">
        <f t="shared" si="5"/>
        <v>0</v>
      </c>
      <c r="BK6" s="27">
        <f t="shared" si="5"/>
        <v>0</v>
      </c>
      <c r="BL6" s="27">
        <f t="shared" si="5"/>
        <v>558.59</v>
      </c>
      <c r="BM6" s="27">
        <f t="shared" si="5"/>
        <v>0</v>
      </c>
      <c r="BN6" s="27">
        <f t="shared" si="5"/>
        <v>0</v>
      </c>
      <c r="BO6" s="27">
        <f t="shared" si="5"/>
        <v>93.1</v>
      </c>
      <c r="BP6" s="27">
        <f t="shared" si="5"/>
        <v>0</v>
      </c>
      <c r="BQ6" s="27">
        <f t="shared" si="5"/>
        <v>0</v>
      </c>
      <c r="BR6" s="27">
        <f t="shared" si="5"/>
        <v>465.49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3009</v>
      </c>
      <c r="J9" s="51"/>
      <c r="K9" s="2731" t="s">
        <v>3009</v>
      </c>
      <c r="L9" s="51"/>
      <c r="M9" s="2731" t="s">
        <v>3014</v>
      </c>
      <c r="N9" s="51"/>
      <c r="O9" s="59" t="s">
        <v>3014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914</v>
      </c>
      <c r="J10" s="51"/>
      <c r="K10" s="2731" t="s">
        <v>914</v>
      </c>
      <c r="L10" s="51"/>
      <c r="M10" s="2733" t="s">
        <v>3015</v>
      </c>
      <c r="N10" s="51"/>
      <c r="O10" s="66" t="s">
        <v>3016</v>
      </c>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3010</v>
      </c>
      <c r="J11" s="71"/>
      <c r="K11" s="2732" t="s">
        <v>3012</v>
      </c>
      <c r="L11" s="71"/>
      <c r="M11" s="70" t="s">
        <v>3017</v>
      </c>
      <c r="N11" s="71"/>
      <c r="O11" s="70" t="s">
        <v>3016</v>
      </c>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住宅</v>
      </c>
      <c r="BC11" s="50" t="str">
        <f>K10</f>
        <v>住宅</v>
      </c>
      <c r="BD11" s="50" t="str">
        <f>M10</f>
        <v>仓储</v>
      </c>
      <c r="BE11" s="50" t="str">
        <f>O10</f>
        <v>车库</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平墅</v>
      </c>
      <c r="BC12" s="79" t="str">
        <f>K11</f>
        <v>合院</v>
      </c>
      <c r="BD12" s="79" t="str">
        <f>M11</f>
        <v>戊类库房</v>
      </c>
      <c r="BE12" s="50" t="str">
        <f>O11</f>
        <v>车库</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120388.78</v>
      </c>
      <c r="F13" s="81"/>
      <c r="G13" s="82">
        <f t="shared" ref="G13:G20" si="7">H13+AC13+AT13</f>
        <v>129314</v>
      </c>
      <c r="H13" s="33">
        <f t="shared" ref="H13:H20" si="8">SUMIF(I$12:AB$12,"总值",I13:AB13)</f>
        <v>122465</v>
      </c>
      <c r="I13" s="2730">
        <v>63580</v>
      </c>
      <c r="J13" s="2730"/>
      <c r="K13" s="2730">
        <v>5480</v>
      </c>
      <c r="L13" s="2730"/>
      <c r="M13" s="2730">
        <v>34717</v>
      </c>
      <c r="N13" s="83"/>
      <c r="O13" s="83">
        <v>18688</v>
      </c>
      <c r="P13" s="83"/>
      <c r="Q13" s="83"/>
      <c r="R13" s="83"/>
      <c r="S13" s="83"/>
      <c r="T13" s="83"/>
      <c r="U13" s="83"/>
      <c r="V13" s="83"/>
      <c r="W13" s="83"/>
      <c r="X13" s="83"/>
      <c r="Y13" s="83"/>
      <c r="Z13" s="83"/>
      <c r="AA13" s="83"/>
      <c r="AB13" s="83"/>
      <c r="AC13" s="27">
        <f t="shared" ref="AC13:AC20" si="9">SUMIF(AD$12:AS$12,"总值",AD13:AS13)</f>
        <v>600</v>
      </c>
      <c r="AD13" s="2734"/>
      <c r="AE13" s="2734"/>
      <c r="AF13" s="2734"/>
      <c r="AG13" s="2734"/>
      <c r="AH13" s="2734">
        <v>100</v>
      </c>
      <c r="AI13" s="2734"/>
      <c r="AJ13" s="2734"/>
      <c r="AK13" s="2734"/>
      <c r="AL13" s="2734"/>
      <c r="AM13" s="2734"/>
      <c r="AN13" s="2734">
        <v>500</v>
      </c>
      <c r="AO13" s="2734"/>
      <c r="AP13" s="2734"/>
      <c r="AQ13" s="2734"/>
      <c r="AR13" s="2734"/>
      <c r="AS13" s="2734"/>
      <c r="AT13" s="2735">
        <v>6249</v>
      </c>
      <c r="AU13" s="2736"/>
      <c r="AV13" s="17">
        <f t="shared" ref="AV13:AX20" si="10">A13</f>
        <v>0</v>
      </c>
      <c r="AW13" s="17">
        <f t="shared" si="10"/>
        <v>0</v>
      </c>
      <c r="AX13" s="17">
        <f t="shared" si="10"/>
        <v>0</v>
      </c>
      <c r="AY13" s="984">
        <f t="shared" ref="AY13:AY20" si="11">ROUND($AY$6*AZ13/$AZ$5,2)</f>
        <v>114571.08</v>
      </c>
      <c r="AZ13" s="27">
        <f t="shared" ref="AZ13:AZ20" si="12">BA13+BL13</f>
        <v>123065</v>
      </c>
      <c r="BA13" s="27">
        <f t="shared" ref="BA13:BA20" si="13">SUM(BB13:BK13)</f>
        <v>122465</v>
      </c>
      <c r="BB13" s="27">
        <f t="shared" ref="BB13:BB20" si="14">IF($D13="是",I13-J13,0)</f>
        <v>63580</v>
      </c>
      <c r="BC13" s="27">
        <f t="shared" ref="BC13:BC20" si="15">IF($D13="是",K13-L13,0)</f>
        <v>5480</v>
      </c>
      <c r="BD13" s="27">
        <f t="shared" ref="BD13:BD20" si="16">IF($D13="是",M13-N13,0)</f>
        <v>34717</v>
      </c>
      <c r="BE13" s="27">
        <f t="shared" ref="BE13:BE20" si="17">IF($D13="是",O13-P13,0)</f>
        <v>18688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600</v>
      </c>
      <c r="BM13" s="27">
        <f t="shared" ref="BM13:BM20" si="25">IF($D13="是",AD13-AE13,0)</f>
        <v>0</v>
      </c>
      <c r="BN13" s="27">
        <f t="shared" ref="BN13:BN20" si="26">IF($D13="是",AF13-AG13,0)</f>
        <v>0</v>
      </c>
      <c r="BO13" s="27">
        <f t="shared" ref="BO13:BO20" si="27">IF($D13="是",AH13-AI13,0)</f>
        <v>100</v>
      </c>
      <c r="BP13" s="27">
        <f t="shared" ref="BP13:BP20" si="28">IF($D13="是",AJ13-AK13,0)</f>
        <v>0</v>
      </c>
      <c r="BQ13" s="27">
        <f t="shared" ref="BQ13:BQ20" si="29">IF($D13="是",AL13-AM13,0)</f>
        <v>0</v>
      </c>
      <c r="BR13" s="27">
        <f t="shared" ref="BR13:BR20" si="30">IF($D13="是",AN13-AO13,0)</f>
        <v>500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7" t="s">
        <v>0</v>
      </c>
      <c r="B1" s="3357" t="s">
        <v>4</v>
      </c>
      <c r="C1" s="3357" t="s">
        <v>5</v>
      </c>
      <c r="D1" s="3358" t="s">
        <v>40</v>
      </c>
      <c r="E1" s="3358" t="s">
        <v>41</v>
      </c>
      <c r="F1" s="3358"/>
      <c r="G1" s="3358"/>
      <c r="H1" s="3358"/>
      <c r="I1" s="3358"/>
      <c r="J1" s="3358"/>
      <c r="K1" s="3358"/>
      <c r="L1" s="3358"/>
      <c r="M1" s="3358"/>
    </row>
    <row r="2" spans="1:13" ht="27" customHeight="1">
      <c r="A2" s="3357"/>
      <c r="B2" s="3357"/>
      <c r="C2" s="3357"/>
      <c r="D2" s="3358"/>
      <c r="E2" s="3358" t="s">
        <v>24</v>
      </c>
      <c r="F2" s="3358" t="s">
        <v>25</v>
      </c>
      <c r="G2" s="3358"/>
      <c r="H2" s="3358"/>
      <c r="I2" s="3358"/>
      <c r="J2" s="3358" t="s">
        <v>26</v>
      </c>
      <c r="K2" s="3358"/>
      <c r="L2" s="3358"/>
      <c r="M2" s="3358"/>
    </row>
    <row r="3" spans="1:13" ht="28.5">
      <c r="A3" s="3357"/>
      <c r="B3" s="3357"/>
      <c r="C3" s="3357"/>
      <c r="D3" s="3358"/>
      <c r="E3" s="33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8" t="s">
        <v>42</v>
      </c>
      <c r="B9" s="3358"/>
      <c r="C9" s="33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46" sqref="G46"/>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8" t="s">
        <v>203</v>
      </c>
      <c r="B2" s="3368"/>
      <c r="C2" s="3368"/>
      <c r="D2" s="1888" t="s">
        <v>204</v>
      </c>
      <c r="E2" s="106" t="s">
        <v>205</v>
      </c>
      <c r="F2" s="3082"/>
      <c r="G2" s="1181"/>
      <c r="H2" s="1182"/>
      <c r="I2" s="1183" t="s">
        <v>849</v>
      </c>
      <c r="J2" s="3082"/>
      <c r="K2" s="3082"/>
      <c r="L2" s="3082"/>
      <c r="M2" s="3082"/>
      <c r="N2" s="3082"/>
      <c r="O2" s="3082"/>
      <c r="P2" s="3082"/>
    </row>
    <row r="3" spans="1:16" ht="15.75" thickBot="1">
      <c r="A3" s="3369" t="s">
        <v>206</v>
      </c>
      <c r="B3" s="3369"/>
      <c r="C3" s="3369"/>
      <c r="D3" s="107">
        <f>'数据-基础表'!AY6</f>
        <v>114571.08</v>
      </c>
      <c r="E3" s="107">
        <f>'数据-基础表'!AZ5</f>
        <v>123065</v>
      </c>
      <c r="F3" s="3082"/>
      <c r="G3" s="278" t="s">
        <v>850</v>
      </c>
      <c r="H3" s="273" t="s">
        <v>851</v>
      </c>
      <c r="I3" s="1889">
        <f>ROUND('数据-基础表'!B3/'数据-基础表'!A3,2)</f>
        <v>1.07</v>
      </c>
      <c r="J3" s="3082"/>
      <c r="K3" s="3082"/>
      <c r="L3" s="3082"/>
      <c r="M3" s="3082"/>
      <c r="N3" s="3082"/>
      <c r="O3" s="3082"/>
      <c r="P3" s="3082"/>
    </row>
    <row r="4" spans="1:16" ht="15">
      <c r="A4" s="3370"/>
      <c r="B4" s="3371"/>
      <c r="C4" s="3372"/>
      <c r="D4" s="108" t="s">
        <v>204</v>
      </c>
      <c r="E4" s="109" t="s">
        <v>205</v>
      </c>
      <c r="F4" s="3082"/>
      <c r="G4" s="1184"/>
      <c r="H4" s="273" t="s">
        <v>852</v>
      </c>
      <c r="I4" s="1889">
        <f>ROUND(SUMIF('数据-基础表'!I9:AS9,"地上",'数据-基础表'!I5:AS5)/'数据-基础表'!A3,2)</f>
        <v>0.56999999999999995</v>
      </c>
      <c r="J4" s="3082"/>
      <c r="K4" s="3082"/>
      <c r="L4" s="3082"/>
      <c r="M4" s="3082"/>
      <c r="N4" s="3082"/>
      <c r="O4" s="3082"/>
      <c r="P4" s="3082"/>
    </row>
    <row r="5" spans="1:16">
      <c r="A5" s="110" t="s">
        <v>207</v>
      </c>
      <c r="B5" s="3373" t="s">
        <v>230</v>
      </c>
      <c r="C5" s="3373"/>
      <c r="D5" s="111">
        <f>ROUND($D$3*E5/$E$3,2)</f>
        <v>64293.49</v>
      </c>
      <c r="E5" s="112">
        <f>SUMIF('数据-基础表'!$11:$11,"住宅",'数据-基础表'!$5:$5)</f>
        <v>69060</v>
      </c>
      <c r="F5" s="3082"/>
      <c r="G5" s="278" t="s">
        <v>853</v>
      </c>
      <c r="H5" s="273" t="s">
        <v>851</v>
      </c>
      <c r="I5" s="1889">
        <f>ROUND(E31/D31,2)</f>
        <v>1.07</v>
      </c>
      <c r="J5" s="3082"/>
      <c r="K5" s="3082"/>
      <c r="L5" s="3082"/>
      <c r="M5" s="3082"/>
      <c r="N5" s="3082"/>
      <c r="O5" s="3082"/>
      <c r="P5" s="3082"/>
    </row>
    <row r="6" spans="1:16" ht="15" thickBot="1">
      <c r="A6" s="113"/>
      <c r="B6" s="3373" t="s">
        <v>208</v>
      </c>
      <c r="C6" s="3373"/>
      <c r="D6" s="111">
        <f>ROUND($D$3*E6/$E$3,2)</f>
        <v>50277.59</v>
      </c>
      <c r="E6" s="112">
        <f>E3-E5</f>
        <v>54005</v>
      </c>
      <c r="F6" s="3082"/>
      <c r="G6" s="1184"/>
      <c r="H6" s="273" t="s">
        <v>852</v>
      </c>
      <c r="I6" s="1889">
        <f>ROUND(F31/D31,2)</f>
        <v>0.6</v>
      </c>
      <c r="J6" s="3082"/>
      <c r="K6" s="3082"/>
      <c r="L6" s="3082"/>
      <c r="M6" s="3082"/>
      <c r="N6" s="3082"/>
      <c r="O6" s="3082"/>
      <c r="P6" s="3082"/>
    </row>
    <row r="7" spans="1:16" ht="15">
      <c r="A7" s="3365"/>
      <c r="B7" s="3366"/>
      <c r="C7" s="3367"/>
      <c r="D7" s="108" t="s">
        <v>204</v>
      </c>
      <c r="E7" s="114" t="s">
        <v>231</v>
      </c>
      <c r="F7" s="3082"/>
      <c r="G7" s="1139" t="s">
        <v>1636</v>
      </c>
      <c r="H7" s="1140"/>
      <c r="I7" s="1759"/>
      <c r="J7" s="3082"/>
      <c r="K7" s="3082"/>
      <c r="L7" s="3082"/>
      <c r="M7" s="3082"/>
      <c r="N7" s="3082"/>
      <c r="O7" s="3082"/>
      <c r="P7" s="3082"/>
    </row>
    <row r="8" spans="1:16">
      <c r="A8" s="110" t="s">
        <v>209</v>
      </c>
      <c r="B8" s="115" t="s">
        <v>210</v>
      </c>
      <c r="C8" s="111" t="s">
        <v>211</v>
      </c>
      <c r="D8" s="111">
        <f t="shared" ref="D8:D15" si="0">ROUND($D$3*E8/$E$3,2)</f>
        <v>64293.49</v>
      </c>
      <c r="E8" s="116">
        <f>SUMIF('数据-基础表'!BB10:BK10,"地上",'数据-基础表'!BB5:BK5)</f>
        <v>69060</v>
      </c>
      <c r="F8" s="3082"/>
      <c r="G8" s="3083"/>
      <c r="H8" s="3083"/>
      <c r="I8" s="3082"/>
      <c r="J8" s="3082"/>
      <c r="K8" s="3082"/>
      <c r="L8" s="3082"/>
      <c r="M8" s="3082"/>
      <c r="N8" s="3082"/>
      <c r="O8" s="3082"/>
      <c r="P8" s="3082"/>
    </row>
    <row r="9" spans="1:16">
      <c r="A9" s="117"/>
      <c r="B9" s="118"/>
      <c r="C9" s="111" t="s">
        <v>212</v>
      </c>
      <c r="D9" s="111">
        <f t="shared" si="0"/>
        <v>93.1</v>
      </c>
      <c r="E9" s="119">
        <v>100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32320.84</v>
      </c>
      <c r="E12" s="116">
        <f>SUMPRODUCT(('数据-基础表'!BB10:BK10="地下")*('数据-基础表'!BB11:BK11="仓储")*('数据-基础表'!BB5:BK5))</f>
        <v>34717</v>
      </c>
      <c r="F12" s="3082"/>
      <c r="G12" s="3083"/>
      <c r="H12" s="3083"/>
      <c r="I12" s="3082"/>
      <c r="J12" s="3082"/>
      <c r="K12" s="3082"/>
      <c r="L12" s="3082"/>
      <c r="M12" s="3082"/>
      <c r="N12" s="3082"/>
      <c r="O12" s="3082"/>
      <c r="P12" s="3082"/>
    </row>
    <row r="13" spans="1:16">
      <c r="A13" s="117"/>
      <c r="B13" s="118"/>
      <c r="C13" s="2210" t="s">
        <v>2322</v>
      </c>
      <c r="D13" s="111">
        <f t="shared" si="0"/>
        <v>17398.16</v>
      </c>
      <c r="E13" s="116">
        <f>SUMPRODUCT(('数据-基础表'!BB10:BK10="地下")*('数据-基础表'!BB11:BK11="车库")*('数据-基础表'!BB5:BK5))</f>
        <v>18688</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114105.59</v>
      </c>
      <c r="E16" s="120">
        <f>SUM(E8:E15)</f>
        <v>122565</v>
      </c>
      <c r="F16" s="3082"/>
      <c r="G16" s="3083"/>
      <c r="H16" s="956" t="s">
        <v>219</v>
      </c>
      <c r="I16" s="957"/>
      <c r="J16" s="1897"/>
      <c r="K16" s="3359" t="s">
        <v>2547</v>
      </c>
      <c r="L16" s="3360"/>
      <c r="M16" s="3360"/>
      <c r="N16" s="3360"/>
      <c r="O16" s="3360"/>
      <c r="P16" s="3361"/>
    </row>
    <row r="17" spans="1:19" ht="15">
      <c r="A17" s="121" t="s">
        <v>216</v>
      </c>
      <c r="B17" s="122" t="s">
        <v>217</v>
      </c>
      <c r="C17" s="2177" t="s">
        <v>2301</v>
      </c>
      <c r="D17" s="108" t="s">
        <v>204</v>
      </c>
      <c r="E17" s="124" t="s">
        <v>205</v>
      </c>
      <c r="F17" s="125"/>
      <c r="G17" s="1318"/>
      <c r="H17" s="958" t="s">
        <v>218</v>
      </c>
      <c r="I17" s="959" t="s">
        <v>2300</v>
      </c>
      <c r="J17" s="1897"/>
      <c r="K17" s="3362" t="s">
        <v>2548</v>
      </c>
      <c r="L17" s="3363"/>
      <c r="M17" s="3364"/>
      <c r="N17" s="3362" t="s">
        <v>2549</v>
      </c>
      <c r="O17" s="3363"/>
      <c r="P17" s="3364"/>
      <c r="R17" s="2178" t="s">
        <v>2299</v>
      </c>
      <c r="S17" s="142"/>
    </row>
    <row r="18" spans="1:19" ht="15">
      <c r="A18" s="117"/>
      <c r="B18" s="128"/>
      <c r="C18" s="129"/>
      <c r="D18" s="2483"/>
      <c r="E18" s="130" t="s">
        <v>220</v>
      </c>
      <c r="F18" s="131" t="s">
        <v>221</v>
      </c>
      <c r="G18" s="1319" t="s">
        <v>222</v>
      </c>
      <c r="H18" s="960" t="s">
        <v>223</v>
      </c>
      <c r="I18" s="961" t="s">
        <v>224</v>
      </c>
      <c r="J18" s="1897"/>
      <c r="K18" s="2448" t="s">
        <v>2550</v>
      </c>
      <c r="L18" s="2449" t="s">
        <v>2551</v>
      </c>
      <c r="M18" s="2450" t="s">
        <v>2552</v>
      </c>
      <c r="N18" s="2448" t="s">
        <v>2550</v>
      </c>
      <c r="O18" s="2449" t="s">
        <v>2551</v>
      </c>
      <c r="P18" s="2450" t="s">
        <v>2552</v>
      </c>
      <c r="R18" s="2179" t="s">
        <v>2297</v>
      </c>
      <c r="S18" s="2179" t="s">
        <v>2298</v>
      </c>
    </row>
    <row r="19" spans="1:19">
      <c r="A19" s="133"/>
      <c r="B19" s="115" t="s">
        <v>225</v>
      </c>
      <c r="C19" s="2737" t="s">
        <v>3018</v>
      </c>
      <c r="D19" s="111">
        <f t="shared" ref="D19:D26" si="1">ROUND($D$3*E19/$E$3,2)</f>
        <v>59191.72</v>
      </c>
      <c r="E19" s="134">
        <f t="shared" ref="E19:E26" si="2">SUM(F19:G19)</f>
        <v>63580</v>
      </c>
      <c r="F19" s="3084">
        <f>'数据-基础表'!I5</f>
        <v>63580</v>
      </c>
      <c r="G19" s="3085"/>
      <c r="H19" s="962">
        <f>ROUND($D$3*I19/$E$3,2)</f>
        <v>241.66</v>
      </c>
      <c r="I19" s="116">
        <f>IF($I$17="自定义",P19,M19)</f>
        <v>259.58</v>
      </c>
      <c r="J19" s="1897"/>
      <c r="K19" s="2451">
        <f t="shared" ref="K19:K26" si="3">ROUND(E$28*E19/E$27,2)</f>
        <v>259.58</v>
      </c>
      <c r="L19" s="273">
        <f t="shared" ref="L19:L26" si="4">ROUND(IF(COUNTIF(C19,"*住宅*")&gt;0,E$29*E19/E$32,0),2)</f>
        <v>0</v>
      </c>
      <c r="M19" s="2452">
        <f>K19+L19</f>
        <v>259.58</v>
      </c>
      <c r="N19" s="2453"/>
      <c r="O19" s="2454"/>
      <c r="P19" s="2455">
        <f>N19+O19</f>
        <v>0</v>
      </c>
      <c r="R19" s="273">
        <f t="shared" ref="R19:S26" si="5">D19+H19</f>
        <v>59433.380000000005</v>
      </c>
      <c r="S19" s="2180">
        <f t="shared" si="5"/>
        <v>63839.58</v>
      </c>
    </row>
    <row r="20" spans="1:19">
      <c r="A20" s="137"/>
      <c r="B20" s="115" t="s">
        <v>226</v>
      </c>
      <c r="C20" s="2737" t="s">
        <v>3019</v>
      </c>
      <c r="D20" s="111">
        <f t="shared" si="1"/>
        <v>5101.7700000000004</v>
      </c>
      <c r="E20" s="134">
        <f t="shared" si="2"/>
        <v>5480</v>
      </c>
      <c r="F20" s="3084">
        <f>'数据-基础表'!K5</f>
        <v>5480</v>
      </c>
      <c r="G20" s="3085"/>
      <c r="H20" s="962">
        <f t="shared" ref="H20:H26" si="6">ROUND($D$3*I20/$E$3,2)</f>
        <v>20.83</v>
      </c>
      <c r="I20" s="116">
        <f t="shared" ref="I20:I26" si="7">IF($I$17="自定义",P20,M20)</f>
        <v>22.37</v>
      </c>
      <c r="J20" s="1897"/>
      <c r="K20" s="2451">
        <f t="shared" si="3"/>
        <v>22.37</v>
      </c>
      <c r="L20" s="273">
        <f t="shared" si="4"/>
        <v>0</v>
      </c>
      <c r="M20" s="2452">
        <f t="shared" ref="M20:M26" si="8">K20+L20</f>
        <v>22.37</v>
      </c>
      <c r="N20" s="2453"/>
      <c r="O20" s="2454"/>
      <c r="P20" s="2455">
        <f t="shared" ref="P20:P26" si="9">N20+O20</f>
        <v>0</v>
      </c>
      <c r="R20" s="273">
        <f t="shared" si="5"/>
        <v>5122.6000000000004</v>
      </c>
      <c r="S20" s="2180">
        <f t="shared" si="5"/>
        <v>5502.37</v>
      </c>
    </row>
    <row r="21" spans="1:19">
      <c r="A21" s="137"/>
      <c r="B21" s="115" t="s">
        <v>226</v>
      </c>
      <c r="C21" s="2737" t="s">
        <v>3020</v>
      </c>
      <c r="D21" s="111">
        <f t="shared" si="1"/>
        <v>32320.84</v>
      </c>
      <c r="E21" s="134">
        <f t="shared" si="2"/>
        <v>34717</v>
      </c>
      <c r="F21" s="3084"/>
      <c r="G21" s="3085">
        <f>'数据-基础表'!M5</f>
        <v>34717</v>
      </c>
      <c r="H21" s="962">
        <f t="shared" si="6"/>
        <v>131.96</v>
      </c>
      <c r="I21" s="116">
        <f t="shared" si="7"/>
        <v>141.74</v>
      </c>
      <c r="J21" s="1897"/>
      <c r="K21" s="2451">
        <f t="shared" si="3"/>
        <v>141.74</v>
      </c>
      <c r="L21" s="273">
        <f t="shared" si="4"/>
        <v>0</v>
      </c>
      <c r="M21" s="2452">
        <f t="shared" si="8"/>
        <v>141.74</v>
      </c>
      <c r="N21" s="2453"/>
      <c r="O21" s="2454"/>
      <c r="P21" s="2455">
        <f t="shared" si="9"/>
        <v>0</v>
      </c>
      <c r="R21" s="273">
        <f t="shared" si="5"/>
        <v>32452.799999999999</v>
      </c>
      <c r="S21" s="2180">
        <f t="shared" si="5"/>
        <v>34858.74</v>
      </c>
    </row>
    <row r="22" spans="1:19">
      <c r="A22" s="137"/>
      <c r="B22" s="115" t="s">
        <v>226</v>
      </c>
      <c r="C22" s="3281" t="s">
        <v>3021</v>
      </c>
      <c r="D22" s="111">
        <f t="shared" si="1"/>
        <v>17398.16</v>
      </c>
      <c r="E22" s="134">
        <f t="shared" si="2"/>
        <v>18688</v>
      </c>
      <c r="F22" s="3086"/>
      <c r="G22" s="3087">
        <f>'数据-基础表'!O5</f>
        <v>18688</v>
      </c>
      <c r="H22" s="962">
        <f t="shared" si="6"/>
        <v>71.03</v>
      </c>
      <c r="I22" s="116">
        <f t="shared" si="7"/>
        <v>76.3</v>
      </c>
      <c r="J22" s="1897"/>
      <c r="K22" s="2451">
        <f t="shared" si="3"/>
        <v>76.3</v>
      </c>
      <c r="L22" s="273">
        <f t="shared" si="4"/>
        <v>0</v>
      </c>
      <c r="M22" s="2452">
        <f t="shared" si="8"/>
        <v>76.3</v>
      </c>
      <c r="N22" s="2453"/>
      <c r="O22" s="2454"/>
      <c r="P22" s="2455">
        <f t="shared" si="9"/>
        <v>0</v>
      </c>
      <c r="R22" s="273">
        <f t="shared" si="5"/>
        <v>17469.189999999999</v>
      </c>
      <c r="S22" s="2180">
        <f t="shared" si="5"/>
        <v>18764.3</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43.5" thickBot="1">
      <c r="A27" s="137"/>
      <c r="B27" s="111"/>
      <c r="C27" s="127" t="s">
        <v>215</v>
      </c>
      <c r="D27" s="134">
        <f>SUM(D19:D26)</f>
        <v>114012.49</v>
      </c>
      <c r="E27" s="141">
        <f>IF(SUM(E19:E26)='数据-基础表'!BA5,SUM(E19:E26),IF(F27="地上面积有误","面积有误","地下面积有误"))</f>
        <v>122465</v>
      </c>
      <c r="F27" s="134">
        <f>IF(SUM(F19:F26)=E8,SUM(F19:F26),"地上面积有误")</f>
        <v>69060</v>
      </c>
      <c r="G27" s="112">
        <f>SUM(G19:G26)</f>
        <v>53405</v>
      </c>
      <c r="H27" s="963">
        <f>SUM(H19:H26)</f>
        <v>465.48</v>
      </c>
      <c r="I27" s="964">
        <f>SUM(I19:I26)</f>
        <v>499.99</v>
      </c>
      <c r="J27" s="1897"/>
      <c r="K27" s="2460">
        <f>SUM(K19:K26)</f>
        <v>499.99</v>
      </c>
      <c r="L27" s="2461">
        <f>SUM(L19:L26)</f>
        <v>0</v>
      </c>
      <c r="M27" s="2462">
        <f>SUM(M19:M26)</f>
        <v>499.99</v>
      </c>
      <c r="N27" s="2460">
        <f t="shared" ref="N27:O27" si="10">SUM(N19:N26)</f>
        <v>0</v>
      </c>
      <c r="O27" s="2461">
        <f t="shared" si="10"/>
        <v>0</v>
      </c>
      <c r="P27" s="2463">
        <f>SUM(P19:P26)</f>
        <v>0</v>
      </c>
      <c r="R27" s="2184" t="str">
        <f>IF(SUM(R19:R26)=$D$3,SUM(R19:R26),SUM(R19:R26)&amp;"误差"&amp;ROUND(SUM(R19:R26)-$D$3,2))</f>
        <v>114477.97误差-93.11</v>
      </c>
      <c r="S27" s="273" t="str">
        <f>IF(SUM(S19:S26)=$E$3,SUM(S19:S26),SUM(S19:S26)&amp;"误差"&amp;ROUND(SUM(S19:S26)-E3,2))</f>
        <v>122964.99误差-100.01</v>
      </c>
    </row>
    <row r="28" spans="1:19">
      <c r="A28" s="137"/>
      <c r="B28" s="115" t="s">
        <v>227</v>
      </c>
      <c r="C28" s="135" t="s">
        <v>228</v>
      </c>
      <c r="D28" s="111">
        <f>ROUND($D$3*E28/$E$3,2)</f>
        <v>465.49</v>
      </c>
      <c r="E28" s="134">
        <f>SUM(F28:G28)</f>
        <v>500</v>
      </c>
      <c r="F28" s="142">
        <f>'数据-基础表'!BQ5+'数据-基础表'!BS5</f>
        <v>0</v>
      </c>
      <c r="G28" s="143">
        <f>'数据-基础表'!BR5+'数据-基础表'!BT5</f>
        <v>500</v>
      </c>
      <c r="H28" s="3082"/>
      <c r="I28" s="3082"/>
      <c r="J28" s="3082"/>
      <c r="K28" s="3082"/>
      <c r="L28" s="3082"/>
      <c r="M28" s="3082"/>
      <c r="N28" s="3082"/>
      <c r="O28" s="3082"/>
      <c r="P28" s="3082"/>
    </row>
    <row r="29" spans="1:19">
      <c r="A29" s="137"/>
      <c r="B29" s="115" t="s">
        <v>227</v>
      </c>
      <c r="C29" s="2192" t="s">
        <v>2308</v>
      </c>
      <c r="D29" s="111">
        <f>ROUND($D$3*E29/$E$3,2)</f>
        <v>93.1</v>
      </c>
      <c r="E29" s="134">
        <f>SUM(F29:G29)</f>
        <v>100</v>
      </c>
      <c r="F29" s="142">
        <f>'数据-基础表'!BM5+'数据-基础表'!BO5</f>
        <v>100</v>
      </c>
      <c r="G29" s="144">
        <f>'数据-基础表'!BN5+'数据-基础表'!BP5</f>
        <v>0</v>
      </c>
      <c r="H29" s="3082"/>
      <c r="I29" s="3082"/>
      <c r="J29" s="3082"/>
      <c r="K29" s="3082"/>
      <c r="L29" s="3082"/>
      <c r="M29" s="3082"/>
      <c r="N29" s="3082"/>
      <c r="O29" s="3082"/>
      <c r="P29" s="3082"/>
    </row>
    <row r="30" spans="1:19">
      <c r="A30" s="137"/>
      <c r="B30" s="111"/>
      <c r="C30" s="145" t="s">
        <v>215</v>
      </c>
      <c r="D30" s="134">
        <f>SUM(D28:D29)</f>
        <v>558.59</v>
      </c>
      <c r="E30" s="134">
        <f>SUM(E28:E29)</f>
        <v>600</v>
      </c>
      <c r="F30" s="134">
        <f>SUM(F28:F29)</f>
        <v>100</v>
      </c>
      <c r="G30" s="112">
        <f>SUM(G28:G29)</f>
        <v>500</v>
      </c>
      <c r="H30" s="3082"/>
      <c r="I30" s="3082"/>
      <c r="J30" s="3082"/>
      <c r="K30" s="3082"/>
      <c r="L30" s="3082"/>
      <c r="M30" s="3082"/>
      <c r="N30" s="3082"/>
      <c r="O30" s="3082"/>
      <c r="P30" s="3082"/>
    </row>
    <row r="31" spans="1:19" ht="32.25" customHeight="1" thickBot="1">
      <c r="A31" s="1320"/>
      <c r="B31" s="1321" t="s">
        <v>229</v>
      </c>
      <c r="C31" s="2209" t="s">
        <v>2310</v>
      </c>
      <c r="D31" s="1322">
        <f>D27+D30</f>
        <v>114571.08</v>
      </c>
      <c r="E31" s="1322">
        <f>E27+E30</f>
        <v>123065</v>
      </c>
      <c r="F31" s="1323">
        <f>F27+F30</f>
        <v>69160</v>
      </c>
      <c r="G31" s="1324">
        <f>G27+G30</f>
        <v>53905</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AA6" activePane="bottomRight" state="frozen"/>
      <selection pane="topRight" activeCell="D1" sqref="D1"/>
      <selection pane="bottomLeft" activeCell="A4" sqref="A4"/>
      <selection pane="bottomRight" activeCell="AH12" sqref="AH12"/>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44265</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2975</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平墅</v>
      </c>
      <c r="B6" s="2216" t="str">
        <f>IF(A6=0,"","经营性")</f>
        <v>经营性</v>
      </c>
      <c r="C6" s="171" t="s">
        <v>914</v>
      </c>
      <c r="D6" s="2187">
        <f>SUMIF(项目基本情况!D$15:I$15,C6,项目基本情况!D$18:I$18)</f>
        <v>70</v>
      </c>
      <c r="E6" s="2188">
        <f>IF(B6="","",SUMIF(项目基本情况!D$15:I$15,C6,项目基本情况!D$17:I$17))</f>
        <v>61279</v>
      </c>
      <c r="F6" s="172">
        <f>SUMIF(项目基本情况!D$15:I$15,C6,项目基本情况!D$19:I$19)</f>
        <v>46.61</v>
      </c>
      <c r="G6" s="173">
        <f>IF(ISERROR(ROUND(POWER(1+H6,D6-F6)*(POWER(1+H6,F6)-1)/(POWER(1+H6,D6)-1),3)),0,ROUND(POWER(1+H6,D6-F6)*(POWER(1+H6,F6)-1)/(POWER(1+H6,D6)-1),3))</f>
        <v>0.89700000000000002</v>
      </c>
      <c r="H6" s="2738">
        <v>0.04</v>
      </c>
      <c r="I6" s="2738">
        <v>4.4999999999999998E-2</v>
      </c>
      <c r="J6" s="174">
        <v>0.08</v>
      </c>
      <c r="K6" s="177">
        <f>SUMIF('数据-汇总表'!C$19:C$33,'数据-取费表'!A6,'数据-汇总表'!E$19:E$33)</f>
        <v>63580</v>
      </c>
      <c r="L6" s="2739">
        <v>4000</v>
      </c>
      <c r="M6" s="175">
        <f t="shared" ref="M6:M14" si="0">ROUND(K6*L6/10000,0)</f>
        <v>25432</v>
      </c>
      <c r="N6" s="2740">
        <v>0</v>
      </c>
      <c r="O6" s="175">
        <f>IF($N$5="成新度","——",ROUND(M6*N6,0))</f>
        <v>0</v>
      </c>
      <c r="P6" s="176">
        <f>IF($N$5="成新度","——",M6-O6)</f>
        <v>25432</v>
      </c>
      <c r="Q6" s="2741">
        <v>0.2</v>
      </c>
      <c r="R6" s="177">
        <f>SUMIF('数据-汇总表'!C$19:C$33,A6,'数据-汇总表'!R$19:R$33)</f>
        <v>59433.380000000005</v>
      </c>
      <c r="S6" s="132">
        <f>IF('数据-汇总表'!$I$17="按面积比例",SUMIF('数据-汇总表'!C$19:C$33,A6,'数据-汇总表'!K$19:K$33),SUMIF('数据-汇总表'!C$19:C$33,A6,'数据-汇总表'!N$19:N$33))</f>
        <v>259.58</v>
      </c>
      <c r="T6" s="2113">
        <f>IF($T$4="按面积比例",IF(ISERROR(ROUND($M$14*S6/S$16,0)),"0",ROUND($M$14*S6/S$16,0)),"需自行计算录入")</f>
        <v>104</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0.83899999999999997</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合院</v>
      </c>
      <c r="B7" s="2216" t="str">
        <f t="shared" ref="B7:B13" si="1">IF(A7=0,"","经营性")</f>
        <v>经营性</v>
      </c>
      <c r="C7" s="171" t="s">
        <v>914</v>
      </c>
      <c r="D7" s="2187">
        <f>SUMIF(项目基本情况!D$15:I$15,C7,项目基本情况!D$18:I$18)</f>
        <v>70</v>
      </c>
      <c r="E7" s="2188">
        <f>IF(B7="","",SUMIF(项目基本情况!D$15:I$15,C7,项目基本情况!D$17:I$17))</f>
        <v>61279</v>
      </c>
      <c r="F7" s="172">
        <f>SUMIF(项目基本情况!D$15:I$15,C7,项目基本情况!D$19:I$19)</f>
        <v>46.61</v>
      </c>
      <c r="G7" s="173">
        <f t="shared" ref="G7:G11" si="2">IF(ISERROR(ROUND(POWER(1+H7,D7-F7)*(POWER(1+H7,F7)-1)/(POWER(1+H7,D7)-1),3)),0,ROUND(POWER(1+H7,D7-F7)*(POWER(1+H7,F7)-1)/(POWER(1+H7,D7)-1),3))</f>
        <v>0.89700000000000002</v>
      </c>
      <c r="H7" s="2738">
        <v>0.04</v>
      </c>
      <c r="I7" s="2738">
        <v>4.4999999999999998E-2</v>
      </c>
      <c r="J7" s="174">
        <v>0.08</v>
      </c>
      <c r="K7" s="177">
        <f>SUMIF('数据-汇总表'!C$19:C$33,'数据-取费表'!A7,'数据-汇总表'!E$19:E$33)</f>
        <v>5480</v>
      </c>
      <c r="L7" s="2739">
        <f>L6</f>
        <v>4000</v>
      </c>
      <c r="M7" s="175">
        <f t="shared" si="0"/>
        <v>2192</v>
      </c>
      <c r="N7" s="2740">
        <f>N6</f>
        <v>0</v>
      </c>
      <c r="O7" s="175">
        <f t="shared" ref="O7:O14" si="3">IF($N$5="成新度","——",ROUND(M7*N7,0))</f>
        <v>0</v>
      </c>
      <c r="P7" s="176">
        <f t="shared" ref="P7:P14" si="4">IF($N$5="成新度","——",M7-O7)</f>
        <v>2192</v>
      </c>
      <c r="Q7" s="2741">
        <f>Q6</f>
        <v>0.2</v>
      </c>
      <c r="R7" s="177">
        <f>SUMIF('数据-汇总表'!C$19:C$33,A7,'数据-汇总表'!R$19:R$33)</f>
        <v>5122.6000000000004</v>
      </c>
      <c r="S7" s="132">
        <f>IF('数据-汇总表'!$I$17="按面积比例",SUMIF('数据-汇总表'!C$19:C$33,A7,'数据-汇总表'!K$19:K$33),SUMIF('数据-汇总表'!C$19:C$33,A7,'数据-汇总表'!N$19:N$33))</f>
        <v>22.37</v>
      </c>
      <c r="T7" s="2113">
        <f t="shared" ref="T7:T13" si="5">IF($T$4="按面积比例",IF(ISERROR(ROUND($M$14*S7/S$16,0)),"0",ROUND($M$14*S7/S$16,0)),"需自行计算录入")</f>
        <v>9</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0.83899999999999997</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仓储</v>
      </c>
      <c r="B8" s="2216" t="str">
        <f t="shared" si="1"/>
        <v>经营性</v>
      </c>
      <c r="C8" s="171" t="s">
        <v>3015</v>
      </c>
      <c r="D8" s="2187">
        <f>SUMIF(项目基本情况!D$15:I$15,C8,项目基本情况!D$18:I$18)</f>
        <v>50</v>
      </c>
      <c r="E8" s="2188">
        <f>IF(B8="","",SUMIF(项目基本情况!D$15:I$15,C8,项目基本情况!D$17:I$17))</f>
        <v>53974</v>
      </c>
      <c r="F8" s="172">
        <f>SUMIF(项目基本情况!D$15:I$15,C8,项目基本情况!D$19:I$19)</f>
        <v>26.6</v>
      </c>
      <c r="G8" s="173">
        <f t="shared" si="2"/>
        <v>0.77600000000000002</v>
      </c>
      <c r="H8" s="2738">
        <v>4.4999999999999998E-2</v>
      </c>
      <c r="I8" s="2738">
        <v>0.05</v>
      </c>
      <c r="J8" s="174">
        <v>0.08</v>
      </c>
      <c r="K8" s="177">
        <f>SUMIF('数据-汇总表'!C$19:C$33,'数据-取费表'!A8,'数据-汇总表'!E$19:E$33)</f>
        <v>34717</v>
      </c>
      <c r="L8" s="2739">
        <f>L6</f>
        <v>4000</v>
      </c>
      <c r="M8" s="175">
        <f>ROUND(K8*L8/10000,0)</f>
        <v>13887</v>
      </c>
      <c r="N8" s="2740">
        <f>N6</f>
        <v>0</v>
      </c>
      <c r="O8" s="175">
        <f t="shared" si="3"/>
        <v>0</v>
      </c>
      <c r="P8" s="176">
        <f t="shared" si="4"/>
        <v>13887</v>
      </c>
      <c r="Q8" s="2741">
        <v>0.1</v>
      </c>
      <c r="R8" s="177">
        <f>SUMIF('数据-汇总表'!C$19:C$33,A8,'数据-汇总表'!R$19:R$33)</f>
        <v>32452.799999999999</v>
      </c>
      <c r="S8" s="132">
        <f>IF('数据-汇总表'!$I$17="按面积比例",SUMIF('数据-汇总表'!C$19:C$33,A8,'数据-汇总表'!K$19:K$33),SUMIF('数据-汇总表'!C$19:C$33,A8,'数据-汇总表'!N$19:N$33))</f>
        <v>141.74</v>
      </c>
      <c r="T8" s="2113">
        <f t="shared" si="5"/>
        <v>57</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0.69</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车库</v>
      </c>
      <c r="B9" s="2216" t="str">
        <f t="shared" si="1"/>
        <v>经营性</v>
      </c>
      <c r="C9" s="171" t="s">
        <v>3016</v>
      </c>
      <c r="D9" s="2187">
        <f>SUMIF(项目基本情况!D$15:I$15,C9,项目基本情况!D$18:I$18)</f>
        <v>50</v>
      </c>
      <c r="E9" s="2188">
        <f>IF(B9="","",SUMIF(项目基本情况!D$15:I$15,C9,项目基本情况!D$17:I$17))</f>
        <v>53974</v>
      </c>
      <c r="F9" s="172">
        <f>SUMIF(项目基本情况!D$15:I$15,C9,项目基本情况!D$19:I$19)</f>
        <v>26.6</v>
      </c>
      <c r="G9" s="173">
        <f t="shared" si="2"/>
        <v>0.77600000000000002</v>
      </c>
      <c r="H9" s="174">
        <v>4.4999999999999998E-2</v>
      </c>
      <c r="I9" s="174">
        <v>0.05</v>
      </c>
      <c r="J9" s="174">
        <v>0.08</v>
      </c>
      <c r="K9" s="177">
        <f>SUMIF('数据-汇总表'!C$19:C$33,'数据-取费表'!A9,'数据-汇总表'!E$19:E$33)</f>
        <v>18688</v>
      </c>
      <c r="L9" s="191">
        <f>L6</f>
        <v>4000</v>
      </c>
      <c r="M9" s="175">
        <f t="shared" si="0"/>
        <v>7475</v>
      </c>
      <c r="N9" s="192">
        <f>N6</f>
        <v>0</v>
      </c>
      <c r="O9" s="175">
        <f t="shared" si="3"/>
        <v>0</v>
      </c>
      <c r="P9" s="176">
        <f t="shared" si="4"/>
        <v>7475</v>
      </c>
      <c r="Q9" s="190">
        <v>0.05</v>
      </c>
      <c r="R9" s="177">
        <f>SUMIF('数据-汇总表'!C$19:C$33,A9,'数据-汇总表'!R$19:R$33)</f>
        <v>17469.189999999999</v>
      </c>
      <c r="S9" s="132">
        <f>IF('数据-汇总表'!$I$17="按面积比例",SUMIF('数据-汇总表'!C$19:C$33,A9,'数据-汇总表'!K$19:K$33),SUMIF('数据-汇总表'!C$19:C$33,A9,'数据-汇总表'!N$19:N$33))</f>
        <v>76.3</v>
      </c>
      <c r="T9" s="2113">
        <f t="shared" si="5"/>
        <v>31</v>
      </c>
      <c r="U9" s="178"/>
      <c r="V9" s="179"/>
      <c r="W9" s="179"/>
      <c r="X9" s="2200"/>
      <c r="Y9" s="180"/>
      <c r="Z9" s="181"/>
      <c r="AA9" s="174"/>
      <c r="AB9" s="174"/>
      <c r="AC9" s="2203"/>
      <c r="AD9" s="182"/>
      <c r="AE9" s="960">
        <f t="shared" ca="1" si="6"/>
        <v>0</v>
      </c>
      <c r="AF9" s="139"/>
      <c r="AG9" s="1196">
        <f t="shared" si="7"/>
        <v>0</v>
      </c>
      <c r="AH9" s="139">
        <v>492</v>
      </c>
      <c r="AI9" s="185"/>
      <c r="AJ9" s="186"/>
      <c r="AK9" s="187"/>
      <c r="AL9" s="188"/>
      <c r="AM9" s="2244"/>
      <c r="AN9" s="2246"/>
      <c r="AO9" s="3092"/>
      <c r="AP9" s="1187">
        <f t="shared" si="8"/>
        <v>0.69</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500</v>
      </c>
      <c r="L14" s="191">
        <f>L6</f>
        <v>4000</v>
      </c>
      <c r="M14" s="175">
        <f t="shared" si="0"/>
        <v>200</v>
      </c>
      <c r="N14" s="192">
        <f>N6</f>
        <v>0</v>
      </c>
      <c r="O14" s="175">
        <f t="shared" si="3"/>
        <v>0</v>
      </c>
      <c r="P14" s="176">
        <f t="shared" si="4"/>
        <v>200</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100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0.84399999999999997</v>
      </c>
      <c r="H16" s="201">
        <f>ROUND(SUMPRODUCT(H6:H13,K6:K13)/SUMPRODUCT((H6:H13&gt;0)*(K6:K13)),3)</f>
        <v>4.2000000000000003E-2</v>
      </c>
      <c r="I16" s="202"/>
      <c r="J16" s="202"/>
      <c r="K16" s="203">
        <f>SUM(K6:K15)</f>
        <v>123065</v>
      </c>
      <c r="L16" s="204">
        <f>ROUND(M16*10000/SUM(K6:K14),0)</f>
        <v>4000</v>
      </c>
      <c r="M16" s="204">
        <f>SUM(M6:M14)</f>
        <v>49186</v>
      </c>
      <c r="N16" s="205">
        <f>ROUND(SUMPRODUCT(M6:M14,N6:N14)/M16,3)</f>
        <v>0</v>
      </c>
      <c r="O16" s="204">
        <f>SUM(O6:O14)</f>
        <v>0</v>
      </c>
      <c r="P16" s="204">
        <f>SUM(P6:P14)</f>
        <v>49186</v>
      </c>
      <c r="Q16" s="206">
        <f>ROUND(SUMPRODUCT(Q6:Q13,K6:K13)/SUMPRODUCT((Q6:Q13&gt;0)*(K6:K13)),2)</f>
        <v>0.15</v>
      </c>
      <c r="R16" s="2190">
        <f>SUM(R6:R13)</f>
        <v>114477.97</v>
      </c>
      <c r="S16" s="207">
        <f>SUM(S6:S13)</f>
        <v>499.99</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0.77400000000000002</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2987</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3</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f>145065/K16*10000</f>
        <v>11787.673180839392</v>
      </c>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150</v>
      </c>
      <c r="C27" s="3105" t="s">
        <v>2988</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190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50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8">
        <v>150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29">
        <v>0.03</v>
      </c>
      <c r="C33" s="3107" t="s">
        <v>2976</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2977</v>
      </c>
      <c r="D34" s="3108" t="s">
        <v>2984</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2978</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2979</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2980</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2980</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3004</v>
      </c>
      <c r="B40" s="2333">
        <f ca="1">IF(A40="利息：取LPR",存贷款利率!E2,存贷款利率!E2+C40)</f>
        <v>3.85E-2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2985</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2981</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2982</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2989</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2981</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2983</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18</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1317</v>
      </c>
      <c r="C53" s="3100" t="s">
        <v>2872</v>
      </c>
      <c r="D53" s="3111" t="s">
        <v>2986</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f>C56</f>
        <v>18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4" t="s">
        <v>1654</v>
      </c>
      <c r="B1" s="3375"/>
      <c r="C1" s="3375"/>
      <c r="D1" s="3375"/>
      <c r="E1" s="3375"/>
      <c r="F1" s="3375"/>
      <c r="G1" s="337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2527</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2528</v>
      </c>
      <c r="G6" s="3135" t="s">
        <v>2883</v>
      </c>
      <c r="H6" s="3123"/>
      <c r="I6" s="3123"/>
      <c r="J6" s="3123"/>
      <c r="K6" s="3123"/>
      <c r="L6" s="3123"/>
      <c r="M6" s="3123"/>
      <c r="N6" s="3123"/>
      <c r="O6" s="3123"/>
      <c r="P6" s="3123"/>
      <c r="Q6" s="3123"/>
      <c r="R6" s="3123"/>
    </row>
    <row r="7" spans="1:18" ht="27.75" thickBot="1">
      <c r="A7" s="3128"/>
      <c r="B7" s="3131" t="s">
        <v>2527</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2528</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123065</v>
      </c>
      <c r="C1" s="3194"/>
      <c r="D1" s="3194"/>
      <c r="E1" s="3194"/>
      <c r="F1" s="3194"/>
      <c r="G1" s="3195"/>
      <c r="H1" s="3195"/>
      <c r="I1" s="3195"/>
      <c r="J1" s="3195"/>
    </row>
    <row r="2" spans="1:10" ht="16.5">
      <c r="A2" s="3185" t="s">
        <v>2824</v>
      </c>
      <c r="B2" s="3185">
        <f>SUM(C14:C23)</f>
        <v>114571.08</v>
      </c>
      <c r="C2" s="3194"/>
      <c r="D2" s="3194"/>
      <c r="E2" s="3194"/>
      <c r="F2" s="3194"/>
      <c r="G2" s="3195"/>
      <c r="H2" s="3195"/>
      <c r="I2" s="3195"/>
      <c r="J2" s="3195"/>
    </row>
    <row r="3" spans="1:10" ht="16.5">
      <c r="A3" s="3185" t="s">
        <v>2825</v>
      </c>
      <c r="B3" s="3187">
        <f>项目基本情况!D3</f>
        <v>44265</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447332</v>
      </c>
      <c r="C5" s="3185">
        <f ca="1">ROUND(B5*10000/$B$1,0)</f>
        <v>36349</v>
      </c>
      <c r="D5" s="3185">
        <f ca="1">ROUND(B5*10000/$B$2,0)</f>
        <v>39044</v>
      </c>
      <c r="E5" s="3194"/>
      <c r="F5" s="3194"/>
      <c r="G5" s="3195"/>
      <c r="H5" s="3195"/>
      <c r="I5" s="3195"/>
      <c r="J5" s="3195"/>
    </row>
    <row r="6" spans="1:10" ht="16.5">
      <c r="A6" s="3185" t="s">
        <v>2831</v>
      </c>
      <c r="B6" s="3185">
        <f ca="1">SUM(G14:G23)</f>
        <v>377079</v>
      </c>
      <c r="C6" s="3185">
        <f t="shared" ref="C6:C8" ca="1" si="0">ROUND(B6*10000/$B$1,0)</f>
        <v>30641</v>
      </c>
      <c r="D6" s="3185">
        <f t="shared" ref="D6:D8" ca="1" si="1">ROUND(B6*10000/$B$2,0)</f>
        <v>32912</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123065</v>
      </c>
      <c r="C14" s="3191">
        <f>结果表!K38</f>
        <v>114571.08</v>
      </c>
      <c r="D14" s="3191">
        <f ca="1">结果表!C42</f>
        <v>447332</v>
      </c>
      <c r="E14" s="3191">
        <f ca="1">ROUND(D14*10000/B14,0)</f>
        <v>36349</v>
      </c>
      <c r="F14" s="3191">
        <f ca="1">ROUND(D14*10000/C14,0)</f>
        <v>39044</v>
      </c>
      <c r="G14" s="3191">
        <f ca="1">结果表!C44</f>
        <v>377079</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52" zoomScale="85" zoomScaleNormal="100" zoomScaleSheetLayoutView="85" zoomScalePageLayoutView="80" workbookViewId="0">
      <selection activeCell="H39" sqref="H3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t="s">
        <v>3241</v>
      </c>
      <c r="G1" s="309"/>
      <c r="H1" s="309"/>
      <c r="I1" s="309"/>
      <c r="J1" s="1911"/>
      <c r="K1" s="1911"/>
      <c r="L1" s="1911"/>
      <c r="M1" s="1911"/>
      <c r="N1" s="1911"/>
      <c r="O1" s="1911"/>
      <c r="P1" s="1911"/>
      <c r="Q1" s="1911"/>
      <c r="R1" s="1911"/>
      <c r="S1" s="1911"/>
      <c r="T1" s="1911"/>
      <c r="U1" s="1911"/>
      <c r="V1" s="1911"/>
    </row>
    <row r="2" spans="1:22" ht="21.75" customHeight="1" thickBot="1">
      <c r="A2" s="3420" t="str">
        <f>项目基本情况!K2</f>
        <v>北京市出让国有建设用地使用权</v>
      </c>
      <c r="B2" s="3421"/>
      <c r="C2" s="3422"/>
      <c r="D2" s="3422"/>
      <c r="E2" s="3422"/>
      <c r="F2" s="3422"/>
      <c r="G2" s="3421"/>
      <c r="H2" s="3421"/>
      <c r="I2" s="3423"/>
      <c r="J2" s="1912"/>
      <c r="K2" s="1911"/>
      <c r="L2" s="1911"/>
      <c r="M2" s="1911"/>
      <c r="N2" s="1911"/>
      <c r="O2" s="1911"/>
      <c r="P2" s="1911"/>
      <c r="Q2" s="1911"/>
      <c r="R2" s="1911"/>
      <c r="S2" s="1911"/>
      <c r="T2" s="1911"/>
      <c r="U2" s="1911"/>
      <c r="V2" s="1911"/>
    </row>
    <row r="3" spans="1:22" ht="14.25">
      <c r="A3" s="3413" t="s">
        <v>298</v>
      </c>
      <c r="B3" s="3414"/>
      <c r="C3" s="3414"/>
      <c r="D3" s="3414"/>
      <c r="E3" s="3414"/>
      <c r="F3" s="3414"/>
      <c r="G3" s="3414"/>
      <c r="H3" s="3414"/>
      <c r="I3" s="3414"/>
      <c r="J3" s="1912"/>
      <c r="K3" s="1911"/>
      <c r="L3" s="1911"/>
      <c r="M3" s="1911"/>
      <c r="N3" s="1911"/>
      <c r="O3" s="1911"/>
      <c r="P3" s="1911"/>
      <c r="Q3" s="1911"/>
      <c r="R3" s="1911"/>
      <c r="S3" s="1911"/>
      <c r="T3" s="1911"/>
      <c r="U3" s="1911"/>
      <c r="V3" s="1911"/>
    </row>
    <row r="4" spans="1:22" ht="14.25">
      <c r="A4" s="256" t="s">
        <v>299</v>
      </c>
      <c r="B4" s="257" t="s">
        <v>300</v>
      </c>
      <c r="C4" s="258" t="s">
        <v>3242</v>
      </c>
      <c r="D4" s="258" t="s">
        <v>3243</v>
      </c>
      <c r="E4" s="3379" t="s">
        <v>301</v>
      </c>
      <c r="F4" s="3380"/>
      <c r="G4" s="3380"/>
      <c r="H4" s="3380"/>
      <c r="I4" s="3415"/>
      <c r="J4" s="1912"/>
      <c r="K4" s="1911"/>
      <c r="L4" s="3196"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比较法</v>
      </c>
      <c r="N4" s="1911"/>
      <c r="O4" s="1911"/>
      <c r="P4" s="1911"/>
      <c r="Q4" s="1911"/>
      <c r="R4" s="1911"/>
      <c r="S4" s="1911"/>
      <c r="T4" s="1911"/>
      <c r="U4" s="1911"/>
      <c r="V4" s="1911"/>
    </row>
    <row r="5" spans="1:22" ht="14.25">
      <c r="A5" s="3378" t="s">
        <v>302</v>
      </c>
      <c r="B5" s="3407">
        <v>25</v>
      </c>
      <c r="C5" s="3405"/>
      <c r="D5" s="3409"/>
      <c r="E5" s="259" t="s">
        <v>303</v>
      </c>
      <c r="F5" s="260"/>
      <c r="G5" s="260"/>
      <c r="H5" s="260"/>
      <c r="I5" s="261"/>
      <c r="J5" s="1912"/>
      <c r="K5" s="1911"/>
      <c r="L5" s="1911"/>
      <c r="M5" s="1911"/>
      <c r="N5" s="1911"/>
      <c r="O5" s="1911"/>
      <c r="P5" s="1911"/>
      <c r="Q5" s="1911"/>
      <c r="R5" s="1911"/>
      <c r="S5" s="1911"/>
      <c r="T5" s="1911"/>
      <c r="U5" s="1911"/>
      <c r="V5" s="1911"/>
    </row>
    <row r="6" spans="1:22" ht="14.25">
      <c r="A6" s="3378"/>
      <c r="B6" s="3407"/>
      <c r="C6" s="3408"/>
      <c r="D6" s="3409"/>
      <c r="E6" s="259" t="s">
        <v>304</v>
      </c>
      <c r="F6" s="260"/>
      <c r="G6" s="260"/>
      <c r="H6" s="260"/>
      <c r="I6" s="261"/>
      <c r="J6" s="1912"/>
      <c r="K6" s="1911"/>
      <c r="L6" s="1911"/>
      <c r="M6" s="1911"/>
      <c r="N6" s="1911"/>
      <c r="O6" s="1911"/>
      <c r="P6" s="1911"/>
      <c r="Q6" s="1911"/>
      <c r="R6" s="1911"/>
      <c r="S6" s="1911"/>
      <c r="T6" s="1911"/>
      <c r="U6" s="1911"/>
      <c r="V6" s="1911"/>
    </row>
    <row r="7" spans="1:22" ht="14.25">
      <c r="A7" s="3378"/>
      <c r="B7" s="3407"/>
      <c r="C7" s="3406"/>
      <c r="D7" s="3409"/>
      <c r="E7" s="259" t="s">
        <v>305</v>
      </c>
      <c r="F7" s="260"/>
      <c r="G7" s="260"/>
      <c r="H7" s="260"/>
      <c r="I7" s="261"/>
      <c r="J7" s="1912"/>
      <c r="K7" s="1911"/>
      <c r="L7" s="1911"/>
      <c r="M7" s="1911"/>
      <c r="N7" s="1911"/>
      <c r="O7" s="1911"/>
      <c r="P7" s="1911"/>
      <c r="Q7" s="1911"/>
      <c r="R7" s="1911"/>
      <c r="S7" s="1911"/>
      <c r="T7" s="1911"/>
      <c r="U7" s="1911"/>
      <c r="V7" s="1911"/>
    </row>
    <row r="8" spans="1:22" ht="14.25">
      <c r="A8" s="3378" t="s">
        <v>306</v>
      </c>
      <c r="B8" s="3407">
        <v>15</v>
      </c>
      <c r="C8" s="3405"/>
      <c r="D8" s="3409"/>
      <c r="E8" s="259" t="s">
        <v>307</v>
      </c>
      <c r="F8" s="260"/>
      <c r="G8" s="260"/>
      <c r="H8" s="260"/>
      <c r="I8" s="261"/>
      <c r="J8" s="1912"/>
      <c r="K8" s="1911"/>
      <c r="L8" s="1911"/>
      <c r="M8" s="1911"/>
      <c r="N8" s="1911"/>
      <c r="O8" s="1911"/>
      <c r="P8" s="1911"/>
      <c r="Q8" s="1911"/>
      <c r="R8" s="1911"/>
      <c r="S8" s="1911"/>
      <c r="T8" s="1911"/>
      <c r="U8" s="1911"/>
      <c r="V8" s="1911"/>
    </row>
    <row r="9" spans="1:22" ht="14.25">
      <c r="A9" s="3378"/>
      <c r="B9" s="3407"/>
      <c r="C9" s="3406"/>
      <c r="D9" s="3409"/>
      <c r="E9" s="259" t="s">
        <v>308</v>
      </c>
      <c r="F9" s="260"/>
      <c r="G9" s="260"/>
      <c r="H9" s="260"/>
      <c r="I9" s="261"/>
      <c r="J9" s="1912"/>
      <c r="K9" s="1911"/>
      <c r="L9" s="1911"/>
      <c r="M9" s="1911"/>
      <c r="N9" s="1911"/>
      <c r="O9" s="1911"/>
      <c r="P9" s="1911"/>
      <c r="Q9" s="1911"/>
      <c r="R9" s="1911"/>
      <c r="S9" s="1911"/>
      <c r="T9" s="1911"/>
      <c r="U9" s="1911"/>
      <c r="V9" s="1911"/>
    </row>
    <row r="10" spans="1:22" ht="14.25">
      <c r="A10" s="3378" t="s">
        <v>309</v>
      </c>
      <c r="B10" s="3407">
        <v>15</v>
      </c>
      <c r="C10" s="3405"/>
      <c r="D10" s="3409"/>
      <c r="E10" s="259" t="s">
        <v>310</v>
      </c>
      <c r="F10" s="260"/>
      <c r="G10" s="260"/>
      <c r="H10" s="260"/>
      <c r="I10" s="261"/>
      <c r="J10" s="1912"/>
      <c r="K10" s="1911"/>
      <c r="L10" s="1911"/>
      <c r="M10" s="1911"/>
      <c r="N10" s="1911"/>
      <c r="O10" s="1911"/>
      <c r="P10" s="1911"/>
      <c r="Q10" s="1911"/>
      <c r="R10" s="1911"/>
      <c r="S10" s="1911"/>
      <c r="T10" s="1911"/>
      <c r="U10" s="1911"/>
      <c r="V10" s="1911"/>
    </row>
    <row r="11" spans="1:22" ht="14.25">
      <c r="A11" s="3378"/>
      <c r="B11" s="3407"/>
      <c r="C11" s="3406"/>
      <c r="D11" s="3409"/>
      <c r="E11" s="259" t="s">
        <v>311</v>
      </c>
      <c r="F11" s="260"/>
      <c r="G11" s="260"/>
      <c r="H11" s="260"/>
      <c r="I11" s="261"/>
      <c r="J11" s="1912"/>
      <c r="K11" s="1911"/>
      <c r="L11" s="1911"/>
      <c r="M11" s="1911"/>
      <c r="N11" s="1911"/>
      <c r="O11" s="1911"/>
      <c r="P11" s="1911"/>
      <c r="Q11" s="1911"/>
      <c r="R11" s="1911"/>
      <c r="S11" s="1911"/>
      <c r="T11" s="1911"/>
      <c r="U11" s="1911"/>
      <c r="V11" s="1911"/>
    </row>
    <row r="12" spans="1:22" ht="14.25">
      <c r="A12" s="3378" t="s">
        <v>312</v>
      </c>
      <c r="B12" s="3407">
        <v>15</v>
      </c>
      <c r="C12" s="3405"/>
      <c r="D12" s="3409"/>
      <c r="E12" s="259" t="s">
        <v>313</v>
      </c>
      <c r="F12" s="260"/>
      <c r="G12" s="260"/>
      <c r="H12" s="260"/>
      <c r="I12" s="261"/>
      <c r="J12" s="1912"/>
      <c r="K12" s="1911"/>
      <c r="L12" s="1911"/>
      <c r="M12" s="1911"/>
      <c r="N12" s="1911"/>
      <c r="O12" s="1911"/>
      <c r="P12" s="1911"/>
      <c r="Q12" s="1911"/>
      <c r="R12" s="1911"/>
      <c r="S12" s="1911"/>
      <c r="T12" s="1911"/>
      <c r="U12" s="1911"/>
      <c r="V12" s="1911"/>
    </row>
    <row r="13" spans="1:22" ht="14.25">
      <c r="A13" s="3378"/>
      <c r="B13" s="3407"/>
      <c r="C13" s="3406"/>
      <c r="D13" s="3409"/>
      <c r="E13" s="259" t="s">
        <v>314</v>
      </c>
      <c r="F13" s="260"/>
      <c r="G13" s="260"/>
      <c r="H13" s="260"/>
      <c r="I13" s="261"/>
      <c r="J13" s="1912"/>
      <c r="K13" s="1911"/>
      <c r="L13" s="1911"/>
      <c r="M13" s="1911"/>
      <c r="N13" s="1911"/>
      <c r="O13" s="1911"/>
      <c r="P13" s="1911"/>
      <c r="Q13" s="1911"/>
      <c r="R13" s="1911"/>
      <c r="S13" s="1911"/>
      <c r="T13" s="1911"/>
      <c r="U13" s="1911"/>
      <c r="V13" s="1911"/>
    </row>
    <row r="14" spans="1:22" ht="14.25">
      <c r="A14" s="3378" t="s">
        <v>315</v>
      </c>
      <c r="B14" s="3407">
        <v>30</v>
      </c>
      <c r="C14" s="3405">
        <v>5</v>
      </c>
      <c r="D14" s="3409">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378"/>
      <c r="B15" s="3407"/>
      <c r="C15" s="3408"/>
      <c r="D15" s="3409"/>
      <c r="E15" s="259" t="s">
        <v>317</v>
      </c>
      <c r="F15" s="260"/>
      <c r="G15" s="260"/>
      <c r="H15" s="260"/>
      <c r="I15" s="261"/>
      <c r="J15" s="1912"/>
      <c r="K15" s="1911"/>
      <c r="L15" s="1911"/>
      <c r="M15" s="1911"/>
      <c r="N15" s="1911"/>
      <c r="O15" s="1911"/>
      <c r="P15" s="1911"/>
      <c r="Q15" s="1911"/>
      <c r="R15" s="1911"/>
      <c r="S15" s="1911"/>
      <c r="T15" s="1911"/>
      <c r="U15" s="1911"/>
      <c r="V15" s="1911"/>
    </row>
    <row r="16" spans="1:22" ht="14.25">
      <c r="A16" s="3378"/>
      <c r="B16" s="3407"/>
      <c r="C16" s="3406"/>
      <c r="D16" s="3409"/>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10" t="s">
        <v>2964</v>
      </c>
      <c r="F18" s="3411"/>
      <c r="G18" s="3411"/>
      <c r="H18" s="3411"/>
      <c r="I18" s="3411"/>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438422</v>
      </c>
      <c r="D19" s="269">
        <f ca="1">SUMIF(INDIRECT("'"&amp;D4&amp;"'"&amp;"!A:A"),结果表!B19,INDIRECT("'"&amp;D4&amp;"'"&amp;"!B:B"))</f>
        <v>456241</v>
      </c>
      <c r="E19" s="266" t="s">
        <v>323</v>
      </c>
      <c r="F19" s="267" t="s">
        <v>322</v>
      </c>
      <c r="G19" s="270">
        <f ca="1">ROUND(C19*$C$18+D19*$D$18,0)</f>
        <v>447332</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35625</v>
      </c>
      <c r="D20" s="275">
        <f ca="1">SUMIF(INDIRECT("'"&amp;D4&amp;"'"&amp;"!A:A"),结果表!B20,INDIRECT("'"&amp;D4&amp;"'"&amp;"!B:B"))</f>
        <v>37073</v>
      </c>
      <c r="E20" s="272"/>
      <c r="F20" s="273" t="s">
        <v>325</v>
      </c>
      <c r="G20" s="276">
        <f ca="1">ROUND(C20*$C$18+D20*$D$18,0)</f>
        <v>36349</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38266</v>
      </c>
      <c r="D21" s="149">
        <f ca="1">SUMIF(INDIRECT("'"&amp;D4&amp;"'"&amp;"!A:A"),结果表!B21,INDIRECT("'"&amp;D4&amp;"'"&amp;"!B:B"))</f>
        <v>39822</v>
      </c>
      <c r="E21" s="272"/>
      <c r="F21" s="278" t="s">
        <v>327</v>
      </c>
      <c r="G21" s="280">
        <f ca="1">ROUND(C21*$C$18+D21*$D$18,0)</f>
        <v>39044</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4.0643489605904914E-2</v>
      </c>
      <c r="E22" s="282"/>
      <c r="F22" s="283"/>
      <c r="G22" s="284">
        <f ca="1">ROUND(G19/('数据-汇总表'!D3/666.67),0)</f>
        <v>2603</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84"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385"/>
      <c r="B25" s="1275" t="s">
        <v>331</v>
      </c>
      <c r="C25" s="288">
        <f>IF(B30=0,0,C30)</f>
        <v>0</v>
      </c>
      <c r="D25" s="289"/>
      <c r="E25" s="309"/>
      <c r="F25" s="309"/>
      <c r="G25" s="309"/>
      <c r="H25" s="309"/>
      <c r="I25" s="309"/>
      <c r="J25" s="1911"/>
      <c r="K25" s="1209" t="str">
        <f ca="1">项目基本情况!B16&amp;"国有建设用地使用权价格："&amp;O38&amp;"万元"</f>
        <v>出让国有建设用地使用权价格：447332万元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大写金额：人民币肆拾肆亿柒仟叁佰叁拾贰万元整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单位面积地价：39044元/平方米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楼面地价：36349元/平方米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抵押价格：377079万元</v>
      </c>
      <c r="L29" s="1206"/>
      <c r="M29" s="1206"/>
      <c r="N29" s="1206"/>
      <c r="O29" s="1205"/>
      <c r="P29" s="1911"/>
      <c r="V29" s="1911"/>
    </row>
    <row r="30" spans="1:26" ht="18.75" thickBot="1">
      <c r="A30" s="2800" t="s">
        <v>336</v>
      </c>
      <c r="B30" s="307"/>
      <c r="C30" s="307"/>
      <c r="D30" s="308"/>
      <c r="E30" s="3003" t="s">
        <v>2965</v>
      </c>
      <c r="F30" s="309"/>
      <c r="G30" s="309"/>
      <c r="H30" s="309"/>
      <c r="I30" s="309"/>
      <c r="J30" s="1911"/>
      <c r="K30" s="1212" t="str">
        <f ca="1">IF(K29="——","——","大写金额：人民币"&amp;NUMBERSTRING(INT(O39*10000),2)&amp;"元整")</f>
        <v>大写金额：人民币叁拾柒亿柒仟零柒拾玖万元整</v>
      </c>
      <c r="L30" s="1206"/>
      <c r="M30" s="1206"/>
      <c r="N30" s="1206"/>
      <c r="O30" s="1205"/>
      <c r="P30" s="1911"/>
      <c r="V30" s="1911"/>
    </row>
    <row r="31" spans="1:26" ht="24" customHeight="1" thickBot="1">
      <c r="A31" s="3412" t="s">
        <v>2966</v>
      </c>
      <c r="B31" s="3412"/>
      <c r="C31" s="3412"/>
      <c r="D31" s="3412"/>
      <c r="E31" s="3412"/>
      <c r="F31" s="3412"/>
      <c r="G31" s="3412"/>
      <c r="H31" s="3412"/>
      <c r="I31" s="3412"/>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1679</v>
      </c>
      <c r="C32" s="264">
        <f ca="1">G19-C24</f>
        <v>447332</v>
      </c>
      <c r="D32" s="3005"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1681</v>
      </c>
      <c r="C33" s="262">
        <f ca="1">ROUND(C32*10000/'数据-汇总表'!E3,0)</f>
        <v>36349</v>
      </c>
      <c r="D33" s="1333" t="s">
        <v>1682</v>
      </c>
      <c r="E33" s="3384" t="s">
        <v>338</v>
      </c>
      <c r="F33" s="294" t="s">
        <v>339</v>
      </c>
      <c r="G33" s="295"/>
      <c r="H33" s="968"/>
      <c r="I33" s="1213"/>
      <c r="J33" s="1911"/>
      <c r="K33" s="1212" t="str">
        <f>IF(项目基本情况!E9="——","——","抵押净值："&amp;C46&amp;"万元")</f>
        <v>——</v>
      </c>
      <c r="L33" s="1206"/>
      <c r="M33" s="1206"/>
      <c r="N33" s="1206"/>
      <c r="O33" s="1205"/>
      <c r="P33" s="1911"/>
      <c r="V33" s="1911"/>
    </row>
    <row r="34" spans="1:26" s="1208" customFormat="1" ht="18.75" thickBot="1">
      <c r="A34" s="298"/>
      <c r="B34" s="1334" t="s">
        <v>1683</v>
      </c>
      <c r="C34" s="262">
        <f ca="1">ROUND(C32*10000/'数据-汇总表'!D3,0)</f>
        <v>39044</v>
      </c>
      <c r="D34" s="1335" t="s">
        <v>1682</v>
      </c>
      <c r="E34" s="3428"/>
      <c r="F34" s="127" t="s">
        <v>341</v>
      </c>
      <c r="G34" s="297"/>
      <c r="H34" s="105"/>
      <c r="I34" s="309"/>
      <c r="J34" s="1911"/>
      <c r="K34" s="1215" t="str">
        <f>IF(K33="——","——","大写金额：人民币"&amp;NUMBERSTRING(INT(O41*10000),2)&amp;"元整")</f>
        <v>——</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2603</v>
      </c>
      <c r="D35" s="1338" t="s">
        <v>1684</v>
      </c>
      <c r="E35" s="3429"/>
      <c r="F35" s="299" t="s">
        <v>342</v>
      </c>
      <c r="G35" s="970">
        <f ca="1">ROUND(基准地价!E40*1.0305,0)+土地案例!S27</f>
        <v>70253</v>
      </c>
      <c r="H35" s="969" t="s">
        <v>343</v>
      </c>
      <c r="I35" s="309"/>
      <c r="J35" s="1911"/>
      <c r="K35" s="3402" t="s">
        <v>350</v>
      </c>
      <c r="L35" s="3402" t="s">
        <v>351</v>
      </c>
      <c r="M35" s="1218" t="s">
        <v>352</v>
      </c>
      <c r="N35" s="3402" t="s">
        <v>353</v>
      </c>
      <c r="O35" s="3402" t="s">
        <v>354</v>
      </c>
      <c r="P35" s="1911"/>
      <c r="V35" s="1911"/>
    </row>
    <row r="36" spans="1:26" ht="16.5" customHeight="1">
      <c r="A36" s="301" t="s">
        <v>344</v>
      </c>
      <c r="B36" s="302" t="s">
        <v>333</v>
      </c>
      <c r="C36" s="303" t="s">
        <v>345</v>
      </c>
      <c r="D36" s="303" t="s">
        <v>346</v>
      </c>
      <c r="E36" s="304" t="s">
        <v>347</v>
      </c>
      <c r="F36" s="309"/>
      <c r="G36" s="309"/>
      <c r="H36" s="309"/>
      <c r="I36" s="309"/>
      <c r="J36" s="1913"/>
      <c r="K36" s="3403"/>
      <c r="L36" s="3403"/>
      <c r="M36" s="1220" t="s">
        <v>355</v>
      </c>
      <c r="N36" s="3403"/>
      <c r="O36" s="3403"/>
      <c r="P36" s="1911"/>
      <c r="V36" s="1911"/>
    </row>
    <row r="37" spans="1:26" ht="16.5" customHeight="1" thickBot="1">
      <c r="A37" s="1214" t="s">
        <v>348</v>
      </c>
      <c r="B37" s="305"/>
      <c r="C37" s="292"/>
      <c r="D37" s="292"/>
      <c r="E37" s="293"/>
      <c r="F37" s="309"/>
      <c r="G37" s="309"/>
      <c r="H37" s="309"/>
      <c r="I37" s="309"/>
      <c r="J37" s="1913"/>
      <c r="K37" s="3404"/>
      <c r="L37" s="3404"/>
      <c r="M37" s="1221"/>
      <c r="N37" s="3404"/>
      <c r="O37" s="3404"/>
      <c r="P37" s="1911"/>
      <c r="V37" s="1911"/>
    </row>
    <row r="38" spans="1:26" ht="16.5" customHeight="1" thickBot="1">
      <c r="A38" s="1214" t="s">
        <v>349</v>
      </c>
      <c r="B38" s="305"/>
      <c r="C38" s="292"/>
      <c r="D38" s="292"/>
      <c r="E38" s="293"/>
      <c r="F38" s="309"/>
      <c r="G38" s="309"/>
      <c r="H38" s="309"/>
      <c r="I38" s="309"/>
      <c r="J38" s="1913"/>
      <c r="K38" s="1222">
        <f>'数据-汇总表'!D3</f>
        <v>114571.08</v>
      </c>
      <c r="L38" s="1223">
        <f>'数据-汇总表'!E3</f>
        <v>123065</v>
      </c>
      <c r="M38" s="1223">
        <f ca="1">C34</f>
        <v>39044</v>
      </c>
      <c r="N38" s="1223">
        <f ca="1">C33</f>
        <v>36349</v>
      </c>
      <c r="O38" s="1224">
        <f ca="1">C32</f>
        <v>447332</v>
      </c>
      <c r="P38" s="1911"/>
      <c r="V38" s="1911"/>
    </row>
    <row r="39" spans="1:26" ht="16.5" customHeight="1" thickBot="1">
      <c r="A39" s="1219"/>
      <c r="B39" s="306"/>
      <c r="C39" s="307"/>
      <c r="D39" s="307"/>
      <c r="E39" s="308"/>
      <c r="F39" s="309"/>
      <c r="G39" s="309"/>
      <c r="H39" s="309"/>
      <c r="I39" s="309"/>
      <c r="J39" s="1913"/>
      <c r="K39" s="3442" t="str">
        <f>MID(A44,3,LEN(A44)-2)</f>
        <v>抵押价格</v>
      </c>
      <c r="L39" s="3443"/>
      <c r="M39" s="3443"/>
      <c r="N39" s="3444"/>
      <c r="O39" s="1340">
        <f ca="1">C44</f>
        <v>377079</v>
      </c>
      <c r="P39" s="1911"/>
      <c r="V39" s="1911"/>
    </row>
    <row r="40" spans="1:26" ht="19.5" thickBot="1">
      <c r="A40" s="104" t="s">
        <v>864</v>
      </c>
      <c r="B40" s="309"/>
      <c r="C40" s="309"/>
      <c r="D40" s="309"/>
      <c r="E40" s="309"/>
      <c r="F40" s="309"/>
      <c r="G40" s="309"/>
      <c r="H40" s="309"/>
      <c r="I40" s="309"/>
      <c r="J40" s="1913"/>
      <c r="K40" s="3442" t="str">
        <f t="shared" ref="K40:K41" si="0">MID(A45,3,LEN(A45)-2)</f>
        <v/>
      </c>
      <c r="L40" s="3443"/>
      <c r="M40" s="3443"/>
      <c r="N40" s="3444"/>
      <c r="O40" s="1340" t="str">
        <f>C45</f>
        <v>——</v>
      </c>
      <c r="P40" s="1911"/>
      <c r="V40" s="1911"/>
    </row>
    <row r="41" spans="1:26" ht="16.5" thickBot="1">
      <c r="A41" s="310" t="s">
        <v>356</v>
      </c>
      <c r="B41" s="311"/>
      <c r="C41" s="312" t="s">
        <v>357</v>
      </c>
      <c r="D41" s="313" t="s">
        <v>358</v>
      </c>
      <c r="E41" s="313" t="s">
        <v>359</v>
      </c>
      <c r="F41" s="314" t="s">
        <v>360</v>
      </c>
      <c r="G41" s="309"/>
      <c r="H41" s="309"/>
      <c r="I41" s="309"/>
      <c r="J41" s="1913"/>
      <c r="K41" s="3442" t="str">
        <f t="shared" si="0"/>
        <v/>
      </c>
      <c r="L41" s="3443"/>
      <c r="M41" s="3443"/>
      <c r="N41" s="3444"/>
      <c r="O41" s="1340" t="str">
        <f>C46</f>
        <v>——</v>
      </c>
      <c r="P41" s="1911"/>
      <c r="V41" s="1911"/>
    </row>
    <row r="42" spans="1:26" ht="29.25">
      <c r="A42" s="3386" t="s">
        <v>2056</v>
      </c>
      <c r="B42" s="3387"/>
      <c r="C42" s="262">
        <f ca="1">C32</f>
        <v>447332</v>
      </c>
      <c r="D42" s="315">
        <f ca="1">C33</f>
        <v>36349</v>
      </c>
      <c r="E42" s="315">
        <f ca="1">C34</f>
        <v>39044</v>
      </c>
      <c r="F42" s="316">
        <f ca="1">C35</f>
        <v>2603</v>
      </c>
      <c r="G42" s="309"/>
      <c r="H42" s="309"/>
      <c r="I42" s="317"/>
      <c r="J42" s="1913"/>
      <c r="K42" s="1225" t="s">
        <v>361</v>
      </c>
      <c r="L42" s="1930" t="s">
        <v>362</v>
      </c>
      <c r="M42" s="1226" t="s">
        <v>363</v>
      </c>
      <c r="N42" s="1931" t="s">
        <v>364</v>
      </c>
      <c r="O42" s="1932" t="s">
        <v>365</v>
      </c>
      <c r="P42" s="1911"/>
      <c r="V42" s="1911"/>
    </row>
    <row r="43" spans="1:26" ht="30">
      <c r="A43" s="3397" t="s">
        <v>2710</v>
      </c>
      <c r="B43" s="3398"/>
      <c r="C43" s="262">
        <f ca="1">IF(H33="正常操作",G33+G34+G35,G34+G35)</f>
        <v>70253</v>
      </c>
      <c r="D43" s="315" t="s">
        <v>43</v>
      </c>
      <c r="E43" s="315" t="s">
        <v>44</v>
      </c>
      <c r="F43" s="316" t="s">
        <v>44</v>
      </c>
      <c r="G43" s="2583" t="s">
        <v>943</v>
      </c>
      <c r="H43" s="309"/>
      <c r="I43" s="317"/>
      <c r="J43" s="1913"/>
      <c r="K43" s="1227" t="str">
        <f>C4</f>
        <v>剩余法-待开发</v>
      </c>
      <c r="L43" s="1228">
        <f ca="1">IF(L42="估价结果/万元",C19,C20)</f>
        <v>438422</v>
      </c>
      <c r="M43" s="1229">
        <f>C18</f>
        <v>0.5</v>
      </c>
      <c r="N43" s="1230">
        <f ca="1">IF(N42="测算结果/万元",G19,G20)</f>
        <v>447332</v>
      </c>
      <c r="O43" s="1231">
        <f ca="1">IF(O42="最终结果/万元",C32,C33)</f>
        <v>447332</v>
      </c>
      <c r="P43" s="1911"/>
      <c r="V43" s="1911"/>
    </row>
    <row r="44" spans="1:26" ht="30.75" thickBot="1">
      <c r="A44" s="3386" t="str">
        <f>IF(OR(项目基本情况!E8="抵押价格",项目基本情况!E8="已注销及未注销"),"3.抵押价格","——")</f>
        <v>3.抵押价格</v>
      </c>
      <c r="B44" s="3387"/>
      <c r="C44" s="262">
        <f ca="1">IF(A44="——","——",C42-C43)</f>
        <v>377079</v>
      </c>
      <c r="D44" s="315">
        <f ca="1">ROUND(C44*10000/'数据-汇总表'!E3,0)</f>
        <v>30641</v>
      </c>
      <c r="E44" s="315">
        <f ca="1">ROUND(C44*10000/'数据-汇总表'!D3,0)</f>
        <v>32912</v>
      </c>
      <c r="F44" s="316">
        <f ca="1">ROUND(C44/('数据-汇总表'!D3/666.67),0)</f>
        <v>2194</v>
      </c>
      <c r="G44" s="309"/>
      <c r="H44" s="309"/>
      <c r="I44" s="317"/>
      <c r="J44" s="1913"/>
      <c r="K44" s="1232" t="str">
        <f>D4</f>
        <v>比较法-住宅、综合</v>
      </c>
      <c r="L44" s="1233">
        <f ca="1">IF(L42="估价结果/万元",D19,D20)</f>
        <v>456241</v>
      </c>
      <c r="M44" s="1234">
        <f>D18</f>
        <v>0.5</v>
      </c>
      <c r="N44" s="1235"/>
      <c r="O44" s="1236"/>
      <c r="P44" s="1911"/>
      <c r="V44" s="1911"/>
    </row>
    <row r="45" spans="1:26" ht="15">
      <c r="A45" s="3392" t="str">
        <f>IF(项目基本情况!E8="已注销及未注销","4.抵押担保权已注销时的抵押价格",IF(项目基本情况!E8="已注销","3.抵押担保权已注销时的抵押价格","——"))</f>
        <v>——</v>
      </c>
      <c r="B45" s="3393"/>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388" t="str">
        <f>IF(项目基本情况!E9="抵押净值",IF(A45="——","4.抵押净值","5.抵押净值"),"——")</f>
        <v>——</v>
      </c>
      <c r="B46" s="3389"/>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 ca="1">IF(C43=0,"本次评估"&amp;IF(G43="设定","设定估价对象","")&amp;"不存在"&amp;MID(A43,3,LEN(A43)-2),"本次评估"&amp;IF(G43="设定","设定","")&amp;MID(A43,3,LEN(A43)-2)&amp;"为人民币"&amp;C43&amp;"万元整。")</f>
        <v>本次评估估价师知悉的法定优先受偿款为人民币70253万元整。</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36" t="s">
        <v>374</v>
      </c>
      <c r="B63" s="3437"/>
      <c r="C63" s="3438"/>
      <c r="D63" s="339">
        <f ca="1">ROUND(C42*F63,0)</f>
        <v>447332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394" t="s">
        <v>378</v>
      </c>
      <c r="B64" s="3395"/>
      <c r="C64" s="3395"/>
      <c r="D64" s="3395"/>
      <c r="E64" s="3395"/>
      <c r="F64" s="3395"/>
      <c r="G64" s="3396"/>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390" t="s">
        <v>386</v>
      </c>
      <c r="B66" s="3391"/>
      <c r="C66" s="3391"/>
      <c r="D66" s="259">
        <f>IF(H66="情况1",0,IF(H66="情况2",D70,IF(H66="情况3",D71,IF(H66="情况4",D72))))</f>
        <v>0</v>
      </c>
      <c r="E66" s="981" t="str">
        <f>IF(H66="情况4","(销售额-原购置价)×税（费）率","销售额×税（费）率")</f>
        <v>销售额×税（费）率</v>
      </c>
      <c r="F66" s="348" t="str">
        <f>IF(H66="情况1","免征",'数据-取费表'!B41)</f>
        <v>免征</v>
      </c>
      <c r="G66" s="349" t="s">
        <v>387</v>
      </c>
      <c r="H66" s="189" t="s">
        <v>3246</v>
      </c>
      <c r="I66" s="1242"/>
      <c r="J66" s="1917"/>
      <c r="K66" s="1245">
        <v>1</v>
      </c>
      <c r="L66" s="3451" t="s">
        <v>385</v>
      </c>
      <c r="M66" s="3452"/>
      <c r="N66" s="2312"/>
      <c r="O66" s="2313"/>
      <c r="P66" s="2314"/>
      <c r="Q66" s="1911"/>
      <c r="R66" s="1911"/>
      <c r="S66" s="1911"/>
      <c r="T66" s="1911"/>
      <c r="U66" s="1911"/>
      <c r="V66" s="1911"/>
    </row>
    <row r="67" spans="1:22" ht="25.5" customHeight="1">
      <c r="A67" s="350" t="s">
        <v>389</v>
      </c>
      <c r="B67" s="3381" t="s">
        <v>390</v>
      </c>
      <c r="C67" s="3381"/>
      <c r="D67" s="351">
        <v>0</v>
      </c>
      <c r="E67" s="41" t="s">
        <v>391</v>
      </c>
      <c r="F67" s="62" t="s">
        <v>21</v>
      </c>
      <c r="G67" s="3439"/>
      <c r="H67" s="3006" t="s">
        <v>2967</v>
      </c>
      <c r="I67" s="3008"/>
      <c r="J67" s="1918"/>
      <c r="K67" s="1890">
        <v>2</v>
      </c>
      <c r="L67" s="3445" t="s">
        <v>388</v>
      </c>
      <c r="M67" s="3445"/>
      <c r="N67" s="1279">
        <f>'数据-取费表'!B2</f>
        <v>44265</v>
      </c>
      <c r="O67" s="1279"/>
      <c r="P67" s="1279"/>
      <c r="Q67" s="1911"/>
      <c r="R67" s="1911"/>
      <c r="S67" s="1911"/>
      <c r="T67" s="1911"/>
      <c r="U67" s="1911"/>
      <c r="V67" s="1911"/>
    </row>
    <row r="68" spans="1:22" ht="25.5" customHeight="1">
      <c r="A68" s="352"/>
      <c r="B68" s="3381" t="s">
        <v>393</v>
      </c>
      <c r="C68" s="3381"/>
      <c r="D68" s="353"/>
      <c r="E68" s="77"/>
      <c r="F68" s="354"/>
      <c r="G68" s="3440"/>
      <c r="H68" s="3007" t="s">
        <v>2968</v>
      </c>
      <c r="I68" s="3008"/>
      <c r="J68" s="1918"/>
      <c r="K68" s="1890">
        <v>3</v>
      </c>
      <c r="L68" s="3445" t="s">
        <v>392</v>
      </c>
      <c r="M68" s="3445"/>
      <c r="N68" s="1247">
        <f ca="1">C42</f>
        <v>447332</v>
      </c>
      <c r="O68" s="1247"/>
      <c r="P68" s="1247"/>
      <c r="Q68" s="1911"/>
      <c r="R68" s="1911"/>
      <c r="S68" s="1911"/>
      <c r="T68" s="1911"/>
      <c r="U68" s="1911"/>
      <c r="V68" s="1911"/>
    </row>
    <row r="69" spans="1:22" ht="23.45" customHeight="1">
      <c r="A69" s="355"/>
      <c r="B69" s="3381" t="s">
        <v>394</v>
      </c>
      <c r="C69" s="3381"/>
      <c r="D69" s="356"/>
      <c r="E69" s="73"/>
      <c r="F69" s="354"/>
      <c r="G69" s="3441"/>
      <c r="H69" s="3007" t="s">
        <v>2969</v>
      </c>
      <c r="I69" s="3008"/>
      <c r="J69" s="1918"/>
      <c r="K69" s="1248">
        <v>4</v>
      </c>
      <c r="L69" s="3455" t="s">
        <v>2862</v>
      </c>
      <c r="M69" s="3456"/>
      <c r="N69" s="1249">
        <f ca="1">C44</f>
        <v>377079</v>
      </c>
      <c r="O69" s="1249"/>
      <c r="P69" s="1249"/>
      <c r="Q69" s="1911"/>
      <c r="R69" s="1911"/>
      <c r="S69" s="1911"/>
      <c r="T69" s="1911"/>
      <c r="U69" s="1911"/>
      <c r="V69" s="1911"/>
    </row>
    <row r="70" spans="1:22" ht="24" customHeight="1">
      <c r="A70" s="357" t="s">
        <v>395</v>
      </c>
      <c r="B70" s="3381" t="s">
        <v>396</v>
      </c>
      <c r="C70" s="3381"/>
      <c r="D70" s="356">
        <f ca="1">ROUND(D63*'数据-取费表'!B41/(1+'数据-取费表'!C42),0)</f>
        <v>23858</v>
      </c>
      <c r="E70" s="17" t="s">
        <v>397</v>
      </c>
      <c r="F70" s="358">
        <f>'数据-取费表'!B41</f>
        <v>5.6000000000000001E-2</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382" t="s">
        <v>2998</v>
      </c>
      <c r="C71" s="3383"/>
      <c r="D71" s="356">
        <f ca="1">ROUND(D63*'数据-取费表'!B41/(1+'数据-取费表'!C42),0)</f>
        <v>23858</v>
      </c>
      <c r="E71" s="17" t="s">
        <v>397</v>
      </c>
      <c r="F71" s="358">
        <f>'数据-取费表'!B41</f>
        <v>5.6000000000000001E-2</v>
      </c>
      <c r="G71" s="359"/>
      <c r="H71" s="309"/>
      <c r="I71" s="1246"/>
      <c r="J71" s="1918"/>
      <c r="K71" s="2764" t="s">
        <v>398</v>
      </c>
      <c r="L71" s="3457" t="s">
        <v>399</v>
      </c>
      <c r="M71" s="3457"/>
      <c r="N71" s="2764" t="s">
        <v>400</v>
      </c>
      <c r="O71" s="2764" t="s">
        <v>401</v>
      </c>
      <c r="P71" s="2764" t="s">
        <v>402</v>
      </c>
      <c r="Q71" s="1911"/>
      <c r="R71" s="1911"/>
      <c r="S71" s="1911"/>
      <c r="T71" s="1911"/>
      <c r="U71" s="1911"/>
      <c r="V71" s="1911"/>
    </row>
    <row r="72" spans="1:22" ht="12" customHeight="1">
      <c r="A72" s="357" t="s">
        <v>405</v>
      </c>
      <c r="B72" s="3382" t="s">
        <v>2999</v>
      </c>
      <c r="C72" s="3383"/>
      <c r="D72" s="356">
        <f ca="1">C86</f>
        <v>23858</v>
      </c>
      <c r="E72" s="73" t="s">
        <v>406</v>
      </c>
      <c r="F72" s="358">
        <f>'数据-取费表'!B41</f>
        <v>5.6000000000000001E-2</v>
      </c>
      <c r="G72" s="359"/>
      <c r="H72" s="1252"/>
      <c r="I72" s="1246"/>
      <c r="J72" s="1918"/>
      <c r="K72" s="1890">
        <v>1</v>
      </c>
      <c r="L72" s="3432" t="s">
        <v>404</v>
      </c>
      <c r="M72" s="3432"/>
      <c r="N72" s="1250">
        <f>D66</f>
        <v>0</v>
      </c>
      <c r="O72" s="1773" t="str">
        <f>E66</f>
        <v>销售额×税（费）率</v>
      </c>
      <c r="P72" s="1251" t="str">
        <f>F66</f>
        <v>免征</v>
      </c>
      <c r="Q72" s="1911"/>
      <c r="R72" s="1911"/>
      <c r="S72" s="1911"/>
      <c r="T72" s="1911"/>
      <c r="U72" s="1911"/>
      <c r="V72" s="1911"/>
    </row>
    <row r="73" spans="1:22" ht="24" customHeight="1">
      <c r="A73" s="3427" t="s">
        <v>408</v>
      </c>
      <c r="B73" s="3391"/>
      <c r="C73" s="3391"/>
      <c r="D73" s="360">
        <f>IF(H73="个人住宅",0,ROUND(D63*I73,0))</f>
        <v>0</v>
      </c>
      <c r="E73" s="17" t="s">
        <v>409</v>
      </c>
      <c r="F73" s="358" t="str">
        <f>IF(H73="正常",I73,"免征")</f>
        <v>免征</v>
      </c>
      <c r="G73" s="359"/>
      <c r="H73" s="189" t="s">
        <v>3245</v>
      </c>
      <c r="I73" s="358">
        <f>'数据-取费表'!B49</f>
        <v>5.0000000000000001E-4</v>
      </c>
      <c r="J73" s="1918"/>
      <c r="K73" s="1890">
        <v>2</v>
      </c>
      <c r="L73" s="3432" t="s">
        <v>407</v>
      </c>
      <c r="M73" s="3432"/>
      <c r="N73" s="1250">
        <f t="shared" ref="N73:P74" si="1">D73</f>
        <v>0</v>
      </c>
      <c r="O73" s="1773" t="str">
        <f t="shared" si="1"/>
        <v>销售额×税（费）率</v>
      </c>
      <c r="P73" s="1251" t="str">
        <f t="shared" si="1"/>
        <v>免征</v>
      </c>
      <c r="Q73" s="1911"/>
      <c r="R73" s="1911"/>
      <c r="S73" s="1911"/>
      <c r="T73" s="1911"/>
      <c r="U73" s="1911"/>
      <c r="V73" s="1911"/>
    </row>
    <row r="74" spans="1:22" ht="24.75">
      <c r="A74" s="3427" t="s">
        <v>411</v>
      </c>
      <c r="B74" s="3391"/>
      <c r="C74" s="3391"/>
      <c r="D74" s="360">
        <f ca="1">IF(H74="个人住宅",D75,D76)</f>
        <v>171916</v>
      </c>
      <c r="E74" s="17" t="s">
        <v>412</v>
      </c>
      <c r="F74" s="358" t="str">
        <f>IF(H74="正常",F76,"免征")</f>
        <v>免征</v>
      </c>
      <c r="G74" s="971" t="s">
        <v>413</v>
      </c>
      <c r="H74" s="361"/>
      <c r="I74" s="42"/>
      <c r="J74" s="1918"/>
      <c r="K74" s="1890">
        <v>3</v>
      </c>
      <c r="L74" s="3432" t="s">
        <v>410</v>
      </c>
      <c r="M74" s="3432"/>
      <c r="N74" s="1250">
        <f t="shared" ca="1" si="1"/>
        <v>171916</v>
      </c>
      <c r="O74" s="1773" t="str">
        <f t="shared" si="1"/>
        <v>增值额×税（费）率</v>
      </c>
      <c r="P74" s="1253" t="str">
        <f t="shared" si="1"/>
        <v>免征</v>
      </c>
      <c r="Q74" s="1911"/>
      <c r="R74" s="1911"/>
      <c r="S74" s="1911"/>
      <c r="T74" s="1911"/>
      <c r="U74" s="1911"/>
      <c r="V74" s="1911"/>
    </row>
    <row r="75" spans="1:22" ht="12.75">
      <c r="A75" s="357" t="s">
        <v>414</v>
      </c>
      <c r="B75" s="3379" t="s">
        <v>415</v>
      </c>
      <c r="C75" s="3415"/>
      <c r="D75" s="362">
        <v>0</v>
      </c>
      <c r="E75" s="41" t="s">
        <v>416</v>
      </c>
      <c r="F75" s="363"/>
      <c r="G75" s="359"/>
      <c r="H75" s="42"/>
      <c r="I75" s="42"/>
      <c r="J75" s="1918"/>
      <c r="K75" s="2758">
        <f>IF(H77="非个人房产","",4)</f>
        <v>4</v>
      </c>
      <c r="L75" s="3432" t="str">
        <f>IF(H77="非个人房产","——","个人所得税")</f>
        <v>个人所得税</v>
      </c>
      <c r="M75" s="3432"/>
      <c r="N75" s="1254">
        <f>D77</f>
        <v>0</v>
      </c>
      <c r="O75" s="1786" t="str">
        <f>E77</f>
        <v>差额计税</v>
      </c>
      <c r="P75" s="1255">
        <f>F77</f>
        <v>0.01</v>
      </c>
      <c r="Q75" s="1911"/>
      <c r="R75" s="1911"/>
      <c r="S75" s="1911"/>
      <c r="T75" s="1911"/>
      <c r="U75" s="1911"/>
      <c r="V75" s="1911"/>
    </row>
    <row r="76" spans="1:22" ht="24.75">
      <c r="A76" s="357" t="s">
        <v>395</v>
      </c>
      <c r="B76" s="3379" t="s">
        <v>418</v>
      </c>
      <c r="C76" s="3380"/>
      <c r="D76" s="360">
        <f ca="1">IF(H76="转让取得",C99,C115)</f>
        <v>171916</v>
      </c>
      <c r="E76" s="17" t="s">
        <v>419</v>
      </c>
      <c r="F76" s="53" t="s">
        <v>21</v>
      </c>
      <c r="G76" s="359"/>
      <c r="H76" s="361" t="s">
        <v>3247</v>
      </c>
      <c r="I76" s="42"/>
      <c r="J76" s="1918"/>
      <c r="K76" s="2758" t="str">
        <f>IF(项目基本情况!K6="上海银行",IF(K75="",4,K75+1),"")</f>
        <v/>
      </c>
      <c r="L76" s="3447" t="str">
        <f>IF(项目基本情况!K6="上海银行","其他处置费用","")</f>
        <v/>
      </c>
      <c r="M76" s="3448"/>
      <c r="N76" s="1250" t="str">
        <f>IF(项目基本情况!K6="上海银行",N89,"")</f>
        <v/>
      </c>
      <c r="O76" s="3449" t="str">
        <f>IF(项目基本情况!K6="上海银行","包含处置中涉及的律师、诉讼、拍卖、评估等费用","")</f>
        <v/>
      </c>
      <c r="P76" s="3450"/>
      <c r="Q76" s="1911"/>
      <c r="R76" s="1911"/>
      <c r="S76" s="1911"/>
      <c r="T76" s="1911"/>
      <c r="U76" s="1911"/>
      <c r="V76" s="1911"/>
    </row>
    <row r="77" spans="1:22" ht="24.75" thickBot="1">
      <c r="A77" s="3434" t="s">
        <v>421</v>
      </c>
      <c r="B77" s="3435"/>
      <c r="C77" s="343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2970</v>
      </c>
      <c r="J77" s="1918"/>
      <c r="K77" s="3433">
        <f>IF(AND(K75="",K76=""),4,IF(项目基本情况!K6="上海银行",K76+1,K75+1))</f>
        <v>5</v>
      </c>
      <c r="L77" s="3432" t="s">
        <v>2863</v>
      </c>
      <c r="M77" s="2763" t="s">
        <v>417</v>
      </c>
      <c r="N77" s="1256"/>
      <c r="O77" s="1257">
        <f ca="1">SUMIF(N72:N76,"&lt;9e307")</f>
        <v>171916</v>
      </c>
      <c r="P77" s="1258"/>
      <c r="Q77" s="2761">
        <f ca="1">O77/N69</f>
        <v>0.4559150734991872</v>
      </c>
      <c r="R77" s="1911"/>
      <c r="S77" s="1911"/>
      <c r="T77" s="1911"/>
      <c r="U77" s="1911"/>
      <c r="V77" s="1911"/>
    </row>
    <row r="78" spans="1:22" ht="12" customHeight="1">
      <c r="A78" s="1259"/>
      <c r="B78" s="309"/>
      <c r="C78" s="309"/>
      <c r="D78" s="309"/>
      <c r="E78" s="42"/>
      <c r="F78" s="42"/>
      <c r="G78" s="42"/>
      <c r="H78" s="991"/>
      <c r="I78" s="309"/>
      <c r="J78" s="1918"/>
      <c r="K78" s="3433"/>
      <c r="L78" s="3432"/>
      <c r="M78" s="2763" t="s">
        <v>420</v>
      </c>
      <c r="N78" s="1256"/>
      <c r="O78" s="1257" t="str">
        <f ca="1">NUMBERSTRING(INT(O77*10000),2)&amp;"元整"</f>
        <v>壹拾柒亿壹仟玖佰壹拾陆万元整</v>
      </c>
      <c r="P78" s="1258"/>
      <c r="Q78" s="1911"/>
      <c r="R78" s="1911"/>
      <c r="S78" s="1911"/>
      <c r="T78" s="1911"/>
      <c r="U78" s="1911"/>
      <c r="V78" s="1911"/>
    </row>
    <row r="79" spans="1:22" ht="13.5" thickBot="1">
      <c r="A79" s="3399" t="s">
        <v>422</v>
      </c>
      <c r="B79" s="3399"/>
      <c r="C79" s="3399"/>
      <c r="D79" s="3399"/>
      <c r="E79" s="3399"/>
      <c r="F79" s="42"/>
      <c r="G79" s="42"/>
      <c r="H79" s="991"/>
      <c r="I79" s="309"/>
      <c r="J79" s="1918"/>
      <c r="K79" s="3453">
        <f>K77+1</f>
        <v>6</v>
      </c>
      <c r="L79" s="3432" t="s">
        <v>2864</v>
      </c>
      <c r="M79" s="2763" t="s">
        <v>417</v>
      </c>
      <c r="N79" s="1256"/>
      <c r="O79" s="1257">
        <f ca="1">N69-O77</f>
        <v>205163</v>
      </c>
      <c r="P79" s="1258"/>
      <c r="Q79" s="1911"/>
      <c r="R79" s="1911"/>
      <c r="S79" s="1911"/>
      <c r="T79" s="1911"/>
      <c r="U79" s="1911"/>
      <c r="V79" s="1911"/>
    </row>
    <row r="80" spans="1:22" ht="25.5">
      <c r="A80" s="3400" t="s">
        <v>423</v>
      </c>
      <c r="B80" s="3401"/>
      <c r="C80" s="982"/>
      <c r="D80" s="982" t="s">
        <v>424</v>
      </c>
      <c r="E80" s="364" t="s">
        <v>425</v>
      </c>
      <c r="F80" s="42"/>
      <c r="G80" s="42"/>
      <c r="H80" s="991"/>
      <c r="I80" s="309"/>
      <c r="J80" s="1911"/>
      <c r="K80" s="3454"/>
      <c r="L80" s="3432"/>
      <c r="M80" s="2763" t="s">
        <v>420</v>
      </c>
      <c r="N80" s="1256"/>
      <c r="O80" s="1257" t="str">
        <f ca="1">NUMBERSTRING(INT(O79*10000),2)&amp;"元整"</f>
        <v>贰拾亿伍仟壹佰陆拾叁万元整</v>
      </c>
      <c r="P80" s="1258"/>
      <c r="Q80" s="1911"/>
      <c r="R80" s="1911"/>
      <c r="S80" s="1911"/>
      <c r="T80" s="1911"/>
      <c r="U80" s="1911"/>
      <c r="V80" s="1911"/>
    </row>
    <row r="81" spans="1:26" ht="13.5" thickBot="1">
      <c r="A81" s="375" t="s">
        <v>1814</v>
      </c>
      <c r="B81" s="365" t="s">
        <v>426</v>
      </c>
      <c r="C81" s="366">
        <f ca="1">ROUND((C82+C83)/(1+'数据-取费表'!C42),0)</f>
        <v>426030</v>
      </c>
      <c r="D81" s="367"/>
      <c r="E81" s="368"/>
      <c r="F81" s="42"/>
      <c r="G81" s="42"/>
      <c r="H81" s="991"/>
      <c r="I81" s="309"/>
      <c r="J81" s="1911"/>
      <c r="K81" s="2758">
        <f>K79+1</f>
        <v>7</v>
      </c>
      <c r="L81" s="3430" t="s">
        <v>2865</v>
      </c>
      <c r="M81" s="3431"/>
      <c r="N81" s="1260"/>
      <c r="O81" s="1261">
        <f ca="1">ROUND(O79*10000/'数据-汇总表'!E3,0)</f>
        <v>16671</v>
      </c>
      <c r="P81" s="1262"/>
      <c r="Q81" s="1911"/>
      <c r="R81" s="1911"/>
      <c r="S81" s="1911"/>
      <c r="T81" s="1911"/>
      <c r="U81" s="1911"/>
      <c r="V81" s="1911"/>
    </row>
    <row r="82" spans="1:26" ht="13.5" thickTop="1">
      <c r="A82" s="369" t="s">
        <v>1815</v>
      </c>
      <c r="B82" s="370" t="s">
        <v>427</v>
      </c>
      <c r="C82" s="371">
        <f ca="1">D63</f>
        <v>447332</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46" t="s">
        <v>2853</v>
      </c>
      <c r="L83" s="2769" t="s">
        <v>2854</v>
      </c>
      <c r="M83" s="2759">
        <f ca="1">IF(N69&gt;10000,N69*0.5%,IF(AND(N69&gt;1000,N69&lt;=10000),N69*1%,IF(AND(N69&gt;100,N69&lt;=1000),N69*3%,IF(AND(N69&gt;10,N69&lt;=100),N69*5%,N69*8%))))</f>
        <v>1885.395</v>
      </c>
      <c r="N83" s="53">
        <f ca="1">ROUND(M83,1)</f>
        <v>1885.4</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446"/>
      <c r="L84" s="2769" t="s">
        <v>2855</v>
      </c>
      <c r="M84" s="2759">
        <f ca="1">IF(N69&gt;2000,N69*0.5%,IF(AND(N69&gt;1000,N69&lt;=2000),N69*0.6%,IF(AND(N69&gt;500,N69&lt;=1000),N69*0.7%,IF(AND(N69&gt;200,N69&lt;=500),N69*0.8%,IF(AND(N69&gt;100,N69&lt;=200),N69*0.9%,IF(AND(N69&gt;50,N69&lt;=100),N69*1%,IF(AND(N69&gt;20,N69&lt;=50),N69*1.5%,IF(AND(N69&gt;10,N69&lt;=20),N69*2%,IF(AND(N69&gt;1,N69&lt;=10),N69*2.5%)))))))))</f>
        <v>1885.395</v>
      </c>
      <c r="N84" s="53">
        <f t="shared" ref="N84:N85" ca="1" si="2">ROUND(M84,1)</f>
        <v>1885.4</v>
      </c>
      <c r="O84" s="1911" t="s">
        <v>2856</v>
      </c>
      <c r="P84" s="1911"/>
      <c r="Q84" s="1911"/>
      <c r="R84" s="1911"/>
      <c r="S84" s="1911"/>
      <c r="T84" s="1911"/>
      <c r="U84" s="1911"/>
      <c r="V84" s="1911"/>
    </row>
    <row r="85" spans="1:26" ht="12.75">
      <c r="A85" s="375" t="s">
        <v>1818</v>
      </c>
      <c r="B85" s="376" t="s">
        <v>430</v>
      </c>
      <c r="C85" s="379">
        <f ca="1">C81-C84</f>
        <v>426030</v>
      </c>
      <c r="D85" s="372" t="s">
        <v>19</v>
      </c>
      <c r="E85" s="373"/>
      <c r="F85" s="42"/>
      <c r="G85" s="42"/>
      <c r="H85" s="991"/>
      <c r="I85" s="309"/>
      <c r="J85" s="1911"/>
      <c r="K85" s="3446"/>
      <c r="L85" s="2769" t="s">
        <v>2857</v>
      </c>
      <c r="M85" s="2759">
        <f ca="1">IF(N69&gt;1000,N69*0.1%,IF(AND(N69&gt;500,N69&lt;=1000),N69*0.5%,IF(AND(N69&gt;50,N69&lt;=500),N69*1%,IF(AND(N69&gt;1,N69&lt;=50),N69*1.5%))))</f>
        <v>377.07900000000001</v>
      </c>
      <c r="N85" s="53">
        <f t="shared" ca="1" si="2"/>
        <v>377.1</v>
      </c>
      <c r="O85" s="1911" t="s">
        <v>2856</v>
      </c>
      <c r="P85" s="1911"/>
      <c r="Q85" s="1911"/>
      <c r="R85" s="1911"/>
      <c r="S85" s="1911"/>
      <c r="T85" s="1911"/>
      <c r="U85" s="1911"/>
      <c r="V85" s="1911"/>
    </row>
    <row r="86" spans="1:26" ht="13.5" thickBot="1">
      <c r="A86" s="380" t="s">
        <v>1819</v>
      </c>
      <c r="B86" s="381" t="s">
        <v>431</v>
      </c>
      <c r="C86" s="382">
        <f ca="1">IF(C85&lt;=0,0,ROUND(C85*D86,0))</f>
        <v>23858</v>
      </c>
      <c r="D86" s="383">
        <f>'数据-取费表'!B41</f>
        <v>5.6000000000000001E-2</v>
      </c>
      <c r="E86" s="384"/>
      <c r="F86" s="42"/>
      <c r="G86" s="42"/>
      <c r="H86" s="991"/>
      <c r="I86" s="309"/>
      <c r="J86" s="1911"/>
      <c r="K86" s="3446"/>
      <c r="L86" s="2769" t="s">
        <v>2858</v>
      </c>
      <c r="M86" s="2759">
        <f ca="1">N69*0.5%</f>
        <v>1885.395</v>
      </c>
      <c r="N86" s="53">
        <f ca="1">IF(M86&gt;0.5,0.5,ROUND(M86,0))</f>
        <v>0.5</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46"/>
      <c r="L87" s="2769" t="s">
        <v>2860</v>
      </c>
      <c r="M87" s="2759">
        <f ca="1">IF(N69&gt;=10000,(8.25+(N69-10000)*0.01%),IF(AND(N69&gt;=8000,N69&lt;10000),(7.85+(N69-8000)*0.02%),IF(AND(N69&gt;=5000,N69&lt;8000),(6.65+(N69-5000)*0.04%),IF(AND(N69&gt;=2000,N69&lt;5000),(4.25+(PN69-2000)*0.08%),IF(AND(N69&gt;=1000,N69&lt;2000),(2.75+(N69-1000)*0.15%),IF(AND(N69&gt;=100,N69&lt;1000),(0.5+(N69-100)*0.25%),IF(AND(N69&gt;0,N69&lt;100),N69*0.5%)))))))</f>
        <v>44.957900000000002</v>
      </c>
      <c r="N87" s="53">
        <f ca="1">ROUND(M87*0.9,1)</f>
        <v>40.5</v>
      </c>
      <c r="O87" s="2762"/>
      <c r="P87" s="1911"/>
      <c r="Q87" s="1911"/>
      <c r="R87" s="1911"/>
      <c r="S87" s="1911"/>
      <c r="T87" s="1911"/>
      <c r="U87" s="1911"/>
      <c r="V87" s="1911"/>
      <c r="W87" s="290"/>
      <c r="X87" s="290"/>
      <c r="Y87" s="290"/>
      <c r="Z87" s="290"/>
    </row>
    <row r="88" spans="1:26" s="1268" customFormat="1" ht="15" thickBot="1">
      <c r="A88" s="3425" t="s">
        <v>432</v>
      </c>
      <c r="B88" s="3426"/>
      <c r="C88" s="3426"/>
      <c r="D88" s="3426"/>
      <c r="E88" s="3426"/>
      <c r="F88" s="3426"/>
      <c r="G88" s="3426"/>
      <c r="H88" s="3426"/>
      <c r="I88" s="1269"/>
      <c r="J88" s="1919"/>
      <c r="K88" s="3446"/>
      <c r="L88" s="2769" t="s">
        <v>2861</v>
      </c>
      <c r="M88" s="2759">
        <f ca="1">IF(N69&gt;10000,N69*0.5%,IF(AND(N69&gt;5000,N69&lt;=10000),N69*1%,IF(AND(N69&gt;1000,N69&lt;=5000),N69*2%,IF(AND(N69&gt;200,N69&lt;=1000),N69*3%,N69*5%))))</f>
        <v>1885.395</v>
      </c>
      <c r="N88" s="53">
        <f ca="1">ROUND(M88,1)</f>
        <v>1885.4</v>
      </c>
      <c r="O88" s="2762"/>
      <c r="P88" s="1916"/>
      <c r="Q88" s="1916"/>
      <c r="R88" s="1916"/>
      <c r="S88" s="1916"/>
      <c r="T88" s="1916"/>
      <c r="U88" s="1916"/>
      <c r="V88" s="1916"/>
      <c r="W88" s="1920"/>
      <c r="X88" s="1920"/>
      <c r="Y88" s="1920"/>
      <c r="Z88" s="1920"/>
    </row>
    <row r="89" spans="1:26" s="1268" customFormat="1" ht="14.25">
      <c r="A89" s="3400" t="s">
        <v>423</v>
      </c>
      <c r="B89" s="3401"/>
      <c r="C89" s="982"/>
      <c r="D89" s="982" t="s">
        <v>424</v>
      </c>
      <c r="E89" s="385" t="s">
        <v>433</v>
      </c>
      <c r="F89" s="386"/>
      <c r="G89" s="386"/>
      <c r="H89" s="387"/>
      <c r="I89" s="1270"/>
      <c r="J89" s="1921"/>
      <c r="K89" s="3446"/>
      <c r="L89" s="2769" t="s">
        <v>27</v>
      </c>
      <c r="M89" s="2760"/>
      <c r="N89" s="53">
        <f ca="1">ROUND(SUM(N83:N88),0)</f>
        <v>6074</v>
      </c>
      <c r="O89" s="2770">
        <f ca="1">N89/N69</f>
        <v>1.6108030412725186E-2</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426030</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2556</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382" t="s">
        <v>441</v>
      </c>
      <c r="F94" s="3381"/>
      <c r="G94" s="3381"/>
      <c r="H94" s="3424"/>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2556</v>
      </c>
      <c r="D96" s="400">
        <f>'数据-取费表'!B43</f>
        <v>6.000000000000001E-3</v>
      </c>
      <c r="E96" s="3416" t="s">
        <v>2413</v>
      </c>
      <c r="F96" s="3417"/>
      <c r="G96" s="3417"/>
      <c r="H96" s="3418"/>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1826</v>
      </c>
      <c r="B97" s="376" t="s">
        <v>445</v>
      </c>
      <c r="C97" s="379">
        <f ca="1">C90-C91</f>
        <v>423474</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1827</v>
      </c>
      <c r="B98" s="376" t="s">
        <v>446</v>
      </c>
      <c r="C98" s="401">
        <f ca="1">IF(C97&lt;=0,0,C97/C91)</f>
        <v>165.67840375586854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1828</v>
      </c>
      <c r="B99" s="381" t="s">
        <v>447</v>
      </c>
      <c r="C99" s="402">
        <f ca="1">ROUND(IF(C97&lt;=0,0,IF(C98&gt;=200%,C97*60%-C91*35%,IF(C98&gt;=100%,C97*50%-C91*15%,IF(C98&gt;=50%,C97*40%-C91*5%,IF(C98&lt;50%,C97*30%,0))))),0)</f>
        <v>253190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5" t="s">
        <v>448</v>
      </c>
      <c r="B101" s="3426"/>
      <c r="C101" s="3426"/>
      <c r="D101" s="3426"/>
      <c r="E101" s="3426"/>
      <c r="F101" s="3426"/>
      <c r="G101" s="3426"/>
      <c r="H101" s="3426"/>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00" t="s">
        <v>423</v>
      </c>
      <c r="B102" s="3401"/>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426030</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88106.9</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1246.9000000000001</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v>1209.9000000000001</v>
      </c>
      <c r="D106" s="400"/>
      <c r="E106" s="411" t="s">
        <v>451</v>
      </c>
      <c r="F106" s="974"/>
      <c r="G106" s="412" t="s">
        <v>452</v>
      </c>
      <c r="H106" s="413" t="s">
        <v>3244</v>
      </c>
      <c r="I106" s="11"/>
      <c r="J106" s="1916"/>
      <c r="K106" s="3244" t="s">
        <v>2991</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37</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f ca="1">G35</f>
        <v>70253</v>
      </c>
      <c r="D108" s="400"/>
      <c r="E108" s="411" t="str">
        <f>IF(H106="-","土地取得成本中已包含该笔费用"," ")</f>
        <v xml:space="preserve"> </v>
      </c>
      <c r="F108" s="974"/>
      <c r="G108" s="3376" t="s">
        <v>2962</v>
      </c>
      <c r="H108" s="3377"/>
      <c r="I108" s="2859"/>
      <c r="J108" s="1916"/>
      <c r="K108" s="3244" t="s">
        <v>2992</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1829</v>
      </c>
      <c r="B109" s="370" t="s">
        <v>455</v>
      </c>
      <c r="C109" s="399">
        <f>IF(H109="——",IF(F1="现房",'剩余法-现房'!C18,0),I109)</f>
        <v>0</v>
      </c>
      <c r="D109" s="400"/>
      <c r="E109" s="3419" t="s">
        <v>456</v>
      </c>
      <c r="F109" s="3417"/>
      <c r="G109" s="3417"/>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1830</v>
      </c>
      <c r="B110" s="370" t="s">
        <v>457</v>
      </c>
      <c r="C110" s="399">
        <f ca="1">ROUND((C105+C108+C109)*D110,0)</f>
        <v>0</v>
      </c>
      <c r="D110" s="3275">
        <v>0</v>
      </c>
      <c r="E110" s="3419" t="s">
        <v>458</v>
      </c>
      <c r="F110" s="3417"/>
      <c r="G110" s="3417"/>
      <c r="H110" s="3418"/>
      <c r="I110" s="11"/>
      <c r="J110" s="1916"/>
      <c r="K110" s="3245" t="s">
        <v>2993</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1831</v>
      </c>
      <c r="B111" s="370" t="s">
        <v>444</v>
      </c>
      <c r="C111" s="399">
        <f ca="1">ROUND(D63*D111/(1+'数据-取费表'!C42),0)</f>
        <v>2556</v>
      </c>
      <c r="D111" s="400">
        <f>'数据-取费表'!B43</f>
        <v>6.000000000000001E-3</v>
      </c>
      <c r="E111" s="3416" t="s">
        <v>2413</v>
      </c>
      <c r="F111" s="3417"/>
      <c r="G111" s="3417"/>
      <c r="H111" s="3418"/>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1832</v>
      </c>
      <c r="B112" s="370" t="s">
        <v>459</v>
      </c>
      <c r="C112" s="399">
        <f ca="1">ROUND(C108*D112,0)</f>
        <v>14051</v>
      </c>
      <c r="D112" s="400">
        <v>0.2</v>
      </c>
      <c r="E112" s="3419" t="s">
        <v>2436</v>
      </c>
      <c r="F112" s="3417"/>
      <c r="G112" s="3417"/>
      <c r="H112" s="3418"/>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1826</v>
      </c>
      <c r="B113" s="376" t="s">
        <v>445</v>
      </c>
      <c r="C113" s="379">
        <f ca="1">ROUND(C103-C104,0)</f>
        <v>337923</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1827</v>
      </c>
      <c r="B114" s="376" t="s">
        <v>446</v>
      </c>
      <c r="C114" s="401">
        <f ca="1">IF(C113&lt;=0,0,C113/C104)</f>
        <v>3.835374981982115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1828</v>
      </c>
      <c r="B115" s="381" t="s">
        <v>447</v>
      </c>
      <c r="C115" s="402">
        <f ca="1">ROUND(IF(C113&lt;=0,0,IF(C114&gt;=200%,C113*60%-C104*35%,IF(C114&gt;=100%,C113*50%-C104*15%,IF(C114&gt;=50%,C113*40%-C104*5%,IF(C114&lt;50%,C113*30%,0))))),0)</f>
        <v>171916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51" sqref="F51"/>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31" s="1924" customFormat="1" ht="18" customHeight="1">
      <c r="A2" s="1983" t="s">
        <v>461</v>
      </c>
      <c r="B2" s="1987">
        <f ca="1">C36</f>
        <v>438422</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35625</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38266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2551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700134</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3010</v>
      </c>
      <c r="D7" s="430" t="s">
        <v>3012</v>
      </c>
      <c r="E7" s="430" t="s">
        <v>3015</v>
      </c>
      <c r="F7" s="430" t="s">
        <v>3016</v>
      </c>
      <c r="G7" s="430"/>
      <c r="H7" s="430"/>
      <c r="I7" s="430"/>
      <c r="J7" s="430"/>
      <c r="K7" s="431"/>
      <c r="AA7" s="1994"/>
      <c r="AB7" s="1994"/>
      <c r="AC7" s="1994"/>
      <c r="AD7" s="1994"/>
      <c r="AE7" s="1994"/>
    </row>
    <row r="8" spans="1:31" s="1997" customFormat="1" ht="13.5" customHeight="1">
      <c r="A8" s="793" t="s">
        <v>1836</v>
      </c>
      <c r="B8" s="259" t="s">
        <v>466</v>
      </c>
      <c r="C8" s="2551">
        <v>80000</v>
      </c>
      <c r="D8" s="2551">
        <v>90000</v>
      </c>
      <c r="E8" s="2551">
        <v>35000</v>
      </c>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63580</v>
      </c>
      <c r="D9" s="435">
        <f>SUMIF('数据-汇总表'!$C19:$C33,'剩余法-待开发'!D7,'数据-汇总表'!$E19:$E33)</f>
        <v>5480</v>
      </c>
      <c r="E9" s="435">
        <f>SUMIF('数据-汇总表'!$C19:$C33,'剩余法-待开发'!E7,'数据-汇总表'!$E19:$E33)</f>
        <v>34717</v>
      </c>
      <c r="F9" s="435">
        <f>SUMIF('数据-汇总表'!$C19:$C33,'剩余法-待开发'!F7,'数据-汇总表'!$E19:$E33)</f>
        <v>18688</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ROUND(C8*C9/10000,0)</f>
        <v>508640</v>
      </c>
      <c r="D10" s="2742">
        <f>ROUND(D8*D9/10000,0)</f>
        <v>49320</v>
      </c>
      <c r="E10" s="2742">
        <f>ROUND(E8*E9/10000,0)</f>
        <v>121510</v>
      </c>
      <c r="F10" s="2554">
        <f>'数据-取费表'!AH9*42</f>
        <v>20664</v>
      </c>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49186</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1476</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1381</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2461</v>
      </c>
      <c r="D16" s="2561">
        <f ca="1">IF(B1="",'数据-汇总表'!E3,INDIRECT("'数据-取费表'!K"&amp;$K$1)+INDIRECT("'数据-取费表'!S"&amp;$K$1))</f>
        <v>123065</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738</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55242</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1846</v>
      </c>
      <c r="D19" s="2571">
        <f ca="1">D16</f>
        <v>123065</v>
      </c>
      <c r="E19" s="2525">
        <f>'数据-取费表'!B32</f>
        <v>150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2062</v>
      </c>
      <c r="D20" s="2571"/>
      <c r="E20" s="2525"/>
      <c r="F20" s="2572"/>
      <c r="G20" s="2776" t="s">
        <v>3240</v>
      </c>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1036</v>
      </c>
      <c r="D21" s="2561">
        <f ca="1">IF(B1="",'数据-汇总表'!E5,IF(INDIRECT("'数据-取费表'!c"&amp;$K$1)="住宅",INDIRECT("'数据-取费表'!k"&amp;$K$1),0))</f>
        <v>69060</v>
      </c>
      <c r="E21" s="53">
        <f>'数据-取费表'!B27</f>
        <v>150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1026</v>
      </c>
      <c r="D22" s="2561">
        <f ca="1">IF(B1="",'数据-汇总表'!E6,IF(INDIRECT("'数据-取费表'!c"&amp;$K$1)="住宅",INDIRECT("'数据-取费表'!s"&amp;$K$1),INDIRECT("'数据-取费表'!k"&amp;$K$1)+INDIRECT("'数据-取费表'!s"&amp;$K$1)))</f>
        <v>54005</v>
      </c>
      <c r="E22" s="53">
        <f>'数据-取费表'!B28</f>
        <v>190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1183</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14003</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461">
        <f>ROUND(F25/(1+'数据-取费表'!C42),4)</f>
        <v>2.9000000000000001E-2</v>
      </c>
      <c r="D25" s="456" t="s">
        <v>2808</v>
      </c>
      <c r="E25" s="463"/>
      <c r="F25" s="2573">
        <f>IF(项目基本情况!B8="出让",0,'数据-取费表'!B48+'数据-取费表'!B49)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4334</v>
      </c>
      <c r="D26" s="461">
        <f ca="1">C27</f>
        <v>0.1235</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0.1235</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4334</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37340</v>
      </c>
      <c r="D29" s="462"/>
      <c r="E29" s="462"/>
      <c r="F29" s="2750">
        <f>'数据-取费表'!B41</f>
        <v>5.6000000000000001E-2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1854</v>
      </c>
      <c r="B30" s="2579" t="s">
        <v>494</v>
      </c>
      <c r="C30" s="2574">
        <f ca="1">C31</f>
        <v>116010</v>
      </c>
      <c r="D30" s="471">
        <f ca="1">C32</f>
        <v>0.1525</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116010</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0.1525</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11150</v>
      </c>
      <c r="D33" s="461">
        <f ca="1">C34</f>
        <v>0.15440000000000001</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0.15440000000000001</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1848</v>
      </c>
      <c r="B35" s="2746" t="s">
        <v>2818</v>
      </c>
      <c r="C35" s="1556">
        <f ca="1">ROUND((C18+C19+C20+C23+C24)*F33,0)</f>
        <v>11150</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438422</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1839</v>
      </c>
      <c r="B13" s="443" t="s">
        <v>473</v>
      </c>
      <c r="C13" s="444">
        <f ca="1">IF(B1="",'数据-取费表'!M16,INDIRECT("'数据-取费表'!M"&amp;$K$1)+INDIRECT("'数据-取费表'!t"&amp;$K$1))</f>
        <v>49186</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1476</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1381</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2461</v>
      </c>
      <c r="D16" s="445">
        <f ca="1">IF(B1="",'数据-汇总表'!E3,INDIRECT("'数据-取费表'!K"&amp;$K$1)+INDIRECT("'数据-取费表'!S"&amp;$K$1))</f>
        <v>123065</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738</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55242</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1845</v>
      </c>
      <c r="B19" s="453" t="s">
        <v>487</v>
      </c>
      <c r="C19" s="454">
        <f ca="1">ROUND(C18*F19,0)</f>
        <v>1105</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1849</v>
      </c>
      <c r="B21" s="455" t="s">
        <v>488</v>
      </c>
      <c r="C21" s="464">
        <f ca="1">C22</f>
        <v>3285</v>
      </c>
      <c r="D21" s="461">
        <f ca="1">C23</f>
        <v>1.1999999999999999E-3</v>
      </c>
      <c r="E21" s="463" t="s">
        <v>501</v>
      </c>
      <c r="F21" s="465">
        <f ca="1">'数据-取费表'!B40</f>
        <v>3.85E-2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1" t="s">
        <v>1839</v>
      </c>
      <c r="B22" s="1282" t="s">
        <v>2419</v>
      </c>
      <c r="C22" s="481">
        <f ca="1">ROUND(IF('数据-取费表'!B22&lt;=1,(C18+C19)*F21*'数据-取费表'!B20/2,(C18+C19)*(POWER((1+F21),'数据-取费表'!B20/2)-1)),0)</f>
        <v>3285</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1840</v>
      </c>
      <c r="B23" s="1282" t="s">
        <v>502</v>
      </c>
      <c r="C23" s="482">
        <f ca="1">ROUND(IF('数据-取费表'!B22&lt;=1,F20*F21*'数据-取费表'!B20/2,F20*(POWER((1+F21),'数据-取费表'!B20/2)-1)),4)</f>
        <v>1.1999999999999999E-3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1850</v>
      </c>
      <c r="B24" s="2745" t="s">
        <v>2811</v>
      </c>
      <c r="C24" s="472">
        <f ca="1">C25</f>
        <v>8452</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1839</v>
      </c>
      <c r="B25" s="1282" t="s">
        <v>2420</v>
      </c>
      <c r="C25" s="484">
        <f ca="1">ROUND((C18+C19)*F24,0)</f>
        <v>8452</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1840</v>
      </c>
      <c r="B26" s="1282" t="s">
        <v>503</v>
      </c>
      <c r="C26" s="485">
        <f ca="1">ROUND(F20*F24,4)</f>
        <v>3.0000000000000001E-3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1858</v>
      </c>
      <c r="B27" s="453" t="s">
        <v>505</v>
      </c>
      <c r="C27" s="2744">
        <f>ROUND(F27/(1+'数据-取费表'!C42),4)</f>
        <v>5.33E-2</v>
      </c>
      <c r="D27" s="456" t="s">
        <v>2809</v>
      </c>
      <c r="E27" s="456"/>
      <c r="F27" s="460">
        <f>'数据-取费表'!B41</f>
        <v>5.6000000000000001E-2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1859</v>
      </c>
      <c r="B28" s="470" t="s">
        <v>506</v>
      </c>
      <c r="C28" s="464">
        <f ca="1">ROUND((C18+C19+C21+C24)/(1-C20-D21-D24-C27),0)</f>
        <v>73804</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5.6000000000000001E-2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285" t="str">
        <f>项目基本情况!B1</f>
        <v>北京市出让国有建设用地使用权抵押价格预评估</v>
      </c>
      <c r="C37" s="3285"/>
      <c r="D37" s="3285"/>
      <c r="E37" s="3285"/>
      <c r="F37" s="3285"/>
      <c r="G37" s="3285"/>
      <c r="H37" s="3285"/>
      <c r="I37" s="3285"/>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70" zoomScaleNormal="95" zoomScaleSheetLayoutView="70" workbookViewId="0">
      <selection activeCell="F68" sqref="F6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f>F68</f>
        <v>456241</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0" t="s">
        <v>1675</v>
      </c>
      <c r="B3" s="504">
        <f>ROUND(B2*10000/'数据-汇总表'!E3,0)</f>
        <v>37073</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f>IF(B48="单位面积地价",C50,ROUND(B2*10000/'数据-汇总表'!D3,0))</f>
        <v>39822</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2655</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67" t="s">
        <v>516</v>
      </c>
      <c r="D6" s="3468"/>
      <c r="E6" s="3467" t="s">
        <v>517</v>
      </c>
      <c r="F6" s="3468"/>
      <c r="G6" s="3467" t="s">
        <v>518</v>
      </c>
      <c r="H6" s="3468"/>
      <c r="I6" s="3467" t="s">
        <v>519</v>
      </c>
      <c r="J6" s="3468"/>
      <c r="K6" s="508" t="s">
        <v>520</v>
      </c>
      <c r="L6" s="2015"/>
      <c r="M6" s="2014"/>
      <c r="N6" s="2014"/>
      <c r="O6" s="2016"/>
      <c r="P6" s="3469" t="s">
        <v>521</v>
      </c>
      <c r="Q6" s="3470"/>
      <c r="R6" s="3475" t="s">
        <v>517</v>
      </c>
      <c r="S6" s="3476"/>
      <c r="T6" s="3475" t="s">
        <v>518</v>
      </c>
      <c r="U6" s="3476"/>
      <c r="V6" s="3462" t="s">
        <v>519</v>
      </c>
      <c r="W6" s="3462"/>
      <c r="X6" s="1501"/>
      <c r="Y6" s="3475" t="s">
        <v>521</v>
      </c>
      <c r="Z6" s="3476"/>
      <c r="AA6" s="3464" t="s">
        <v>517</v>
      </c>
      <c r="AB6" s="3465" t="s">
        <v>518</v>
      </c>
      <c r="AC6" s="3464" t="s">
        <v>519</v>
      </c>
    </row>
    <row r="7" spans="1:30" ht="20.25">
      <c r="A7" s="509"/>
      <c r="B7" s="510"/>
      <c r="C7" s="3483" t="s">
        <v>2897</v>
      </c>
      <c r="D7" s="3484"/>
      <c r="E7" s="3483" t="str">
        <f>土地案例!F7</f>
        <v>朝阳区孙河乡</v>
      </c>
      <c r="F7" s="3484"/>
      <c r="G7" s="3483" t="str">
        <f>土地案例!F14</f>
        <v>北京市朝阳孙河乡北甸西村2902-14地块R2二类居住用地</v>
      </c>
      <c r="H7" s="3484"/>
      <c r="I7" s="3483" t="str">
        <f>土地案例!F15</f>
        <v>朝阳区孙河乡</v>
      </c>
      <c r="J7" s="3484"/>
      <c r="K7" s="508"/>
      <c r="L7" s="2015"/>
      <c r="M7" s="2014"/>
      <c r="N7" s="2014"/>
      <c r="O7" s="2016"/>
      <c r="P7" s="3471"/>
      <c r="Q7" s="3472"/>
      <c r="R7" s="3477"/>
      <c r="S7" s="3478"/>
      <c r="T7" s="3477"/>
      <c r="U7" s="3478"/>
      <c r="V7" s="3462"/>
      <c r="W7" s="3462"/>
      <c r="X7" s="1501"/>
      <c r="Y7" s="3477"/>
      <c r="Z7" s="3478"/>
      <c r="AA7" s="3465"/>
      <c r="AB7" s="3465"/>
      <c r="AC7" s="3465"/>
    </row>
    <row r="8" spans="1:30" ht="21" thickBot="1">
      <c r="A8" s="509"/>
      <c r="B8" s="510"/>
      <c r="C8" s="3485" t="s">
        <v>2901</v>
      </c>
      <c r="D8" s="3486"/>
      <c r="E8" s="3485" t="s">
        <v>2901</v>
      </c>
      <c r="F8" s="3486"/>
      <c r="G8" s="3481" t="s">
        <v>2901</v>
      </c>
      <c r="H8" s="3482"/>
      <c r="I8" s="3481" t="s">
        <v>2901</v>
      </c>
      <c r="J8" s="3482"/>
      <c r="K8" s="508" t="s">
        <v>522</v>
      </c>
      <c r="L8" s="2015"/>
      <c r="M8" s="2014"/>
      <c r="N8" s="2014"/>
      <c r="O8" s="2016"/>
      <c r="P8" s="3473"/>
      <c r="Q8" s="3474"/>
      <c r="R8" s="3477"/>
      <c r="S8" s="3478"/>
      <c r="T8" s="3479"/>
      <c r="U8" s="3480"/>
      <c r="V8" s="3462"/>
      <c r="W8" s="3462"/>
      <c r="X8" s="1501"/>
      <c r="Y8" s="3479"/>
      <c r="Z8" s="3480"/>
      <c r="AA8" s="3466"/>
      <c r="AB8" s="3466"/>
      <c r="AC8" s="3466"/>
    </row>
    <row r="9" spans="1:30" s="1203" customFormat="1" ht="21" thickBot="1">
      <c r="A9" s="2629"/>
      <c r="B9" s="2636" t="s">
        <v>523</v>
      </c>
      <c r="C9" s="2628">
        <f>'数据-取费表'!B2</f>
        <v>44265</v>
      </c>
      <c r="D9" s="514">
        <v>100</v>
      </c>
      <c r="E9" s="515" t="str">
        <f>土地案例!AA7</f>
        <v>2019-05-28</v>
      </c>
      <c r="F9" s="516">
        <f>SUMIF(72:72,YEAR(E9)&amp;"-"&amp;INT((MONTH(E9)+2)/3),73:73)</f>
        <v>93</v>
      </c>
      <c r="G9" s="517" t="str">
        <f>土地案例!AA14</f>
        <v>2018-01-17</v>
      </c>
      <c r="H9" s="514">
        <f>SUMIF(72:72,YEAR(G9)&amp;"-"&amp;INT((MONTH(G9)+2)/3),73:73)</f>
        <v>88</v>
      </c>
      <c r="I9" s="517" t="str">
        <f>土地案例!AA15</f>
        <v>2018-01-04</v>
      </c>
      <c r="J9" s="514">
        <f>SUMIF(72:72,YEAR(I9)&amp;"-"&amp;INT((MONTH(I9)+2)/3),73:73)</f>
        <v>88</v>
      </c>
      <c r="K9" s="518"/>
      <c r="L9" s="2017"/>
      <c r="M9" s="2014"/>
      <c r="N9" s="2014"/>
      <c r="O9" s="2018"/>
      <c r="P9" s="3492" t="s">
        <v>524</v>
      </c>
      <c r="Q9" s="3494"/>
      <c r="R9" s="1502" t="s">
        <v>8</v>
      </c>
      <c r="S9" s="1503">
        <f t="shared" ref="S9:S17" si="0">F9</f>
        <v>93</v>
      </c>
      <c r="T9" s="1502" t="s">
        <v>8</v>
      </c>
      <c r="U9" s="1503">
        <f t="shared" ref="U9:U17" si="1">H9</f>
        <v>88</v>
      </c>
      <c r="V9" s="1502" t="s">
        <v>8</v>
      </c>
      <c r="W9" s="1503">
        <f t="shared" ref="W9:W17" si="2">J9</f>
        <v>88</v>
      </c>
      <c r="X9" s="1504"/>
      <c r="Y9" s="3492" t="s">
        <v>524</v>
      </c>
      <c r="Z9" s="3493"/>
      <c r="AA9" s="1505">
        <f>D9/F9</f>
        <v>1.075268817204301</v>
      </c>
      <c r="AB9" s="1505">
        <f>D9/H9</f>
        <v>1.1363636363636365</v>
      </c>
      <c r="AC9" s="1505">
        <f>D9/J9</f>
        <v>1.1363636363636365</v>
      </c>
    </row>
    <row r="10" spans="1:30" s="1203" customFormat="1" ht="21" thickBot="1">
      <c r="A10" s="2630"/>
      <c r="B10" s="2637" t="s">
        <v>525</v>
      </c>
      <c r="C10" s="845" t="s">
        <v>526</v>
      </c>
      <c r="D10" s="514">
        <v>100</v>
      </c>
      <c r="E10" s="519" t="s">
        <v>3231</v>
      </c>
      <c r="F10" s="516">
        <f>SUMIF(75:75,E10,76:76)-SUMIF(75:75,C10,76:76)+100</f>
        <v>100</v>
      </c>
      <c r="G10" s="519" t="s">
        <v>3231</v>
      </c>
      <c r="H10" s="514">
        <f>SUMIF(75:75,G10,76:76)-SUMIF(75:75,C10,76:76)+100</f>
        <v>100</v>
      </c>
      <c r="I10" s="519" t="s">
        <v>3231</v>
      </c>
      <c r="J10" s="514">
        <f>SUMIF(75:75,I10,76:76)-SUMIF(75:75,C10,76:76)+100</f>
        <v>100</v>
      </c>
      <c r="K10" s="518"/>
      <c r="L10" s="2017"/>
      <c r="M10" s="2014"/>
      <c r="N10" s="2014"/>
      <c r="O10" s="2018"/>
      <c r="P10" s="3492" t="s">
        <v>527</v>
      </c>
      <c r="Q10" s="3493"/>
      <c r="R10" s="1502" t="s">
        <v>8</v>
      </c>
      <c r="S10" s="1503">
        <f t="shared" si="0"/>
        <v>100</v>
      </c>
      <c r="T10" s="1502" t="s">
        <v>8</v>
      </c>
      <c r="U10" s="1503">
        <f t="shared" si="1"/>
        <v>100</v>
      </c>
      <c r="V10" s="1502" t="s">
        <v>8</v>
      </c>
      <c r="W10" s="1503">
        <f t="shared" si="2"/>
        <v>100</v>
      </c>
      <c r="X10" s="1504"/>
      <c r="Y10" s="3492" t="s">
        <v>527</v>
      </c>
      <c r="Z10" s="3493"/>
      <c r="AA10" s="1505">
        <f t="shared" ref="AA10:AA47" si="3">D10/F10</f>
        <v>1</v>
      </c>
      <c r="AB10" s="1505">
        <f t="shared" ref="AB10:AB47" si="4">D10/H10</f>
        <v>1</v>
      </c>
      <c r="AC10" s="1505">
        <f t="shared" ref="AC10:AC47" si="5">D10/J10</f>
        <v>1</v>
      </c>
    </row>
    <row r="11" spans="1:30" s="1203" customFormat="1" ht="20.25">
      <c r="A11" s="2631"/>
      <c r="B11" s="2638" t="s">
        <v>2736</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61" t="s">
        <v>529</v>
      </c>
      <c r="Q11" s="1134" t="str">
        <f t="shared" ref="Q11:Q17" si="6">B11</f>
        <v>用途</v>
      </c>
      <c r="R11" s="1502" t="s">
        <v>8</v>
      </c>
      <c r="S11" s="1503">
        <f t="shared" si="0"/>
        <v>100</v>
      </c>
      <c r="T11" s="1502" t="s">
        <v>8</v>
      </c>
      <c r="U11" s="1503">
        <f t="shared" si="1"/>
        <v>100</v>
      </c>
      <c r="V11" s="1502" t="s">
        <v>8</v>
      </c>
      <c r="W11" s="1503">
        <f t="shared" si="2"/>
        <v>100</v>
      </c>
      <c r="X11" s="1504"/>
      <c r="Y11" s="3407" t="s">
        <v>530</v>
      </c>
      <c r="Z11" s="1133" t="str">
        <f t="shared" ref="Z11:Z17" si="7">Q11</f>
        <v>用途</v>
      </c>
      <c r="AA11" s="1505">
        <f t="shared" si="3"/>
        <v>1</v>
      </c>
      <c r="AB11" s="1505">
        <f t="shared" si="4"/>
        <v>1</v>
      </c>
      <c r="AC11" s="1505">
        <f t="shared" si="5"/>
        <v>1</v>
      </c>
    </row>
    <row r="12" spans="1:30" s="1292" customFormat="1" ht="27">
      <c r="A12" s="2632"/>
      <c r="B12" s="2637" t="s">
        <v>2737</v>
      </c>
      <c r="C12" s="899"/>
      <c r="D12" s="253">
        <v>100</v>
      </c>
      <c r="E12" s="523"/>
      <c r="F12" s="253">
        <f>ROUND(100/'数据-取费表'!G16,0)</f>
        <v>118</v>
      </c>
      <c r="G12" s="524"/>
      <c r="H12" s="253">
        <f>ROUND(100/'数据-取费表'!G16,0)</f>
        <v>118</v>
      </c>
      <c r="I12" s="524"/>
      <c r="J12" s="253">
        <f>ROUND(100/'数据-取费表'!G16,0)</f>
        <v>118</v>
      </c>
      <c r="K12" s="525"/>
      <c r="L12" s="2020"/>
      <c r="M12" s="2014"/>
      <c r="N12" s="2014"/>
      <c r="O12" s="2021"/>
      <c r="P12" s="3461"/>
      <c r="Q12" s="1134" t="str">
        <f t="shared" si="6"/>
        <v>土地使用年限（年）</v>
      </c>
      <c r="R12" s="1502" t="s">
        <v>8</v>
      </c>
      <c r="S12" s="1503">
        <f t="shared" si="0"/>
        <v>118</v>
      </c>
      <c r="T12" s="1502" t="s">
        <v>8</v>
      </c>
      <c r="U12" s="1503">
        <f t="shared" si="1"/>
        <v>118</v>
      </c>
      <c r="V12" s="1502" t="s">
        <v>8</v>
      </c>
      <c r="W12" s="1503">
        <f t="shared" si="2"/>
        <v>118</v>
      </c>
      <c r="X12" s="1504"/>
      <c r="Y12" s="3407"/>
      <c r="Z12" s="1133" t="str">
        <f t="shared" si="7"/>
        <v>土地使用年限（年）</v>
      </c>
      <c r="AA12" s="1505">
        <f t="shared" si="3"/>
        <v>0.84745762711864403</v>
      </c>
      <c r="AB12" s="1505">
        <f t="shared" si="4"/>
        <v>0.84745762711864403</v>
      </c>
      <c r="AC12" s="1505">
        <f t="shared" si="5"/>
        <v>0.84745762711864403</v>
      </c>
    </row>
    <row r="13" spans="1:30" ht="20.25">
      <c r="A13" s="2633"/>
      <c r="B13" s="2637" t="s">
        <v>2738</v>
      </c>
      <c r="C13" s="528">
        <f>'数据-汇总表'!I6</f>
        <v>0.6</v>
      </c>
      <c r="D13" s="253">
        <v>100</v>
      </c>
      <c r="E13" s="527">
        <v>1.1000000000000001</v>
      </c>
      <c r="F13" s="253">
        <f>LOOKUP(E13,82:82,83:83)-LOOKUP(C13,82:82,83:83)+100</f>
        <v>95</v>
      </c>
      <c r="G13" s="528">
        <v>1.1000000000000001</v>
      </c>
      <c r="H13" s="253">
        <f>LOOKUP(G13,82:82,83:83)-LOOKUP(C13,82:82,83:83)+100</f>
        <v>95</v>
      </c>
      <c r="I13" s="527">
        <v>1.1000000000000001</v>
      </c>
      <c r="J13" s="253">
        <f>LOOKUP(I13,82:82,83:83)-LOOKUP(C13,82:82,83:83)+100</f>
        <v>95</v>
      </c>
      <c r="K13" s="529">
        <v>5</v>
      </c>
      <c r="L13" s="2022"/>
      <c r="M13" s="2014"/>
      <c r="N13" s="2014"/>
      <c r="O13" s="2023"/>
      <c r="P13" s="3461"/>
      <c r="Q13" s="1134" t="str">
        <f t="shared" si="6"/>
        <v>容积率</v>
      </c>
      <c r="R13" s="1502" t="s">
        <v>8</v>
      </c>
      <c r="S13" s="1503">
        <f t="shared" si="0"/>
        <v>95</v>
      </c>
      <c r="T13" s="1502" t="s">
        <v>8</v>
      </c>
      <c r="U13" s="1503">
        <f t="shared" si="1"/>
        <v>95</v>
      </c>
      <c r="V13" s="1502" t="s">
        <v>8</v>
      </c>
      <c r="W13" s="1503">
        <f t="shared" si="2"/>
        <v>95</v>
      </c>
      <c r="X13" s="1504"/>
      <c r="Y13" s="3407"/>
      <c r="Z13" s="1133" t="str">
        <f t="shared" si="7"/>
        <v>容积率</v>
      </c>
      <c r="AA13" s="1505">
        <f t="shared" si="3"/>
        <v>1.0526315789473684</v>
      </c>
      <c r="AB13" s="1505">
        <f t="shared" si="4"/>
        <v>1.0526315789473684</v>
      </c>
      <c r="AC13" s="1505">
        <f t="shared" si="5"/>
        <v>1.0526315789473684</v>
      </c>
    </row>
    <row r="14" spans="1:30" s="1203" customFormat="1" ht="20.25">
      <c r="A14" s="2630"/>
      <c r="B14" s="2639" t="s">
        <v>2739</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61"/>
      <c r="Q14" s="1134" t="str">
        <f t="shared" si="6"/>
        <v>配建</v>
      </c>
      <c r="R14" s="1502" t="s">
        <v>8</v>
      </c>
      <c r="S14" s="1503">
        <f t="shared" si="0"/>
        <v>100</v>
      </c>
      <c r="T14" s="1502" t="s">
        <v>8</v>
      </c>
      <c r="U14" s="1503">
        <f t="shared" si="1"/>
        <v>100</v>
      </c>
      <c r="V14" s="1502" t="s">
        <v>8</v>
      </c>
      <c r="W14" s="1503">
        <f t="shared" si="2"/>
        <v>100</v>
      </c>
      <c r="X14" s="1504"/>
      <c r="Y14" s="3407"/>
      <c r="Z14" s="1133" t="str">
        <f t="shared" si="7"/>
        <v>配建</v>
      </c>
      <c r="AA14" s="1505">
        <f>D14/F14</f>
        <v>1</v>
      </c>
      <c r="AB14" s="1505">
        <f>D14/H14</f>
        <v>1</v>
      </c>
      <c r="AC14" s="1505">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61"/>
      <c r="Q15" s="1134">
        <f t="shared" si="6"/>
        <v>111</v>
      </c>
      <c r="R15" s="1502" t="s">
        <v>8</v>
      </c>
      <c r="S15" s="1503">
        <f t="shared" si="0"/>
        <v>100</v>
      </c>
      <c r="T15" s="1502" t="s">
        <v>8</v>
      </c>
      <c r="U15" s="1503">
        <f t="shared" si="1"/>
        <v>100</v>
      </c>
      <c r="V15" s="1502" t="s">
        <v>8</v>
      </c>
      <c r="W15" s="1503">
        <f t="shared" si="2"/>
        <v>100</v>
      </c>
      <c r="X15" s="1504"/>
      <c r="Y15" s="3407"/>
      <c r="Z15" s="1133">
        <f t="shared" si="7"/>
        <v>111</v>
      </c>
      <c r="AA15" s="1505">
        <f>D15/F15</f>
        <v>1</v>
      </c>
      <c r="AB15" s="1505">
        <f>D15/H15</f>
        <v>1</v>
      </c>
      <c r="AC15" s="1505">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61"/>
      <c r="Q16" s="1134">
        <f t="shared" si="6"/>
        <v>111</v>
      </c>
      <c r="R16" s="1502" t="s">
        <v>8</v>
      </c>
      <c r="S16" s="1503">
        <f t="shared" si="0"/>
        <v>100</v>
      </c>
      <c r="T16" s="1502" t="s">
        <v>8</v>
      </c>
      <c r="U16" s="1503">
        <f t="shared" si="1"/>
        <v>100</v>
      </c>
      <c r="V16" s="1502" t="s">
        <v>8</v>
      </c>
      <c r="W16" s="1503">
        <f t="shared" si="2"/>
        <v>100</v>
      </c>
      <c r="X16" s="1504"/>
      <c r="Y16" s="3407"/>
      <c r="Z16" s="1133">
        <f t="shared" si="7"/>
        <v>111</v>
      </c>
      <c r="AA16" s="1505">
        <f>D16/F16</f>
        <v>1</v>
      </c>
      <c r="AB16" s="1505">
        <f>D16/H16</f>
        <v>1</v>
      </c>
      <c r="AC16" s="1505">
        <f>D16/J16</f>
        <v>1</v>
      </c>
    </row>
    <row r="17" spans="1:29" ht="99.75">
      <c r="A17" s="2627"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95" t="s">
        <v>534</v>
      </c>
      <c r="Q17" s="1506" t="str">
        <f t="shared" si="6"/>
        <v>居住社区成熟度</v>
      </c>
      <c r="R17" s="1507" t="s">
        <v>8</v>
      </c>
      <c r="S17" s="1508">
        <f t="shared" si="0"/>
        <v>100</v>
      </c>
      <c r="T17" s="1507" t="s">
        <v>8</v>
      </c>
      <c r="U17" s="1508">
        <f t="shared" si="1"/>
        <v>100</v>
      </c>
      <c r="V17" s="1507" t="s">
        <v>8</v>
      </c>
      <c r="W17" s="1508">
        <f t="shared" si="2"/>
        <v>100</v>
      </c>
      <c r="X17" s="1501"/>
      <c r="Y17" s="3495"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4"/>
      <c r="M18" s="2014"/>
      <c r="N18" s="2014"/>
      <c r="O18" s="2023"/>
      <c r="P18" s="3496"/>
      <c r="Q18" s="1506"/>
      <c r="R18" s="1507"/>
      <c r="S18" s="1508"/>
      <c r="T18" s="1507"/>
      <c r="U18" s="1508"/>
      <c r="V18" s="1507"/>
      <c r="W18" s="1508"/>
      <c r="X18" s="1501"/>
      <c r="Y18" s="3496"/>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96"/>
      <c r="Q19" s="1506" t="str">
        <f>B19</f>
        <v>商业繁华度</v>
      </c>
      <c r="R19" s="1507" t="s">
        <v>8</v>
      </c>
      <c r="S19" s="1508">
        <f>F19</f>
        <v>100</v>
      </c>
      <c r="T19" s="1507" t="s">
        <v>8</v>
      </c>
      <c r="U19" s="1508">
        <f>H19</f>
        <v>100</v>
      </c>
      <c r="V19" s="1507" t="s">
        <v>8</v>
      </c>
      <c r="W19" s="1508">
        <f>J19</f>
        <v>100</v>
      </c>
      <c r="X19" s="1501"/>
      <c r="Y19" s="3496"/>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4"/>
      <c r="M20" s="2014"/>
      <c r="N20" s="2014"/>
      <c r="O20" s="2023"/>
      <c r="P20" s="3496"/>
      <c r="Q20" s="1506"/>
      <c r="R20" s="1507"/>
      <c r="S20" s="1508"/>
      <c r="T20" s="1507"/>
      <c r="U20" s="1508"/>
      <c r="V20" s="1507"/>
      <c r="W20" s="1508"/>
      <c r="X20" s="1501"/>
      <c r="Y20" s="3496"/>
      <c r="Z20" s="1509"/>
      <c r="AA20" s="1510">
        <v>1</v>
      </c>
      <c r="AB20" s="1510">
        <v>1</v>
      </c>
      <c r="AC20" s="1510">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6"/>
      <c r="Q21" s="1506" t="str">
        <f>B21</f>
        <v>办公集聚程度</v>
      </c>
      <c r="R21" s="1507" t="s">
        <v>8</v>
      </c>
      <c r="S21" s="1508">
        <f>F21</f>
        <v>100</v>
      </c>
      <c r="T21" s="1507" t="s">
        <v>8</v>
      </c>
      <c r="U21" s="1508">
        <f>H21</f>
        <v>100</v>
      </c>
      <c r="V21" s="1507" t="s">
        <v>8</v>
      </c>
      <c r="W21" s="1508">
        <f>J21</f>
        <v>100</v>
      </c>
      <c r="X21" s="1501"/>
      <c r="Y21" s="3496"/>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4"/>
      <c r="M22" s="2014"/>
      <c r="N22" s="2014"/>
      <c r="O22" s="2023"/>
      <c r="P22" s="3496"/>
      <c r="Q22" s="1506"/>
      <c r="R22" s="1507"/>
      <c r="S22" s="1508"/>
      <c r="T22" s="1507"/>
      <c r="U22" s="1508"/>
      <c r="V22" s="1507"/>
      <c r="W22" s="1508"/>
      <c r="X22" s="1501"/>
      <c r="Y22" s="3496"/>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96"/>
      <c r="Q23" s="1506" t="str">
        <f>B23</f>
        <v>交通便捷度</v>
      </c>
      <c r="R23" s="1507" t="s">
        <v>8</v>
      </c>
      <c r="S23" s="1508">
        <f>F23</f>
        <v>100</v>
      </c>
      <c r="T23" s="1507" t="s">
        <v>8</v>
      </c>
      <c r="U23" s="1508">
        <f>H23</f>
        <v>100</v>
      </c>
      <c r="V23" s="1507" t="s">
        <v>8</v>
      </c>
      <c r="W23" s="1508">
        <f>J23</f>
        <v>100</v>
      </c>
      <c r="X23" s="1501"/>
      <c r="Y23" s="3496"/>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4"/>
      <c r="M24" s="2014"/>
      <c r="N24" s="2014"/>
      <c r="O24" s="2023"/>
      <c r="P24" s="3496"/>
      <c r="Q24" s="1506"/>
      <c r="R24" s="1507"/>
      <c r="S24" s="1508"/>
      <c r="T24" s="1507"/>
      <c r="U24" s="1508"/>
      <c r="V24" s="1507"/>
      <c r="W24" s="1508"/>
      <c r="X24" s="1501"/>
      <c r="Y24" s="3496"/>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96"/>
      <c r="Q25" s="1506" t="str">
        <f t="shared" ref="Q25:Q39" si="8">B25</f>
        <v>区域土地利用方向</v>
      </c>
      <c r="R25" s="1507" t="s">
        <v>8</v>
      </c>
      <c r="S25" s="1508">
        <f>F25</f>
        <v>100</v>
      </c>
      <c r="T25" s="1507" t="s">
        <v>8</v>
      </c>
      <c r="U25" s="1508">
        <f>H25</f>
        <v>100</v>
      </c>
      <c r="V25" s="1507" t="s">
        <v>8</v>
      </c>
      <c r="W25" s="1508">
        <f>J25</f>
        <v>100</v>
      </c>
      <c r="X25" s="1501"/>
      <c r="Y25" s="3496"/>
      <c r="Z25" s="1509" t="str">
        <f>Q25</f>
        <v>区域土地利用方向</v>
      </c>
      <c r="AA25" s="1510">
        <f t="shared" si="3"/>
        <v>1</v>
      </c>
      <c r="AB25" s="1510">
        <f t="shared" si="4"/>
        <v>1</v>
      </c>
      <c r="AC25" s="1510">
        <f t="shared" si="5"/>
        <v>1</v>
      </c>
    </row>
    <row r="26" spans="1:29" ht="20.25">
      <c r="A26" s="509"/>
      <c r="B26" s="994"/>
      <c r="C26" s="548"/>
      <c r="D26" s="551"/>
      <c r="E26" s="552"/>
      <c r="F26" s="549"/>
      <c r="G26" s="550"/>
      <c r="H26" s="549"/>
      <c r="I26" s="552"/>
      <c r="J26" s="549"/>
      <c r="K26" s="525"/>
      <c r="L26" s="2024"/>
      <c r="M26" s="2014"/>
      <c r="N26" s="2014"/>
      <c r="O26" s="2023"/>
      <c r="P26" s="3496"/>
      <c r="Q26" s="1506"/>
      <c r="R26" s="1507"/>
      <c r="S26" s="1508"/>
      <c r="T26" s="1507"/>
      <c r="U26" s="1508"/>
      <c r="V26" s="1507"/>
      <c r="W26" s="1508"/>
      <c r="X26" s="1501"/>
      <c r="Y26" s="3496"/>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96"/>
      <c r="Q27" s="1506" t="str">
        <f t="shared" si="8"/>
        <v>自然及人文环境状况</v>
      </c>
      <c r="R27" s="1507" t="s">
        <v>8</v>
      </c>
      <c r="S27" s="1508">
        <f>F27</f>
        <v>100</v>
      </c>
      <c r="T27" s="1507" t="s">
        <v>8</v>
      </c>
      <c r="U27" s="1508">
        <f>H27</f>
        <v>100</v>
      </c>
      <c r="V27" s="1507" t="s">
        <v>8</v>
      </c>
      <c r="W27" s="1508">
        <f>J27</f>
        <v>100</v>
      </c>
      <c r="X27" s="1501"/>
      <c r="Y27" s="3496"/>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4"/>
      <c r="M28" s="2014"/>
      <c r="N28" s="2014"/>
      <c r="O28" s="2023"/>
      <c r="P28" s="3496"/>
      <c r="Q28" s="1506"/>
      <c r="R28" s="1507"/>
      <c r="S28" s="1508"/>
      <c r="T28" s="1507"/>
      <c r="U28" s="1508"/>
      <c r="V28" s="1507"/>
      <c r="W28" s="1508"/>
      <c r="X28" s="1501"/>
      <c r="Y28" s="3496"/>
      <c r="Z28" s="1509"/>
      <c r="AA28" s="1510">
        <v>1</v>
      </c>
      <c r="AB28" s="1510">
        <v>1</v>
      </c>
      <c r="AC28" s="1510">
        <v>1</v>
      </c>
    </row>
    <row r="29" spans="1:29" s="1203" customFormat="1" ht="42.75">
      <c r="A29" s="571"/>
      <c r="B29" s="2435"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96"/>
      <c r="Q29" s="1134" t="str">
        <f t="shared" si="8"/>
        <v>公共配套设施</v>
      </c>
      <c r="R29" s="1502" t="s">
        <v>8</v>
      </c>
      <c r="S29" s="1503">
        <f>F29</f>
        <v>100</v>
      </c>
      <c r="T29" s="1502" t="s">
        <v>8</v>
      </c>
      <c r="U29" s="1503">
        <f>H29</f>
        <v>100</v>
      </c>
      <c r="V29" s="1502" t="s">
        <v>8</v>
      </c>
      <c r="W29" s="1503">
        <f>J29</f>
        <v>100</v>
      </c>
      <c r="X29" s="1504"/>
      <c r="Y29" s="3496"/>
      <c r="Z29" s="1133" t="str">
        <f>Q29</f>
        <v>公共配套设施</v>
      </c>
      <c r="AA29" s="1510">
        <f>D29/F29</f>
        <v>1</v>
      </c>
      <c r="AB29" s="1510">
        <f>D29/H29</f>
        <v>1</v>
      </c>
      <c r="AC29" s="1510">
        <f>D29/J29</f>
        <v>1</v>
      </c>
    </row>
    <row r="30" spans="1:29" s="1203" customFormat="1" ht="20.25">
      <c r="A30" s="571"/>
      <c r="B30" s="560"/>
      <c r="C30" s="573"/>
      <c r="D30" s="551"/>
      <c r="E30" s="570"/>
      <c r="F30" s="549"/>
      <c r="G30" s="548"/>
      <c r="H30" s="549"/>
      <c r="I30" s="570"/>
      <c r="J30" s="549"/>
      <c r="K30" s="525"/>
      <c r="L30" s="2017"/>
      <c r="M30" s="2014"/>
      <c r="N30" s="2014"/>
      <c r="O30" s="2019"/>
      <c r="P30" s="3496"/>
      <c r="Q30" s="1134"/>
      <c r="R30" s="1502"/>
      <c r="S30" s="1503"/>
      <c r="T30" s="1502"/>
      <c r="U30" s="1503"/>
      <c r="V30" s="1502"/>
      <c r="W30" s="1503"/>
      <c r="X30" s="1504"/>
      <c r="Y30" s="3496"/>
      <c r="Z30" s="1133"/>
      <c r="AA30" s="1510">
        <v>1</v>
      </c>
      <c r="AB30" s="1510">
        <v>1</v>
      </c>
      <c r="AC30" s="1510">
        <v>1</v>
      </c>
    </row>
    <row r="31" spans="1:29" s="1203"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96"/>
      <c r="Q31" s="2428" t="str">
        <f t="shared" ref="Q31" si="9">B31</f>
        <v>基础设施水平</v>
      </c>
      <c r="R31" s="1502" t="s">
        <v>8</v>
      </c>
      <c r="S31" s="1503">
        <f>F31</f>
        <v>100</v>
      </c>
      <c r="T31" s="1502" t="s">
        <v>8</v>
      </c>
      <c r="U31" s="1503">
        <f>H31</f>
        <v>100</v>
      </c>
      <c r="V31" s="1502" t="s">
        <v>8</v>
      </c>
      <c r="W31" s="1503">
        <f>J31</f>
        <v>100</v>
      </c>
      <c r="X31" s="1504"/>
      <c r="Y31" s="3496"/>
      <c r="Z31" s="2427" t="str">
        <f>Q31</f>
        <v>基础设施水平</v>
      </c>
      <c r="AA31" s="1510">
        <f>D31/F31</f>
        <v>1</v>
      </c>
      <c r="AB31" s="1510">
        <f>D31/H31</f>
        <v>1</v>
      </c>
      <c r="AC31" s="1510">
        <f>D31/J31</f>
        <v>1</v>
      </c>
    </row>
    <row r="32" spans="1:29" s="1203" customFormat="1" ht="20.25">
      <c r="A32" s="571"/>
      <c r="B32" s="560"/>
      <c r="C32" s="573"/>
      <c r="D32" s="551"/>
      <c r="E32" s="2436"/>
      <c r="F32" s="549"/>
      <c r="G32" s="573"/>
      <c r="H32" s="549"/>
      <c r="I32" s="573"/>
      <c r="J32" s="549"/>
      <c r="K32" s="525"/>
      <c r="L32" s="2017"/>
      <c r="M32" s="2014"/>
      <c r="N32" s="2014"/>
      <c r="O32" s="2019"/>
      <c r="P32" s="3496"/>
      <c r="Q32" s="2428"/>
      <c r="R32" s="1502"/>
      <c r="S32" s="1503"/>
      <c r="T32" s="1502"/>
      <c r="U32" s="1503"/>
      <c r="V32" s="1502"/>
      <c r="W32" s="1503"/>
      <c r="X32" s="1504"/>
      <c r="Y32" s="3496"/>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6"/>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6"/>
      <c r="Q34" s="1506" t="str">
        <f t="shared" si="8"/>
        <v>毗邻道路的类型与等级</v>
      </c>
      <c r="R34" s="1507" t="s">
        <v>8</v>
      </c>
      <c r="S34" s="1508">
        <f t="shared" si="10"/>
        <v>100</v>
      </c>
      <c r="T34" s="1507" t="s">
        <v>8</v>
      </c>
      <c r="U34" s="1508">
        <f t="shared" si="11"/>
        <v>100</v>
      </c>
      <c r="V34" s="1507" t="s">
        <v>8</v>
      </c>
      <c r="W34" s="1508">
        <f t="shared" si="12"/>
        <v>100</v>
      </c>
      <c r="X34" s="1501"/>
      <c r="Y34" s="3496"/>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496"/>
      <c r="Q35" s="1506"/>
      <c r="R35" s="1507"/>
      <c r="S35" s="1508"/>
      <c r="T35" s="1507"/>
      <c r="U35" s="1508"/>
      <c r="V35" s="1507"/>
      <c r="W35" s="1508"/>
      <c r="X35" s="1501"/>
      <c r="Y35" s="3496"/>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6"/>
      <c r="Q36" s="1506" t="str">
        <f t="shared" si="8"/>
        <v>土地级别</v>
      </c>
      <c r="R36" s="1507" t="s">
        <v>8</v>
      </c>
      <c r="S36" s="1508">
        <f t="shared" si="10"/>
        <v>100</v>
      </c>
      <c r="T36" s="1507" t="s">
        <v>8</v>
      </c>
      <c r="U36" s="1508">
        <f t="shared" si="11"/>
        <v>100</v>
      </c>
      <c r="V36" s="1507" t="s">
        <v>8</v>
      </c>
      <c r="W36" s="1508">
        <f t="shared" si="12"/>
        <v>100</v>
      </c>
      <c r="X36" s="1501"/>
      <c r="Y36" s="3496"/>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6"/>
      <c r="Q37" s="1506">
        <f t="shared" si="8"/>
        <v>111</v>
      </c>
      <c r="R37" s="1507" t="s">
        <v>8</v>
      </c>
      <c r="S37" s="1508">
        <f t="shared" si="10"/>
        <v>100</v>
      </c>
      <c r="T37" s="1507" t="s">
        <v>8</v>
      </c>
      <c r="U37" s="1508">
        <f t="shared" si="11"/>
        <v>100</v>
      </c>
      <c r="V37" s="1507" t="s">
        <v>8</v>
      </c>
      <c r="W37" s="1508">
        <f t="shared" si="12"/>
        <v>100</v>
      </c>
      <c r="X37" s="1501"/>
      <c r="Y37" s="3496"/>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7" t="s">
        <v>544</v>
      </c>
      <c r="Q38" s="1506">
        <f t="shared" si="8"/>
        <v>111</v>
      </c>
      <c r="R38" s="1507" t="s">
        <v>8</v>
      </c>
      <c r="S38" s="1508">
        <f t="shared" si="10"/>
        <v>100</v>
      </c>
      <c r="T38" s="1507" t="s">
        <v>8</v>
      </c>
      <c r="U38" s="1508">
        <f t="shared" si="11"/>
        <v>100</v>
      </c>
      <c r="V38" s="1507" t="s">
        <v>8</v>
      </c>
      <c r="W38" s="1508">
        <f t="shared" si="12"/>
        <v>100</v>
      </c>
      <c r="X38" s="1501"/>
      <c r="Y38" s="3498" t="s">
        <v>544</v>
      </c>
      <c r="Z38" s="1509">
        <f t="shared" si="13"/>
        <v>111</v>
      </c>
      <c r="AA38" s="1510">
        <f t="shared" si="3"/>
        <v>1</v>
      </c>
      <c r="AB38" s="1510">
        <f t="shared" si="4"/>
        <v>1</v>
      </c>
      <c r="AC38" s="1510">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8"/>
      <c r="Q39" s="1506">
        <f t="shared" si="8"/>
        <v>111</v>
      </c>
      <c r="R39" s="1511" t="s">
        <v>8</v>
      </c>
      <c r="S39" s="1512">
        <f t="shared" si="10"/>
        <v>100</v>
      </c>
      <c r="T39" s="1511" t="s">
        <v>8</v>
      </c>
      <c r="U39" s="1512">
        <f t="shared" si="11"/>
        <v>100</v>
      </c>
      <c r="V39" s="1511" t="s">
        <v>8</v>
      </c>
      <c r="W39" s="1512">
        <f t="shared" si="12"/>
        <v>100</v>
      </c>
      <c r="X39" s="1513"/>
      <c r="Y39" s="3498"/>
      <c r="Z39" s="1514">
        <f t="shared" si="13"/>
        <v>111</v>
      </c>
      <c r="AA39" s="1510">
        <f t="shared" si="3"/>
        <v>1</v>
      </c>
      <c r="AB39" s="1510">
        <f t="shared" si="4"/>
        <v>1</v>
      </c>
      <c r="AC39" s="1510">
        <f t="shared" si="5"/>
        <v>1</v>
      </c>
    </row>
    <row r="40" spans="1:29" ht="20.25">
      <c r="A40" s="2624" t="s">
        <v>2735</v>
      </c>
      <c r="B40" s="589" t="s">
        <v>546</v>
      </c>
      <c r="C40" s="590">
        <f>'数据-基础表'!A3</f>
        <v>120388.78</v>
      </c>
      <c r="D40" s="591">
        <v>100</v>
      </c>
      <c r="E40" s="590">
        <f>土地案例!J7</f>
        <v>39479.050000000003</v>
      </c>
      <c r="F40" s="591">
        <f>LOOKUP(E40,119:119,120:120)-LOOKUP(C40,119:119,120:120)+100</f>
        <v>98</v>
      </c>
      <c r="G40" s="590">
        <f>土地案例!J14</f>
        <v>53525.81</v>
      </c>
      <c r="H40" s="591">
        <f>LOOKUP(G40,119:119,120:120)-LOOKUP(C40,119:119,120:120)+100</f>
        <v>99</v>
      </c>
      <c r="I40" s="592">
        <f>土地案例!J15</f>
        <v>90394.02</v>
      </c>
      <c r="J40" s="591">
        <f>LOOKUP(I40,119:119,120:120)-LOOKUP(C40,119:119,120:120)+100</f>
        <v>99</v>
      </c>
      <c r="K40" s="575"/>
      <c r="L40" s="2024"/>
      <c r="M40" s="2014"/>
      <c r="N40" s="2014"/>
      <c r="O40" s="2023"/>
      <c r="P40" s="3498"/>
      <c r="Q40" s="1506" t="str">
        <f>B40</f>
        <v>宗地面积</v>
      </c>
      <c r="R40" s="1507" t="s">
        <v>8</v>
      </c>
      <c r="S40" s="1508">
        <f t="shared" si="10"/>
        <v>98</v>
      </c>
      <c r="T40" s="1507" t="s">
        <v>8</v>
      </c>
      <c r="U40" s="1508">
        <f t="shared" si="11"/>
        <v>99</v>
      </c>
      <c r="V40" s="1507" t="s">
        <v>8</v>
      </c>
      <c r="W40" s="1508">
        <f t="shared" si="12"/>
        <v>99</v>
      </c>
      <c r="X40" s="1501"/>
      <c r="Y40" s="3498"/>
      <c r="Z40" s="1509" t="str">
        <f t="shared" si="13"/>
        <v>宗地面积</v>
      </c>
      <c r="AA40" s="1510">
        <f t="shared" si="3"/>
        <v>1.0204081632653061</v>
      </c>
      <c r="AB40" s="1510">
        <f t="shared" si="4"/>
        <v>1.0101010101010102</v>
      </c>
      <c r="AC40" s="1510">
        <f t="shared" si="5"/>
        <v>1.0101010101010102</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98"/>
      <c r="Q41" s="1506" t="str">
        <f t="shared" ref="Q41:Q47" si="14">B41</f>
        <v>宗地形状</v>
      </c>
      <c r="R41" s="1507" t="s">
        <v>8</v>
      </c>
      <c r="S41" s="1508">
        <f t="shared" si="10"/>
        <v>100</v>
      </c>
      <c r="T41" s="1507" t="s">
        <v>8</v>
      </c>
      <c r="U41" s="1508">
        <f t="shared" si="11"/>
        <v>100</v>
      </c>
      <c r="V41" s="1507" t="s">
        <v>8</v>
      </c>
      <c r="W41" s="1508">
        <f t="shared" si="12"/>
        <v>100</v>
      </c>
      <c r="X41" s="1501"/>
      <c r="Y41" s="3498"/>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8"/>
      <c r="Q42" s="1506" t="str">
        <f t="shared" si="14"/>
        <v>临街宽度及深度</v>
      </c>
      <c r="R42" s="1507" t="s">
        <v>8</v>
      </c>
      <c r="S42" s="1508">
        <f t="shared" si="10"/>
        <v>100</v>
      </c>
      <c r="T42" s="1507" t="s">
        <v>8</v>
      </c>
      <c r="U42" s="1508">
        <f t="shared" si="11"/>
        <v>100</v>
      </c>
      <c r="V42" s="1507" t="s">
        <v>8</v>
      </c>
      <c r="W42" s="1508">
        <f t="shared" si="12"/>
        <v>100</v>
      </c>
      <c r="X42" s="1501"/>
      <c r="Y42" s="3498"/>
      <c r="Z42" s="1509" t="str">
        <f t="shared" si="13"/>
        <v>临街宽度及深度</v>
      </c>
      <c r="AA42" s="1510">
        <f t="shared" si="3"/>
        <v>1</v>
      </c>
      <c r="AB42" s="1510">
        <f t="shared" si="4"/>
        <v>1</v>
      </c>
      <c r="AC42" s="1510">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98"/>
      <c r="Q43" s="1506" t="str">
        <f t="shared" si="14"/>
        <v>宗地开发程度</v>
      </c>
      <c r="R43" s="1502" t="s">
        <v>8</v>
      </c>
      <c r="S43" s="1503">
        <f t="shared" si="10"/>
        <v>100</v>
      </c>
      <c r="T43" s="1502" t="s">
        <v>8</v>
      </c>
      <c r="U43" s="1503">
        <f t="shared" si="11"/>
        <v>100</v>
      </c>
      <c r="V43" s="1502" t="s">
        <v>8</v>
      </c>
      <c r="W43" s="1503">
        <f t="shared" si="12"/>
        <v>100</v>
      </c>
      <c r="X43" s="1504"/>
      <c r="Y43" s="3498"/>
      <c r="Z43" s="1133"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98" t="s">
        <v>544</v>
      </c>
      <c r="Q44" s="1506" t="str">
        <f t="shared" si="14"/>
        <v>工程地质条件</v>
      </c>
      <c r="R44" s="1507" t="s">
        <v>8</v>
      </c>
      <c r="S44" s="1508">
        <f t="shared" si="10"/>
        <v>100</v>
      </c>
      <c r="T44" s="1507" t="s">
        <v>8</v>
      </c>
      <c r="U44" s="1508">
        <f t="shared" si="11"/>
        <v>100</v>
      </c>
      <c r="V44" s="1507" t="s">
        <v>8</v>
      </c>
      <c r="W44" s="1508">
        <f t="shared" si="12"/>
        <v>100</v>
      </c>
      <c r="X44" s="1501"/>
      <c r="Y44" s="3498"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8"/>
      <c r="Q45" s="1506">
        <f t="shared" si="14"/>
        <v>111</v>
      </c>
      <c r="R45" s="1507" t="s">
        <v>8</v>
      </c>
      <c r="S45" s="1508">
        <f t="shared" si="10"/>
        <v>100</v>
      </c>
      <c r="T45" s="1507" t="s">
        <v>8</v>
      </c>
      <c r="U45" s="1508">
        <f t="shared" si="11"/>
        <v>100</v>
      </c>
      <c r="V45" s="1507" t="s">
        <v>8</v>
      </c>
      <c r="W45" s="1508">
        <f t="shared" si="12"/>
        <v>100</v>
      </c>
      <c r="X45" s="1501"/>
      <c r="Y45" s="3498"/>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8"/>
      <c r="Q46" s="1506">
        <f t="shared" si="14"/>
        <v>111</v>
      </c>
      <c r="R46" s="1507" t="s">
        <v>8</v>
      </c>
      <c r="S46" s="1508">
        <f t="shared" si="10"/>
        <v>100</v>
      </c>
      <c r="T46" s="1507" t="s">
        <v>8</v>
      </c>
      <c r="U46" s="1508">
        <f t="shared" si="11"/>
        <v>100</v>
      </c>
      <c r="V46" s="1507" t="s">
        <v>8</v>
      </c>
      <c r="W46" s="1508">
        <f t="shared" si="12"/>
        <v>100</v>
      </c>
      <c r="X46" s="1501"/>
      <c r="Y46" s="3498"/>
      <c r="Z46" s="1509">
        <f t="shared" si="13"/>
        <v>111</v>
      </c>
      <c r="AA46" s="1510">
        <f t="shared" si="3"/>
        <v>1</v>
      </c>
      <c r="AB46" s="1510">
        <f t="shared" si="4"/>
        <v>1</v>
      </c>
      <c r="AC46" s="1510">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8"/>
      <c r="Q47" s="1506">
        <f t="shared" si="14"/>
        <v>111</v>
      </c>
      <c r="R47" s="1511" t="s">
        <v>8</v>
      </c>
      <c r="S47" s="1512">
        <f t="shared" si="10"/>
        <v>100</v>
      </c>
      <c r="T47" s="1511" t="s">
        <v>8</v>
      </c>
      <c r="U47" s="1512">
        <f t="shared" si="11"/>
        <v>100</v>
      </c>
      <c r="V47" s="1511" t="s">
        <v>8</v>
      </c>
      <c r="W47" s="1512">
        <f t="shared" si="12"/>
        <v>100</v>
      </c>
      <c r="X47" s="1513"/>
      <c r="Y47" s="3498"/>
      <c r="Z47" s="1514">
        <f t="shared" si="13"/>
        <v>111</v>
      </c>
      <c r="AA47" s="1510">
        <f t="shared" si="3"/>
        <v>1</v>
      </c>
      <c r="AB47" s="1510">
        <f t="shared" si="4"/>
        <v>1</v>
      </c>
      <c r="AC47" s="1510">
        <f t="shared" si="5"/>
        <v>1</v>
      </c>
    </row>
    <row r="48" spans="1:29" ht="20.25">
      <c r="A48" s="601" t="s">
        <v>550</v>
      </c>
      <c r="B48" s="602" t="s">
        <v>3233</v>
      </c>
      <c r="C48" s="603" t="s">
        <v>1</v>
      </c>
      <c r="D48" s="604"/>
      <c r="E48" s="605">
        <f>土地案例!AL7</f>
        <v>69541.990000000005</v>
      </c>
      <c r="F48" s="606"/>
      <c r="G48" s="607">
        <f>土地案例!AL14</f>
        <v>57152.08</v>
      </c>
      <c r="H48" s="608"/>
      <c r="I48" s="605">
        <f>土地案例!AL15</f>
        <v>61347.83</v>
      </c>
      <c r="J48" s="608"/>
      <c r="K48" s="1294"/>
      <c r="L48" s="2026"/>
      <c r="M48" s="2014"/>
      <c r="N48" s="2014"/>
      <c r="O48" s="2027"/>
      <c r="P48" s="3461" t="str">
        <f>A48</f>
        <v>成交单价</v>
      </c>
      <c r="Q48" s="3461"/>
      <c r="R48" s="3462">
        <f>E48</f>
        <v>69541.990000000005</v>
      </c>
      <c r="S48" s="3462"/>
      <c r="T48" s="3462">
        <f>G48</f>
        <v>57152.08</v>
      </c>
      <c r="U48" s="3462"/>
      <c r="V48" s="3462">
        <f>I48</f>
        <v>61347.83</v>
      </c>
      <c r="W48" s="3462"/>
      <c r="X48" s="1496"/>
      <c r="Y48" s="1515"/>
      <c r="Z48" s="1496"/>
      <c r="AA48" s="1496"/>
      <c r="AB48" s="1496"/>
      <c r="AC48" s="1496"/>
    </row>
    <row r="49" spans="1:29" ht="21" thickBot="1">
      <c r="A49" s="609" t="s">
        <v>2673</v>
      </c>
      <c r="B49" s="610"/>
      <c r="C49" s="611">
        <f>R50</f>
        <v>63135</v>
      </c>
      <c r="D49" s="3014" t="s">
        <v>2971</v>
      </c>
      <c r="E49" s="611">
        <f>R49</f>
        <v>68066</v>
      </c>
      <c r="F49" s="3015"/>
      <c r="G49" s="612">
        <f>T49</f>
        <v>58521</v>
      </c>
      <c r="H49" s="3015"/>
      <c r="I49" s="611">
        <f>V49</f>
        <v>62817</v>
      </c>
      <c r="J49" s="3015"/>
      <c r="K49" s="3016">
        <f>F49+H49+J49</f>
        <v>0</v>
      </c>
      <c r="L49" s="2026"/>
      <c r="M49" s="2014"/>
      <c r="N49" s="2014"/>
      <c r="O49" s="2027"/>
      <c r="P49" s="3461" t="str">
        <f>A49</f>
        <v>比较价格（元/平方米）</v>
      </c>
      <c r="Q49" s="3461"/>
      <c r="R49" s="3463">
        <f>ROUND(PRODUCT(R48,AA9:AA47),0)</f>
        <v>68066</v>
      </c>
      <c r="S49" s="3463"/>
      <c r="T49" s="3463">
        <f>ROUND(PRODUCT(T48,AB9:AB47),0)</f>
        <v>58521</v>
      </c>
      <c r="U49" s="3463"/>
      <c r="V49" s="3463">
        <f>ROUND(PRODUCT(V48,AC9:AC47),0)</f>
        <v>62817</v>
      </c>
      <c r="W49" s="3463"/>
      <c r="X49" s="1496"/>
      <c r="Y49" s="1496"/>
      <c r="Z49" s="1496"/>
      <c r="AA49" s="1496"/>
      <c r="AB49" s="1496"/>
      <c r="AC49" s="1496"/>
    </row>
    <row r="50" spans="1:29" ht="21" thickBot="1">
      <c r="A50" s="613" t="s">
        <v>2903</v>
      </c>
      <c r="B50" s="614"/>
      <c r="C50" s="615">
        <f>R50</f>
        <v>63135</v>
      </c>
      <c r="D50" s="615"/>
      <c r="E50" s="615"/>
      <c r="F50" s="615"/>
      <c r="G50" s="615"/>
      <c r="H50" s="615"/>
      <c r="I50" s="615"/>
      <c r="J50" s="615"/>
      <c r="K50" s="1295"/>
      <c r="L50" s="2026"/>
      <c r="M50" s="2014"/>
      <c r="N50" s="2014"/>
      <c r="O50" s="2027"/>
      <c r="P50" s="3458" t="str">
        <f>A50</f>
        <v>估价对象XX用房的比较价格（楼面单价，元/平方米）</v>
      </c>
      <c r="Q50" s="3459"/>
      <c r="R50" s="3460">
        <f>ROUND(IF(D49="简单平均",AVERAGE(R49:W49),R49*F49+T49*H49+V49*J49),0)</f>
        <v>63135</v>
      </c>
      <c r="S50" s="3460"/>
      <c r="T50" s="3460"/>
      <c r="U50" s="3460"/>
      <c r="V50" s="3460"/>
      <c r="W50" s="3460"/>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2.1684688390679607E-2</v>
      </c>
      <c r="F53" s="619" t="str">
        <f>IF(OR(E53&gt;=0.3,E53&lt;=-0.3),"超过30%","")</f>
        <v/>
      </c>
      <c r="G53" s="618">
        <f>IF(G48&lt;G49,G49/G48-1,G48/G49-1)</f>
        <v>2.3952234109414716E-2</v>
      </c>
      <c r="H53" s="619" t="str">
        <f>IF(OR(G53&gt;=0.3,G53&lt;=-0.3),"超过30%","")</f>
        <v/>
      </c>
      <c r="I53" s="618">
        <f>IF(I48&lt;I49,I49/I48-1,I48/I49-1)</f>
        <v>2.3948198330731474E-2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0.16310384306488279</v>
      </c>
      <c r="F54" s="619" t="str">
        <f>IF(OR(E54&gt;=0.2,E54&lt;=-0.2),"超过20%","")</f>
        <v/>
      </c>
      <c r="G54" s="618">
        <f>IF(G49&lt;I49,I49/G49-1,G49/I49-1)</f>
        <v>7.3409545291433842E-2</v>
      </c>
      <c r="H54" s="619" t="str">
        <f>IF(OR(G54&gt;=0.2,G54&lt;=-0.2),"超过20%","")</f>
        <v/>
      </c>
      <c r="I54" s="618">
        <f>IF(I49&lt;E49,E49/I49-1,I49/E49-1)</f>
        <v>8.3560182753076306E-2</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f>IF(E48&lt;G48,G48/E48-1,E48/G48-1)</f>
        <v>0.21678843534653502</v>
      </c>
      <c r="F55" s="619" t="str">
        <f>IF(OR(E55&gt;=0.3,E55&lt;=-0.3),"超过30%","")</f>
        <v/>
      </c>
      <c r="G55" s="618">
        <f>IF(G48&lt;I48,I48/G48-1,G48/I48-1)</f>
        <v>7.3413776016550969E-2</v>
      </c>
      <c r="H55" s="619" t="str">
        <f>IF(OR(G55&gt;=0.3,G55&lt;=-0.3),"超过30%","")</f>
        <v/>
      </c>
      <c r="I55" s="618">
        <f>IF(I48&lt;E48,E48/I48-1,I48/E48-1)</f>
        <v>0.13356886461998752</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87" t="s">
        <v>2269</v>
      </c>
      <c r="H57" s="3488"/>
      <c r="I57" s="1493" t="s">
        <v>1713</v>
      </c>
      <c r="J57" s="1493">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63135</v>
      </c>
      <c r="C58" s="627">
        <v>1</v>
      </c>
      <c r="D58" s="2108">
        <v>1</v>
      </c>
      <c r="E58" s="627">
        <f>'数据-汇总表'!E8+'数据-汇总表'!E9</f>
        <v>69160</v>
      </c>
      <c r="F58" s="628">
        <f t="shared" ref="F58:F67" si="15">ROUND(B58*E58/10000,0)</f>
        <v>436642</v>
      </c>
      <c r="G58" s="3489"/>
      <c r="H58" s="3490"/>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491" t="s">
        <v>2270</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491"/>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491"/>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491"/>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f t="shared" si="17"/>
        <v>3946</v>
      </c>
      <c r="C63" s="372">
        <f t="shared" si="16"/>
        <v>0.25</v>
      </c>
      <c r="D63" s="2109">
        <v>0.25</v>
      </c>
      <c r="E63" s="633">
        <f>'数据-汇总表'!E11</f>
        <v>0</v>
      </c>
      <c r="F63" s="628">
        <f t="shared" si="15"/>
        <v>0</v>
      </c>
      <c r="G63" s="1859" t="s">
        <v>2271</v>
      </c>
      <c r="H63" s="1862" t="str">
        <f>项目基本情况!C43</f>
        <v>五级</v>
      </c>
      <c r="I63" s="1494">
        <f>SUMIF(修正!$A$45:$A$56,H63,修正!F45:F56)</f>
        <v>0.25</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3946</v>
      </c>
      <c r="C64" s="372">
        <f t="shared" si="16"/>
        <v>0.25</v>
      </c>
      <c r="D64" s="2109">
        <v>0.25</v>
      </c>
      <c r="E64" s="633">
        <f>'数据-汇总表'!E12</f>
        <v>34717</v>
      </c>
      <c r="F64" s="628">
        <f t="shared" si="15"/>
        <v>13699</v>
      </c>
      <c r="G64" s="1860" t="s">
        <v>1668</v>
      </c>
      <c r="H64" s="1858" t="str">
        <f>IF(G64="商业",项目基本情况!B43,IF(G64="办公",项目基本情况!C43,IF(G64="住宅",项目基本情况!D43,项目基本情况!E43)))</f>
        <v>五级</v>
      </c>
      <c r="I64" s="1494">
        <f>SUMIF(修正!$A$45:$A$56,H64,修正!G45:G56)</f>
        <v>0.25</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3157</v>
      </c>
      <c r="C65" s="372">
        <f t="shared" si="16"/>
        <v>0.2</v>
      </c>
      <c r="D65" s="2109">
        <v>0.25</v>
      </c>
      <c r="E65" s="633">
        <f>'数据-汇总表'!E13</f>
        <v>18688</v>
      </c>
      <c r="F65" s="628">
        <f t="shared" si="15"/>
        <v>5900</v>
      </c>
      <c r="G65" s="1860" t="s">
        <v>914</v>
      </c>
      <c r="H65" s="1858" t="str">
        <f>IF(G65="商业",项目基本情况!B43,IF(G65="办公",项目基本情况!C43,IF(G65="住宅",项目基本情况!D43,项目基本情况!E43)))</f>
        <v>五级</v>
      </c>
      <c r="I65" s="1494">
        <f>SUMIF(修正!$A$45:$A$56,H65,修正!H45:H56)</f>
        <v>0.2</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3157</v>
      </c>
      <c r="C67" s="372">
        <f t="shared" si="16"/>
        <v>0.2</v>
      </c>
      <c r="D67" s="2109">
        <v>0.25</v>
      </c>
      <c r="E67" s="633">
        <f>'数据-汇总表'!E15</f>
        <v>0</v>
      </c>
      <c r="F67" s="628">
        <f t="shared" si="15"/>
        <v>0</v>
      </c>
      <c r="G67" s="1861" t="s">
        <v>2271</v>
      </c>
      <c r="H67" s="1863" t="str">
        <f>项目基本情况!C43</f>
        <v>五级</v>
      </c>
      <c r="I67" s="1494">
        <f>SUMIF(修正!$A$45:$A$56,H67,修正!H45:H56)</f>
        <v>0.2</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122565</v>
      </c>
      <c r="F68" s="636">
        <f>IF(B48="楼面地价",SUM(F58:F67),ROUND(C50*E68/10000,0))</f>
        <v>456241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2513</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t="s">
        <v>3232</v>
      </c>
      <c r="P72" s="2041"/>
      <c r="Q72" s="2042"/>
      <c r="R72" s="2042"/>
      <c r="S72" s="2042"/>
      <c r="T72" s="2042"/>
      <c r="U72" s="2042"/>
      <c r="V72" s="2042"/>
      <c r="W72" s="2042"/>
      <c r="X72" s="2042"/>
      <c r="Y72" s="2042"/>
      <c r="Z72" s="2042"/>
      <c r="AA72" s="2042"/>
      <c r="AB72" s="2042"/>
      <c r="AC72" s="2042"/>
    </row>
    <row r="73" spans="1:29" s="1203" customFormat="1" ht="27" customHeight="1">
      <c r="A73" s="2523" t="s">
        <v>2627</v>
      </c>
      <c r="B73" s="473" t="str">
        <f>"北京市平均增长率"&amp;TEXT(SUMIF(基准地价!N21:N25,A73,基准地价!P21:P25),"0.00%")</f>
        <v>北京市平均增长率1.68%</v>
      </c>
      <c r="C73" s="883">
        <v>100</v>
      </c>
      <c r="D73" s="722">
        <f>C73-1</f>
        <v>99</v>
      </c>
      <c r="E73" s="722">
        <f t="shared" ref="E73:O73" si="20">D73-1</f>
        <v>98</v>
      </c>
      <c r="F73" s="722">
        <f t="shared" si="20"/>
        <v>97</v>
      </c>
      <c r="G73" s="722">
        <f t="shared" si="20"/>
        <v>96</v>
      </c>
      <c r="H73" s="722">
        <f t="shared" si="20"/>
        <v>95</v>
      </c>
      <c r="I73" s="722">
        <f t="shared" si="20"/>
        <v>94</v>
      </c>
      <c r="J73" s="722">
        <f t="shared" si="20"/>
        <v>93</v>
      </c>
      <c r="K73" s="722">
        <f t="shared" si="20"/>
        <v>92</v>
      </c>
      <c r="L73" s="722">
        <f t="shared" si="20"/>
        <v>91</v>
      </c>
      <c r="M73" s="722">
        <f t="shared" si="20"/>
        <v>90</v>
      </c>
      <c r="N73" s="722">
        <f t="shared" si="20"/>
        <v>89</v>
      </c>
      <c r="O73" s="722">
        <f t="shared" si="20"/>
        <v>88</v>
      </c>
      <c r="P73" s="2039"/>
      <c r="Q73" s="1905"/>
      <c r="R73" s="1905"/>
      <c r="S73" s="1905"/>
      <c r="T73" s="1905"/>
      <c r="U73" s="1905"/>
      <c r="V73" s="1905"/>
      <c r="W73" s="1905"/>
      <c r="X73" s="1905"/>
      <c r="Y73" s="1905"/>
      <c r="Z73" s="1905"/>
      <c r="AA73" s="1905"/>
      <c r="AB73" s="1905"/>
      <c r="AC73" s="1905"/>
    </row>
    <row r="74" spans="1:29" s="1203"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v>
      </c>
      <c r="G81" s="674" t="str">
        <f t="shared" si="21"/>
        <v>（含）-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95</v>
      </c>
      <c r="E83" s="671">
        <f t="shared" ref="E83:M83" si="22">IF($B$48="单位面积地价",D83+$K13,D83-$K13)</f>
        <v>90</v>
      </c>
      <c r="F83" s="671">
        <f t="shared" si="22"/>
        <v>85</v>
      </c>
      <c r="G83" s="671">
        <f t="shared" si="22"/>
        <v>80</v>
      </c>
      <c r="H83" s="671">
        <f t="shared" si="22"/>
        <v>75</v>
      </c>
      <c r="I83" s="671">
        <f t="shared" si="22"/>
        <v>70</v>
      </c>
      <c r="J83" s="671">
        <f t="shared" si="22"/>
        <v>65</v>
      </c>
      <c r="K83" s="671">
        <f t="shared" si="22"/>
        <v>60</v>
      </c>
      <c r="L83" s="671">
        <f t="shared" si="22"/>
        <v>55</v>
      </c>
      <c r="M83" s="671">
        <f t="shared" si="22"/>
        <v>50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200000(含)-250000</v>
      </c>
      <c r="H118" s="696" t="str">
        <f t="shared" si="26"/>
        <v>250000(含)-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f>C119+50000</f>
        <v>50000</v>
      </c>
      <c r="E119" s="722">
        <f t="shared" ref="E119:H119" si="27">D119+50000</f>
        <v>100000</v>
      </c>
      <c r="F119" s="722">
        <f t="shared" si="27"/>
        <v>150000</v>
      </c>
      <c r="G119" s="722">
        <f t="shared" si="27"/>
        <v>200000</v>
      </c>
      <c r="H119" s="722">
        <f t="shared" si="27"/>
        <v>250000</v>
      </c>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C120+1</f>
        <v>101</v>
      </c>
      <c r="E120" s="718">
        <f t="shared" ref="E120:H120" si="28">D120+1</f>
        <v>102</v>
      </c>
      <c r="F120" s="718">
        <f t="shared" si="28"/>
        <v>103</v>
      </c>
      <c r="G120" s="718">
        <f t="shared" si="28"/>
        <v>104</v>
      </c>
      <c r="H120" s="718">
        <f t="shared" si="28"/>
        <v>105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9">C122-$K41</f>
        <v>100</v>
      </c>
      <c r="E122" s="671">
        <f t="shared" si="29"/>
        <v>100</v>
      </c>
      <c r="F122" s="671">
        <f t="shared" si="29"/>
        <v>100</v>
      </c>
      <c r="G122" s="671">
        <f t="shared" si="29"/>
        <v>100</v>
      </c>
      <c r="H122" s="671">
        <f t="shared" si="29"/>
        <v>100</v>
      </c>
      <c r="I122" s="671">
        <f t="shared" si="29"/>
        <v>100</v>
      </c>
      <c r="J122" s="671">
        <f t="shared" si="29"/>
        <v>100</v>
      </c>
      <c r="K122" s="671">
        <f t="shared" si="29"/>
        <v>100</v>
      </c>
      <c r="L122" s="671">
        <f t="shared" si="29"/>
        <v>100</v>
      </c>
      <c r="M122" s="672">
        <f t="shared" si="29"/>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C124-$K42</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31">D126-$K43</f>
        <v>100</v>
      </c>
      <c r="F126" s="671">
        <f t="shared" si="31"/>
        <v>100</v>
      </c>
      <c r="G126" s="671">
        <f t="shared" si="31"/>
        <v>100</v>
      </c>
      <c r="H126" s="671">
        <f t="shared" si="31"/>
        <v>100</v>
      </c>
      <c r="I126" s="671">
        <f t="shared" si="31"/>
        <v>100</v>
      </c>
      <c r="J126" s="671">
        <f t="shared" si="31"/>
        <v>100</v>
      </c>
      <c r="K126" s="671">
        <f t="shared" si="31"/>
        <v>100</v>
      </c>
      <c r="L126" s="671">
        <f t="shared" si="31"/>
        <v>100</v>
      </c>
      <c r="M126" s="672">
        <f t="shared" si="31"/>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2">C128-$K44</f>
        <v>100</v>
      </c>
      <c r="E128" s="671">
        <f t="shared" si="32"/>
        <v>100</v>
      </c>
      <c r="F128" s="671">
        <f t="shared" si="32"/>
        <v>100</v>
      </c>
      <c r="G128" s="671">
        <f t="shared" si="32"/>
        <v>100</v>
      </c>
      <c r="H128" s="671">
        <f t="shared" si="32"/>
        <v>100</v>
      </c>
      <c r="I128" s="671">
        <f t="shared" si="32"/>
        <v>100</v>
      </c>
      <c r="J128" s="671">
        <f t="shared" si="32"/>
        <v>100</v>
      </c>
      <c r="K128" s="671">
        <f t="shared" si="32"/>
        <v>100</v>
      </c>
      <c r="L128" s="671">
        <f t="shared" si="32"/>
        <v>100</v>
      </c>
      <c r="M128" s="672">
        <f t="shared" si="32"/>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7" sqref="A7"/>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1"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67" t="s">
        <v>516</v>
      </c>
      <c r="D6" s="3468"/>
      <c r="E6" s="3501" t="s">
        <v>517</v>
      </c>
      <c r="F6" s="3502"/>
      <c r="G6" s="3467" t="s">
        <v>518</v>
      </c>
      <c r="H6" s="3468"/>
      <c r="I6" s="3467" t="s">
        <v>519</v>
      </c>
      <c r="J6" s="3468"/>
      <c r="K6" s="508" t="s">
        <v>520</v>
      </c>
      <c r="L6" s="2015"/>
      <c r="M6" s="2016"/>
      <c r="N6" s="2016"/>
      <c r="O6" s="2016"/>
      <c r="P6" s="3469" t="s">
        <v>521</v>
      </c>
      <c r="Q6" s="3470"/>
      <c r="R6" s="3475" t="s">
        <v>517</v>
      </c>
      <c r="S6" s="3476"/>
      <c r="T6" s="3475" t="s">
        <v>518</v>
      </c>
      <c r="U6" s="3476"/>
      <c r="V6" s="3462" t="s">
        <v>519</v>
      </c>
      <c r="W6" s="3462"/>
      <c r="X6" s="1501"/>
      <c r="Y6" s="3475" t="s">
        <v>521</v>
      </c>
      <c r="Z6" s="3476"/>
      <c r="AA6" s="3464" t="s">
        <v>517</v>
      </c>
      <c r="AB6" s="3465" t="s">
        <v>518</v>
      </c>
      <c r="AC6" s="3464" t="s">
        <v>519</v>
      </c>
    </row>
    <row r="7" spans="1:29" ht="15">
      <c r="A7" s="509"/>
      <c r="B7" s="510"/>
      <c r="C7" s="3483" t="s">
        <v>2897</v>
      </c>
      <c r="D7" s="3484"/>
      <c r="E7" s="3503" t="s">
        <v>2898</v>
      </c>
      <c r="F7" s="3504"/>
      <c r="G7" s="3483" t="s">
        <v>2899</v>
      </c>
      <c r="H7" s="3484"/>
      <c r="I7" s="3483" t="s">
        <v>2900</v>
      </c>
      <c r="J7" s="3484"/>
      <c r="K7" s="508"/>
      <c r="L7" s="2015"/>
      <c r="M7" s="2016"/>
      <c r="N7" s="2016"/>
      <c r="O7" s="2016"/>
      <c r="P7" s="3471"/>
      <c r="Q7" s="3472"/>
      <c r="R7" s="3477"/>
      <c r="S7" s="3478"/>
      <c r="T7" s="3477"/>
      <c r="U7" s="3478"/>
      <c r="V7" s="3462"/>
      <c r="W7" s="3462"/>
      <c r="X7" s="1501"/>
      <c r="Y7" s="3477"/>
      <c r="Z7" s="3478"/>
      <c r="AA7" s="3465"/>
      <c r="AB7" s="3465"/>
      <c r="AC7" s="3465"/>
    </row>
    <row r="8" spans="1:29" ht="15.75" thickBot="1">
      <c r="A8" s="511"/>
      <c r="B8" s="512"/>
      <c r="C8" s="3481" t="s">
        <v>2901</v>
      </c>
      <c r="D8" s="3482"/>
      <c r="E8" s="3499" t="s">
        <v>2901</v>
      </c>
      <c r="F8" s="3500"/>
      <c r="G8" s="3481" t="s">
        <v>2901</v>
      </c>
      <c r="H8" s="3482"/>
      <c r="I8" s="3481" t="s">
        <v>2901</v>
      </c>
      <c r="J8" s="3482"/>
      <c r="K8" s="508" t="s">
        <v>522</v>
      </c>
      <c r="L8" s="2015"/>
      <c r="M8" s="2016"/>
      <c r="N8" s="2016"/>
      <c r="O8" s="2016"/>
      <c r="P8" s="3473"/>
      <c r="Q8" s="3474"/>
      <c r="R8" s="3477"/>
      <c r="S8" s="3478"/>
      <c r="T8" s="3479"/>
      <c r="U8" s="3480"/>
      <c r="V8" s="3462"/>
      <c r="W8" s="3462"/>
      <c r="X8" s="1501"/>
      <c r="Y8" s="3479"/>
      <c r="Z8" s="3480"/>
      <c r="AA8" s="3466"/>
      <c r="AB8" s="3466"/>
      <c r="AC8" s="3466"/>
    </row>
    <row r="9" spans="1:29" s="1203" customFormat="1" ht="15.75" thickBot="1">
      <c r="A9" s="2629"/>
      <c r="B9" s="2636" t="s">
        <v>523</v>
      </c>
      <c r="C9" s="513">
        <f>'数据-取费表'!B2</f>
        <v>44265</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92" t="s">
        <v>524</v>
      </c>
      <c r="Q9" s="3494"/>
      <c r="R9" s="1502" t="s">
        <v>8</v>
      </c>
      <c r="S9" s="1503">
        <f t="shared" ref="S9:S17" si="0">F9</f>
        <v>0</v>
      </c>
      <c r="T9" s="1502" t="s">
        <v>8</v>
      </c>
      <c r="U9" s="1503">
        <f t="shared" ref="U9:U17" si="1">H9</f>
        <v>0</v>
      </c>
      <c r="V9" s="1502" t="s">
        <v>8</v>
      </c>
      <c r="W9" s="1503">
        <f t="shared" ref="W9:W17" si="2">J9</f>
        <v>0</v>
      </c>
      <c r="X9" s="1504"/>
      <c r="Y9" s="3492" t="s">
        <v>524</v>
      </c>
      <c r="Z9" s="3493"/>
      <c r="AA9" s="1505" t="e">
        <f>D9/F9</f>
        <v>#DIV/0!</v>
      </c>
      <c r="AB9" s="1505" t="e">
        <f>D9/H9</f>
        <v>#DIV/0!</v>
      </c>
      <c r="AC9" s="1505"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92" t="s">
        <v>527</v>
      </c>
      <c r="Q10" s="3493"/>
      <c r="R10" s="1502" t="s">
        <v>8</v>
      </c>
      <c r="S10" s="1503">
        <f t="shared" si="0"/>
        <v>0</v>
      </c>
      <c r="T10" s="1502" t="s">
        <v>8</v>
      </c>
      <c r="U10" s="1503">
        <f t="shared" si="1"/>
        <v>0</v>
      </c>
      <c r="V10" s="1502" t="s">
        <v>8</v>
      </c>
      <c r="W10" s="1503">
        <f t="shared" si="2"/>
        <v>0</v>
      </c>
      <c r="X10" s="1504"/>
      <c r="Y10" s="3492" t="s">
        <v>527</v>
      </c>
      <c r="Z10" s="3493"/>
      <c r="AA10" s="1505" t="e">
        <f t="shared" ref="AA10:AA42" si="3">D10/F10</f>
        <v>#DIV/0!</v>
      </c>
      <c r="AB10" s="1505" t="e">
        <f t="shared" ref="AB10:AB42" si="4">D10/H10</f>
        <v>#DIV/0!</v>
      </c>
      <c r="AC10" s="1505" t="e">
        <f t="shared" ref="AC10:AC42" si="5">D10/J10</f>
        <v>#DIV/0!</v>
      </c>
    </row>
    <row r="11" spans="1:29" s="1203"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61" t="s">
        <v>529</v>
      </c>
      <c r="Q11" s="1134" t="str">
        <f t="shared" ref="Q11:Q17" si="6">B11</f>
        <v>用途</v>
      </c>
      <c r="R11" s="1502" t="s">
        <v>8</v>
      </c>
      <c r="S11" s="1503">
        <f t="shared" si="0"/>
        <v>100</v>
      </c>
      <c r="T11" s="1502" t="s">
        <v>8</v>
      </c>
      <c r="U11" s="1503">
        <f t="shared" si="1"/>
        <v>100</v>
      </c>
      <c r="V11" s="1502" t="s">
        <v>8</v>
      </c>
      <c r="W11" s="1503">
        <f t="shared" si="2"/>
        <v>100</v>
      </c>
      <c r="X11" s="1504"/>
      <c r="Y11" s="3407" t="s">
        <v>530</v>
      </c>
      <c r="Z11" s="1133" t="str">
        <f t="shared" ref="Z11:Z17" si="7">Q11</f>
        <v>用途</v>
      </c>
      <c r="AA11" s="1505">
        <f t="shared" si="3"/>
        <v>1</v>
      </c>
      <c r="AB11" s="1505">
        <f t="shared" si="4"/>
        <v>1</v>
      </c>
      <c r="AC11" s="1505">
        <f t="shared" si="5"/>
        <v>1</v>
      </c>
    </row>
    <row r="12" spans="1:29" s="1292" customFormat="1" ht="27">
      <c r="A12" s="2632"/>
      <c r="B12" s="2637" t="s">
        <v>2737</v>
      </c>
      <c r="C12" s="522"/>
      <c r="D12" s="253">
        <v>100</v>
      </c>
      <c r="E12" s="522"/>
      <c r="F12" s="253">
        <f>ROUND(100/'数据-取费表'!G16,0)</f>
        <v>118</v>
      </c>
      <c r="G12" s="522"/>
      <c r="H12" s="253">
        <f>ROUND(100/'数据-取费表'!G16,0)</f>
        <v>118</v>
      </c>
      <c r="I12" s="522"/>
      <c r="J12" s="253">
        <f>ROUND(100/'数据-取费表'!G16,0)</f>
        <v>118</v>
      </c>
      <c r="K12" s="525"/>
      <c r="L12" s="2020"/>
      <c r="M12" s="2059"/>
      <c r="N12" s="2059"/>
      <c r="O12" s="2021"/>
      <c r="P12" s="3461"/>
      <c r="Q12" s="1134" t="str">
        <f t="shared" si="6"/>
        <v>土地使用年限（年）</v>
      </c>
      <c r="R12" s="1502" t="s">
        <v>8</v>
      </c>
      <c r="S12" s="1503">
        <f t="shared" si="0"/>
        <v>118</v>
      </c>
      <c r="T12" s="1502" t="s">
        <v>8</v>
      </c>
      <c r="U12" s="1503">
        <f t="shared" si="1"/>
        <v>118</v>
      </c>
      <c r="V12" s="1502" t="s">
        <v>8</v>
      </c>
      <c r="W12" s="1503">
        <f t="shared" si="2"/>
        <v>118</v>
      </c>
      <c r="X12" s="1504"/>
      <c r="Y12" s="3407"/>
      <c r="Z12" s="1133" t="str">
        <f t="shared" si="7"/>
        <v>土地使用年限（年）</v>
      </c>
      <c r="AA12" s="1505">
        <f t="shared" si="3"/>
        <v>0.84745762711864403</v>
      </c>
      <c r="AB12" s="1505">
        <f t="shared" si="4"/>
        <v>0.84745762711864403</v>
      </c>
      <c r="AC12" s="1505">
        <f t="shared" si="5"/>
        <v>0.84745762711864403</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61"/>
      <c r="Q13" s="1134" t="str">
        <f t="shared" si="6"/>
        <v>容积率</v>
      </c>
      <c r="R13" s="1502" t="s">
        <v>8</v>
      </c>
      <c r="S13" s="1503" t="e">
        <f t="shared" si="0"/>
        <v>#N/A</v>
      </c>
      <c r="T13" s="1502" t="s">
        <v>8</v>
      </c>
      <c r="U13" s="1503" t="e">
        <f t="shared" si="1"/>
        <v>#N/A</v>
      </c>
      <c r="V13" s="1502" t="s">
        <v>8</v>
      </c>
      <c r="W13" s="1503" t="e">
        <f t="shared" si="2"/>
        <v>#N/A</v>
      </c>
      <c r="X13" s="1504"/>
      <c r="Y13" s="3407"/>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61"/>
      <c r="Q14" s="1134">
        <f t="shared" si="6"/>
        <v>111</v>
      </c>
      <c r="R14" s="1502" t="s">
        <v>8</v>
      </c>
      <c r="S14" s="1503">
        <f t="shared" si="0"/>
        <v>100</v>
      </c>
      <c r="T14" s="1502" t="s">
        <v>8</v>
      </c>
      <c r="U14" s="1503">
        <f t="shared" si="1"/>
        <v>100</v>
      </c>
      <c r="V14" s="1502" t="s">
        <v>8</v>
      </c>
      <c r="W14" s="1503">
        <f t="shared" si="2"/>
        <v>100</v>
      </c>
      <c r="X14" s="1504"/>
      <c r="Y14" s="3407"/>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61"/>
      <c r="Q15" s="1134">
        <f t="shared" si="6"/>
        <v>111</v>
      </c>
      <c r="R15" s="1502" t="s">
        <v>8</v>
      </c>
      <c r="S15" s="1503">
        <f t="shared" si="0"/>
        <v>100</v>
      </c>
      <c r="T15" s="1502" t="s">
        <v>8</v>
      </c>
      <c r="U15" s="1503">
        <f t="shared" si="1"/>
        <v>100</v>
      </c>
      <c r="V15" s="1502" t="s">
        <v>8</v>
      </c>
      <c r="W15" s="1503">
        <f t="shared" si="2"/>
        <v>100</v>
      </c>
      <c r="X15" s="1504"/>
      <c r="Y15" s="3407"/>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61"/>
      <c r="Q16" s="1134">
        <f t="shared" si="6"/>
        <v>111</v>
      </c>
      <c r="R16" s="1502" t="s">
        <v>8</v>
      </c>
      <c r="S16" s="1503">
        <f t="shared" si="0"/>
        <v>100</v>
      </c>
      <c r="T16" s="1502" t="s">
        <v>8</v>
      </c>
      <c r="U16" s="1503">
        <f t="shared" si="1"/>
        <v>100</v>
      </c>
      <c r="V16" s="1502" t="s">
        <v>8</v>
      </c>
      <c r="W16" s="1503">
        <f t="shared" si="2"/>
        <v>100</v>
      </c>
      <c r="X16" s="1504"/>
      <c r="Y16" s="3407"/>
      <c r="Z16" s="1133">
        <f t="shared" si="7"/>
        <v>111</v>
      </c>
      <c r="AA16" s="1505">
        <f t="shared" si="3"/>
        <v>1</v>
      </c>
      <c r="AB16" s="1505">
        <f t="shared" si="4"/>
        <v>1</v>
      </c>
      <c r="AC16" s="1505">
        <f t="shared" si="5"/>
        <v>1</v>
      </c>
    </row>
    <row r="17" spans="1:29" ht="57">
      <c r="A17" s="2627"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5" t="s">
        <v>534</v>
      </c>
      <c r="Q17" s="1506" t="str">
        <f t="shared" si="6"/>
        <v>产业集聚程度</v>
      </c>
      <c r="R17" s="1507" t="s">
        <v>8</v>
      </c>
      <c r="S17" s="1508">
        <f t="shared" si="0"/>
        <v>100</v>
      </c>
      <c r="T17" s="1507" t="s">
        <v>8</v>
      </c>
      <c r="U17" s="1508">
        <f t="shared" si="1"/>
        <v>100</v>
      </c>
      <c r="V17" s="1507" t="s">
        <v>8</v>
      </c>
      <c r="W17" s="1508">
        <f t="shared" si="2"/>
        <v>100</v>
      </c>
      <c r="X17" s="1501"/>
      <c r="Y17" s="349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96"/>
      <c r="Q18" s="1506"/>
      <c r="R18" s="1507"/>
      <c r="S18" s="1508"/>
      <c r="T18" s="1507"/>
      <c r="U18" s="1508"/>
      <c r="V18" s="1507"/>
      <c r="W18" s="1508"/>
      <c r="X18" s="1501"/>
      <c r="Y18" s="3496"/>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6"/>
      <c r="Q19" s="1506" t="str">
        <f>B19</f>
        <v>交通便捷度</v>
      </c>
      <c r="R19" s="1507" t="s">
        <v>8</v>
      </c>
      <c r="S19" s="1508">
        <f>F19</f>
        <v>100</v>
      </c>
      <c r="T19" s="1507" t="s">
        <v>8</v>
      </c>
      <c r="U19" s="1508">
        <f>H19</f>
        <v>100</v>
      </c>
      <c r="V19" s="1507" t="s">
        <v>8</v>
      </c>
      <c r="W19" s="1508">
        <f>J19</f>
        <v>100</v>
      </c>
      <c r="X19" s="1501"/>
      <c r="Y19" s="3496"/>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496"/>
      <c r="Q20" s="1506"/>
      <c r="R20" s="1507"/>
      <c r="S20" s="1508"/>
      <c r="T20" s="1507"/>
      <c r="U20" s="1508"/>
      <c r="V20" s="1507"/>
      <c r="W20" s="1508"/>
      <c r="X20" s="1501"/>
      <c r="Y20" s="3496"/>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96"/>
      <c r="Q21" s="1506" t="str">
        <f t="shared" ref="Q21:Q35" si="8">B21</f>
        <v>区域土地利用方向</v>
      </c>
      <c r="R21" s="1507" t="s">
        <v>8</v>
      </c>
      <c r="S21" s="1508">
        <f>F21</f>
        <v>100</v>
      </c>
      <c r="T21" s="1507" t="s">
        <v>8</v>
      </c>
      <c r="U21" s="1508">
        <f>H21</f>
        <v>100</v>
      </c>
      <c r="V21" s="1507" t="s">
        <v>8</v>
      </c>
      <c r="W21" s="1508">
        <f>J21</f>
        <v>100</v>
      </c>
      <c r="X21" s="1501"/>
      <c r="Y21" s="349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496"/>
      <c r="Q22" s="1506"/>
      <c r="R22" s="1507"/>
      <c r="S22" s="1508"/>
      <c r="T22" s="1507"/>
      <c r="U22" s="1508"/>
      <c r="V22" s="1507"/>
      <c r="W22" s="1508"/>
      <c r="X22" s="1501"/>
      <c r="Y22" s="3496"/>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6"/>
      <c r="Q23" s="1506" t="str">
        <f t="shared" si="8"/>
        <v>环境状况</v>
      </c>
      <c r="R23" s="1507" t="s">
        <v>8</v>
      </c>
      <c r="S23" s="1508">
        <f>F23</f>
        <v>100</v>
      </c>
      <c r="T23" s="1507" t="s">
        <v>8</v>
      </c>
      <c r="U23" s="1508">
        <f>H23</f>
        <v>100</v>
      </c>
      <c r="V23" s="1507" t="s">
        <v>8</v>
      </c>
      <c r="W23" s="1508">
        <f>J23</f>
        <v>100</v>
      </c>
      <c r="X23" s="1501"/>
      <c r="Y23" s="349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96"/>
      <c r="Q24" s="1506"/>
      <c r="R24" s="1507"/>
      <c r="S24" s="1508"/>
      <c r="T24" s="1507"/>
      <c r="U24" s="1508"/>
      <c r="V24" s="1507"/>
      <c r="W24" s="1508"/>
      <c r="X24" s="1501"/>
      <c r="Y24" s="3496"/>
      <c r="Z24" s="1509"/>
      <c r="AA24" s="1510">
        <v>1</v>
      </c>
      <c r="AB24" s="1510">
        <v>1</v>
      </c>
      <c r="AC24" s="1510">
        <v>1</v>
      </c>
    </row>
    <row r="25" spans="1:29" s="1203"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6"/>
      <c r="Q25" s="1134" t="str">
        <f t="shared" si="8"/>
        <v>公共配套设施</v>
      </c>
      <c r="R25" s="1502" t="s">
        <v>8</v>
      </c>
      <c r="S25" s="1503">
        <f>F25</f>
        <v>100</v>
      </c>
      <c r="T25" s="1502" t="s">
        <v>8</v>
      </c>
      <c r="U25" s="1503">
        <f>H25</f>
        <v>100</v>
      </c>
      <c r="V25" s="1502" t="s">
        <v>8</v>
      </c>
      <c r="W25" s="1503">
        <f>J25</f>
        <v>100</v>
      </c>
      <c r="X25" s="1504"/>
      <c r="Y25" s="3496"/>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496"/>
      <c r="Q26" s="1134"/>
      <c r="R26" s="1502"/>
      <c r="S26" s="1503"/>
      <c r="T26" s="1502"/>
      <c r="U26" s="1503"/>
      <c r="V26" s="1502"/>
      <c r="W26" s="1503"/>
      <c r="X26" s="1504"/>
      <c r="Y26" s="3496"/>
      <c r="Z26" s="1133"/>
      <c r="AA26" s="1505">
        <v>1</v>
      </c>
      <c r="AB26" s="1505">
        <v>1</v>
      </c>
      <c r="AC26" s="1505">
        <v>1</v>
      </c>
    </row>
    <row r="27" spans="1:29" s="1203"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6"/>
      <c r="Q27" s="2428" t="str">
        <f t="shared" ref="Q27" si="9">B27</f>
        <v>基础设施水平</v>
      </c>
      <c r="R27" s="1502" t="s">
        <v>8</v>
      </c>
      <c r="S27" s="1503">
        <f>F27</f>
        <v>100</v>
      </c>
      <c r="T27" s="1502" t="s">
        <v>8</v>
      </c>
      <c r="U27" s="1503">
        <f>H27</f>
        <v>100</v>
      </c>
      <c r="V27" s="1502" t="s">
        <v>8</v>
      </c>
      <c r="W27" s="1503">
        <f>J27</f>
        <v>100</v>
      </c>
      <c r="X27" s="1504"/>
      <c r="Y27" s="3496"/>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496"/>
      <c r="Q28" s="2428"/>
      <c r="R28" s="1502"/>
      <c r="S28" s="1503"/>
      <c r="T28" s="1502"/>
      <c r="U28" s="1503"/>
      <c r="V28" s="1502"/>
      <c r="W28" s="1503"/>
      <c r="X28" s="1504"/>
      <c r="Y28" s="3496"/>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6"/>
      <c r="Z29" s="1509" t="str">
        <f t="shared" ref="Z29:Z42" si="13">Q29</f>
        <v>临街状况</v>
      </c>
      <c r="AA29" s="1510">
        <f t="shared" si="3"/>
        <v>1</v>
      </c>
      <c r="AB29" s="1510">
        <f t="shared" si="4"/>
        <v>1</v>
      </c>
      <c r="AC29" s="1510">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6"/>
      <c r="Q30" s="1506" t="str">
        <f t="shared" si="8"/>
        <v>毗邻道路的类型与等级</v>
      </c>
      <c r="R30" s="1507" t="s">
        <v>8</v>
      </c>
      <c r="S30" s="1508">
        <f t="shared" si="10"/>
        <v>100</v>
      </c>
      <c r="T30" s="1507" t="s">
        <v>8</v>
      </c>
      <c r="U30" s="1508">
        <f t="shared" si="11"/>
        <v>100</v>
      </c>
      <c r="V30" s="1507" t="s">
        <v>8</v>
      </c>
      <c r="W30" s="1508">
        <f t="shared" si="12"/>
        <v>100</v>
      </c>
      <c r="X30" s="1501"/>
      <c r="Y30" s="349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96"/>
      <c r="Q31" s="1506"/>
      <c r="R31" s="1507"/>
      <c r="S31" s="1508"/>
      <c r="T31" s="1507"/>
      <c r="U31" s="1508"/>
      <c r="V31" s="1507"/>
      <c r="W31" s="1508"/>
      <c r="X31" s="1501"/>
      <c r="Y31" s="3496"/>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6"/>
      <c r="Q32" s="1506" t="str">
        <f t="shared" si="8"/>
        <v>土地级别</v>
      </c>
      <c r="R32" s="1507" t="s">
        <v>8</v>
      </c>
      <c r="S32" s="1508">
        <f t="shared" si="10"/>
        <v>100</v>
      </c>
      <c r="T32" s="1507" t="s">
        <v>8</v>
      </c>
      <c r="U32" s="1508">
        <f t="shared" si="11"/>
        <v>100</v>
      </c>
      <c r="V32" s="1507" t="s">
        <v>8</v>
      </c>
      <c r="W32" s="1508">
        <f t="shared" si="12"/>
        <v>100</v>
      </c>
      <c r="X32" s="1501"/>
      <c r="Y32" s="349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6"/>
      <c r="Q33" s="1506">
        <f t="shared" si="8"/>
        <v>111</v>
      </c>
      <c r="R33" s="1507" t="s">
        <v>8</v>
      </c>
      <c r="S33" s="1508">
        <f t="shared" si="10"/>
        <v>100</v>
      </c>
      <c r="T33" s="1507" t="s">
        <v>8</v>
      </c>
      <c r="U33" s="1508">
        <f t="shared" si="11"/>
        <v>100</v>
      </c>
      <c r="V33" s="1507" t="s">
        <v>8</v>
      </c>
      <c r="W33" s="1508">
        <f t="shared" si="12"/>
        <v>100</v>
      </c>
      <c r="X33" s="1501"/>
      <c r="Y33" s="349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7" t="s">
        <v>544</v>
      </c>
      <c r="Q34" s="1506">
        <f t="shared" si="8"/>
        <v>111</v>
      </c>
      <c r="R34" s="1507" t="s">
        <v>8</v>
      </c>
      <c r="S34" s="1508">
        <f t="shared" si="10"/>
        <v>100</v>
      </c>
      <c r="T34" s="1507" t="s">
        <v>8</v>
      </c>
      <c r="U34" s="1508">
        <f t="shared" si="11"/>
        <v>100</v>
      </c>
      <c r="V34" s="1507" t="s">
        <v>8</v>
      </c>
      <c r="W34" s="1508">
        <f t="shared" si="12"/>
        <v>100</v>
      </c>
      <c r="X34" s="1501"/>
      <c r="Y34" s="3498" t="s">
        <v>544</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8"/>
      <c r="Q35" s="1506">
        <f t="shared" si="8"/>
        <v>111</v>
      </c>
      <c r="R35" s="1511" t="s">
        <v>8</v>
      </c>
      <c r="S35" s="1512">
        <f t="shared" si="10"/>
        <v>100</v>
      </c>
      <c r="T35" s="1511" t="s">
        <v>8</v>
      </c>
      <c r="U35" s="1512">
        <f t="shared" si="11"/>
        <v>100</v>
      </c>
      <c r="V35" s="1511" t="s">
        <v>8</v>
      </c>
      <c r="W35" s="1512">
        <f t="shared" si="12"/>
        <v>100</v>
      </c>
      <c r="X35" s="1513"/>
      <c r="Y35" s="3498"/>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8"/>
      <c r="Q36" s="1506" t="str">
        <f>B36</f>
        <v>宗地面积</v>
      </c>
      <c r="R36" s="1507" t="s">
        <v>8</v>
      </c>
      <c r="S36" s="1508" t="e">
        <f t="shared" si="10"/>
        <v>#N/A</v>
      </c>
      <c r="T36" s="1507" t="s">
        <v>8</v>
      </c>
      <c r="U36" s="1508" t="e">
        <f t="shared" si="11"/>
        <v>#N/A</v>
      </c>
      <c r="V36" s="1507" t="s">
        <v>8</v>
      </c>
      <c r="W36" s="1508" t="e">
        <f t="shared" si="12"/>
        <v>#N/A</v>
      </c>
      <c r="X36" s="1501"/>
      <c r="Y36" s="349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8"/>
      <c r="Q37" s="1506" t="str">
        <f t="shared" ref="Q37:Q42" si="14">B37</f>
        <v>宗地形状</v>
      </c>
      <c r="R37" s="1507" t="s">
        <v>8</v>
      </c>
      <c r="S37" s="1508">
        <f t="shared" si="10"/>
        <v>100</v>
      </c>
      <c r="T37" s="1507" t="s">
        <v>8</v>
      </c>
      <c r="U37" s="1508">
        <f t="shared" si="11"/>
        <v>100</v>
      </c>
      <c r="V37" s="1507" t="s">
        <v>8</v>
      </c>
      <c r="W37" s="1508">
        <f t="shared" si="12"/>
        <v>100</v>
      </c>
      <c r="X37" s="1501"/>
      <c r="Y37" s="3498"/>
      <c r="Z37" s="1509" t="str">
        <f t="shared" si="13"/>
        <v>宗地形状</v>
      </c>
      <c r="AA37" s="1510">
        <f t="shared" si="3"/>
        <v>1</v>
      </c>
      <c r="AB37" s="1510">
        <f t="shared" si="4"/>
        <v>1</v>
      </c>
      <c r="AC37" s="1510">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8"/>
      <c r="Q38" s="1506" t="str">
        <f t="shared" si="14"/>
        <v>宗地开发程度</v>
      </c>
      <c r="R38" s="1502" t="s">
        <v>8</v>
      </c>
      <c r="S38" s="1503">
        <f t="shared" si="10"/>
        <v>100</v>
      </c>
      <c r="T38" s="1502" t="s">
        <v>8</v>
      </c>
      <c r="U38" s="1503">
        <f t="shared" si="11"/>
        <v>100</v>
      </c>
      <c r="V38" s="1502" t="s">
        <v>8</v>
      </c>
      <c r="W38" s="1503">
        <f t="shared" si="12"/>
        <v>100</v>
      </c>
      <c r="X38" s="1504"/>
      <c r="Y38" s="3498"/>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8" t="s">
        <v>595</v>
      </c>
      <c r="Q39" s="1506" t="str">
        <f t="shared" si="14"/>
        <v>工程地质条件</v>
      </c>
      <c r="R39" s="1507" t="s">
        <v>8</v>
      </c>
      <c r="S39" s="1508">
        <f t="shared" si="10"/>
        <v>100</v>
      </c>
      <c r="T39" s="1507" t="s">
        <v>8</v>
      </c>
      <c r="U39" s="1508">
        <f t="shared" si="11"/>
        <v>100</v>
      </c>
      <c r="V39" s="1507" t="s">
        <v>8</v>
      </c>
      <c r="W39" s="1508">
        <f t="shared" si="12"/>
        <v>100</v>
      </c>
      <c r="X39" s="1501"/>
      <c r="Y39" s="349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8"/>
      <c r="Q40" s="1506">
        <f t="shared" si="14"/>
        <v>111</v>
      </c>
      <c r="R40" s="1507" t="s">
        <v>8</v>
      </c>
      <c r="S40" s="1508">
        <f t="shared" si="10"/>
        <v>100</v>
      </c>
      <c r="T40" s="1507" t="s">
        <v>8</v>
      </c>
      <c r="U40" s="1508">
        <f t="shared" si="11"/>
        <v>100</v>
      </c>
      <c r="V40" s="1507" t="s">
        <v>8</v>
      </c>
      <c r="W40" s="1508">
        <f t="shared" si="12"/>
        <v>100</v>
      </c>
      <c r="X40" s="1501"/>
      <c r="Y40" s="349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8"/>
      <c r="Q41" s="1506">
        <f t="shared" si="14"/>
        <v>111</v>
      </c>
      <c r="R41" s="1507" t="s">
        <v>8</v>
      </c>
      <c r="S41" s="1508">
        <f t="shared" si="10"/>
        <v>100</v>
      </c>
      <c r="T41" s="1507" t="s">
        <v>8</v>
      </c>
      <c r="U41" s="1508">
        <f t="shared" si="11"/>
        <v>100</v>
      </c>
      <c r="V41" s="1507" t="s">
        <v>8</v>
      </c>
      <c r="W41" s="1508">
        <f t="shared" si="12"/>
        <v>100</v>
      </c>
      <c r="X41" s="1501"/>
      <c r="Y41" s="3498"/>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8"/>
      <c r="Q42" s="1506">
        <f t="shared" si="14"/>
        <v>111</v>
      </c>
      <c r="R42" s="1511" t="s">
        <v>8</v>
      </c>
      <c r="S42" s="1512">
        <f t="shared" si="10"/>
        <v>100</v>
      </c>
      <c r="T42" s="1511" t="s">
        <v>8</v>
      </c>
      <c r="U42" s="1512">
        <f t="shared" si="11"/>
        <v>100</v>
      </c>
      <c r="V42" s="1511" t="s">
        <v>8</v>
      </c>
      <c r="W42" s="1512">
        <f t="shared" si="12"/>
        <v>100</v>
      </c>
      <c r="X42" s="1513"/>
      <c r="Y42" s="3498"/>
      <c r="Z42" s="1514">
        <f t="shared" si="13"/>
        <v>111</v>
      </c>
      <c r="AA42" s="1510">
        <f t="shared" si="3"/>
        <v>1</v>
      </c>
      <c r="AB42" s="1510">
        <f t="shared" si="4"/>
        <v>1</v>
      </c>
      <c r="AC42" s="1510">
        <f t="shared" si="5"/>
        <v>1</v>
      </c>
    </row>
    <row r="43" spans="1:29" ht="15">
      <c r="A43" s="601" t="s">
        <v>550</v>
      </c>
      <c r="B43" s="602" t="s">
        <v>2902</v>
      </c>
      <c r="C43" s="603" t="s">
        <v>1</v>
      </c>
      <c r="D43" s="604"/>
      <c r="E43" s="605"/>
      <c r="F43" s="606"/>
      <c r="G43" s="607"/>
      <c r="H43" s="608"/>
      <c r="I43" s="605"/>
      <c r="J43" s="608"/>
      <c r="K43" s="1294"/>
      <c r="L43" s="2026"/>
      <c r="M43" s="2016"/>
      <c r="N43" s="2016"/>
      <c r="O43" s="2027"/>
      <c r="P43" s="3461" t="str">
        <f>A43</f>
        <v>成交单价</v>
      </c>
      <c r="Q43" s="3461"/>
      <c r="R43" s="3462">
        <f>E43</f>
        <v>0</v>
      </c>
      <c r="S43" s="3462"/>
      <c r="T43" s="3462">
        <f>G43</f>
        <v>0</v>
      </c>
      <c r="U43" s="3462"/>
      <c r="V43" s="3462">
        <f>I43</f>
        <v>0</v>
      </c>
      <c r="W43" s="3462"/>
      <c r="X43" s="1496"/>
      <c r="Y43" s="1515"/>
      <c r="Z43" s="1496"/>
      <c r="AA43" s="1496"/>
      <c r="AB43" s="1496"/>
      <c r="AC43" s="1496"/>
    </row>
    <row r="44" spans="1:29" ht="15.75" thickBot="1">
      <c r="A44" s="609" t="s">
        <v>2673</v>
      </c>
      <c r="B44" s="610"/>
      <c r="C44" s="611" t="e">
        <f>R45</f>
        <v>#DIV/0!</v>
      </c>
      <c r="D44" s="3014" t="s">
        <v>2971</v>
      </c>
      <c r="E44" s="611" t="e">
        <f>R44</f>
        <v>#DIV/0!</v>
      </c>
      <c r="F44" s="3015"/>
      <c r="G44" s="612" t="e">
        <f>T44</f>
        <v>#DIV/0!</v>
      </c>
      <c r="H44" s="3015"/>
      <c r="I44" s="611" t="e">
        <f>V44</f>
        <v>#DIV/0!</v>
      </c>
      <c r="J44" s="3015"/>
      <c r="K44" s="3016">
        <f>F44+H44+J44</f>
        <v>0</v>
      </c>
      <c r="L44" s="2026"/>
      <c r="M44" s="2016"/>
      <c r="N44" s="2016"/>
      <c r="O44" s="2027"/>
      <c r="P44" s="3461" t="str">
        <f>A44</f>
        <v>比较价格（元/平方米）</v>
      </c>
      <c r="Q44" s="3461"/>
      <c r="R44" s="3463" t="e">
        <f>ROUND(PRODUCT(R43,AA9:AA42),0)</f>
        <v>#DIV/0!</v>
      </c>
      <c r="S44" s="3463"/>
      <c r="T44" s="3463" t="e">
        <f>ROUND(PRODUCT(T43,AB9:AB42),0)</f>
        <v>#DIV/0!</v>
      </c>
      <c r="U44" s="3463"/>
      <c r="V44" s="3463" t="e">
        <f>ROUND(PRODUCT(V43,AC9:AC42),0)</f>
        <v>#DIV/0!</v>
      </c>
      <c r="W44" s="3463"/>
      <c r="X44" s="1496"/>
      <c r="Y44" s="1496"/>
      <c r="Z44" s="1496"/>
      <c r="AA44" s="1496"/>
      <c r="AB44" s="1496"/>
      <c r="AC44" s="1496"/>
    </row>
    <row r="45" spans="1:29" ht="15.75" thickBot="1">
      <c r="A45" s="613" t="s">
        <v>2903</v>
      </c>
      <c r="B45" s="614"/>
      <c r="C45" s="615" t="e">
        <f>R45</f>
        <v>#DIV/0!</v>
      </c>
      <c r="D45" s="615"/>
      <c r="E45" s="615"/>
      <c r="F45" s="615"/>
      <c r="G45" s="615"/>
      <c r="H45" s="615"/>
      <c r="I45" s="615"/>
      <c r="J45" s="615"/>
      <c r="K45" s="1295"/>
      <c r="L45" s="2026"/>
      <c r="M45" s="2016"/>
      <c r="N45" s="2016"/>
      <c r="O45" s="2027"/>
      <c r="P45" s="3458" t="str">
        <f>A45</f>
        <v>估价对象XX用房的比较价格（楼面单价，元/平方米）</v>
      </c>
      <c r="Q45" s="3459"/>
      <c r="R45" s="3510" t="e">
        <f>ROUND(IF(D44="简单平均",AVERAGE(R44:W44),R44*F44+T44*H44+V44*J44),0)</f>
        <v>#DIV/0!</v>
      </c>
      <c r="S45" s="3510"/>
      <c r="T45" s="3510"/>
      <c r="U45" s="3510"/>
      <c r="V45" s="3510"/>
      <c r="W45" s="3510"/>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05" t="s">
        <v>2272</v>
      </c>
      <c r="H52" s="3506"/>
      <c r="I52" s="1866" t="s">
        <v>1934</v>
      </c>
      <c r="J52" s="1493">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69160</v>
      </c>
      <c r="F53" s="1864" t="e">
        <f t="shared" ref="F53:F62" si="15">ROUND(B53*E53/10000,0)</f>
        <v>#DIV/0!</v>
      </c>
      <c r="G53" s="3507"/>
      <c r="H53" s="3508"/>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09" t="s">
        <v>2273</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09"/>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09"/>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09"/>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0.25</v>
      </c>
      <c r="D58" s="2109">
        <v>0.25</v>
      </c>
      <c r="E58" s="633">
        <f>'数据-汇总表'!E11</f>
        <v>0</v>
      </c>
      <c r="F58" s="1864" t="e">
        <f t="shared" si="15"/>
        <v>#DIV/0!</v>
      </c>
      <c r="G58" s="1870" t="s">
        <v>2274</v>
      </c>
      <c r="H58" s="1869" t="str">
        <f>项目基本情况!C43</f>
        <v>五级</v>
      </c>
      <c r="I58" s="1867">
        <f>SUMIF(修正!$A$45:$A$56,H58,修正!F45:F56)</f>
        <v>0.25</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0.25</v>
      </c>
      <c r="D59" s="2109">
        <v>0.25</v>
      </c>
      <c r="E59" s="633">
        <f>'数据-汇总表'!E12</f>
        <v>34717</v>
      </c>
      <c r="F59" s="1864" t="e">
        <f t="shared" si="15"/>
        <v>#DIV/0!</v>
      </c>
      <c r="G59" s="1860" t="s">
        <v>1668</v>
      </c>
      <c r="H59" s="1868" t="str">
        <f>IF(G59="商业",项目基本情况!B43,IF(G59="办公",项目基本情况!C43,IF(G59="住宅",项目基本情况!D43,项目基本情况!E43)))</f>
        <v>五级</v>
      </c>
      <c r="I59" s="1867">
        <f>SUMIF(修正!$A$45:$A$56,H59,修正!G45:G56)</f>
        <v>0.25</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0.2</v>
      </c>
      <c r="D60" s="2109">
        <v>0.25</v>
      </c>
      <c r="E60" s="633">
        <f>'数据-汇总表'!E13</f>
        <v>18688</v>
      </c>
      <c r="F60" s="1864" t="e">
        <f t="shared" si="15"/>
        <v>#DIV/0!</v>
      </c>
      <c r="G60" s="1860" t="s">
        <v>914</v>
      </c>
      <c r="H60" s="1868" t="str">
        <f>IF(G60="商业",项目基本情况!B43,IF(G60="办公",项目基本情况!C43,IF(G60="住宅",项目基本情况!D43,项目基本情况!E43)))</f>
        <v>五级</v>
      </c>
      <c r="I60" s="1867">
        <f>SUMIF(修正!$A$45:$A$56,H60,修正!H45:H56)</f>
        <v>0.2</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0.2</v>
      </c>
      <c r="D62" s="2109">
        <v>0.25</v>
      </c>
      <c r="E62" s="633">
        <f>'数据-汇总表'!E15</f>
        <v>0</v>
      </c>
      <c r="F62" s="1864" t="e">
        <f t="shared" si="15"/>
        <v>#DIV/0!</v>
      </c>
      <c r="G62" s="1871" t="s">
        <v>2274</v>
      </c>
      <c r="H62" s="1872" t="str">
        <f>项目基本情况!C43</f>
        <v>五级</v>
      </c>
      <c r="I62" s="1867">
        <f>SUMIF(修正!$A$45:$A$56,H62,修正!H45:H56)</f>
        <v>0.2</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114571.08</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2514</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2629</v>
      </c>
      <c r="B68" s="473" t="str">
        <f>"北京市平均增长率"&amp;TEXT(基准地价!P24,"0.00%")</f>
        <v>北京市平均增长率1.19%</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2529</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2531</v>
      </c>
      <c r="C95" s="2442" t="s">
        <v>2532</v>
      </c>
      <c r="D95" s="2442" t="s">
        <v>2533</v>
      </c>
      <c r="E95" s="2442" t="s">
        <v>2534</v>
      </c>
      <c r="F95" s="2442" t="s">
        <v>2535</v>
      </c>
      <c r="G95" s="2442" t="s">
        <v>2536</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7" zoomScaleNormal="60" zoomScaleSheetLayoutView="100" workbookViewId="0">
      <selection activeCell="E40" sqref="E40"/>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122465</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4" t="s">
        <v>911</v>
      </c>
      <c r="B2" s="1025">
        <f ca="1">C26</f>
        <v>272902</v>
      </c>
      <c r="C2" s="1355" t="s">
        <v>912</v>
      </c>
      <c r="D2" s="1356" t="s">
        <v>913</v>
      </c>
      <c r="E2" s="1357" t="s">
        <v>914</v>
      </c>
      <c r="F2" s="1356" t="s">
        <v>915</v>
      </c>
      <c r="G2" s="1580" t="str">
        <f>IF(E2="商业",项目基本情况!B43,IF(E2="办公",项目基本情况!C43,IF(E2="住宅",项目基本情况!D43,项目基本情况!E43)))</f>
        <v>五级</v>
      </c>
      <c r="H2" s="1356" t="s">
        <v>917</v>
      </c>
      <c r="I2" s="1581" t="str">
        <f>IF(E2="商业",项目基本情况!B44,IF(E2="办公",项目基本情况!C44,IF(E2="住宅",项目基本情况!D44,项目基本情况!E44)))</f>
        <v>Ⅴ-22</v>
      </c>
      <c r="J2" s="1358"/>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3.2682000000000002</v>
      </c>
      <c r="T2" s="2654">
        <f ca="1">ROUND($C$5*$C$18*$C$19*$C$20*S2*$C$24,0)</f>
        <v>55218</v>
      </c>
      <c r="U2" s="2643"/>
      <c r="V2" s="2654">
        <f ca="1">ROUND(T2*U2/10000,0)</f>
        <v>0</v>
      </c>
      <c r="W2" s="2070"/>
      <c r="X2" s="2070"/>
      <c r="Y2" s="2070"/>
      <c r="Z2" s="2070"/>
      <c r="AA2" s="2070"/>
      <c r="AB2" s="2070"/>
      <c r="AC2" s="2071"/>
    </row>
    <row r="3" spans="1:39" ht="24">
      <c r="A3" s="1359" t="s">
        <v>1678</v>
      </c>
      <c r="B3" s="1025">
        <f ca="1">ROUND(B2*10000/D1,0)</f>
        <v>22284</v>
      </c>
      <c r="C3" s="1355" t="s">
        <v>918</v>
      </c>
      <c r="D3" s="1356" t="s">
        <v>919</v>
      </c>
      <c r="E3" s="1360" t="s">
        <v>3248</v>
      </c>
      <c r="F3" s="1361" t="s">
        <v>3249</v>
      </c>
      <c r="G3" s="1026">
        <f>IF(F3="宗地容积率",'数据-汇总表'!I4,IF(F3="估价对象容积率",'数据-汇总表'!I6,'数据-汇总表'!I7))</f>
        <v>0.56999999999999995</v>
      </c>
      <c r="H3" s="1362" t="s">
        <v>920</v>
      </c>
      <c r="I3" s="1027">
        <v>8</v>
      </c>
      <c r="J3" s="1358"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2.3460000000000001</v>
      </c>
      <c r="T3" s="2654">
        <f t="shared" ref="T3:T16" ca="1" si="0">ROUND($C$5*$C$18*$C$19*$C$20*S3*$C$24,0)</f>
        <v>39637</v>
      </c>
      <c r="U3" s="2643"/>
      <c r="V3" s="2654">
        <f t="shared" ref="V3:V16" ca="1" si="1">ROUND(T3*U3/10000,0)</f>
        <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1.8926000000000001</v>
      </c>
      <c r="T4" s="2654">
        <f t="shared" ca="1" si="0"/>
        <v>31976</v>
      </c>
      <c r="U4" s="2643"/>
      <c r="V4" s="2654">
        <f t="shared" ca="1" si="1"/>
        <v>0</v>
      </c>
      <c r="W4" s="2070"/>
      <c r="X4" s="2070"/>
      <c r="Y4" s="2070"/>
      <c r="Z4" s="2070"/>
      <c r="AA4" s="2070"/>
      <c r="AB4" s="2070"/>
      <c r="AC4" s="2071"/>
    </row>
    <row r="5" spans="1:39" s="1369" customFormat="1" ht="15.75" thickBot="1">
      <c r="A5" s="1566" t="s">
        <v>1814</v>
      </c>
      <c r="B5" s="1363" t="s">
        <v>922</v>
      </c>
      <c r="C5" s="1028">
        <f>ROUND(IF(E2="商业",C6*C7+C16,(IF(E2="住宅",C6*C12+C16,C6+C16))),0)</f>
        <v>11024</v>
      </c>
      <c r="D5" s="2793">
        <f>ROUND(C6+C16,0)</f>
        <v>11024</v>
      </c>
      <c r="E5" s="2793"/>
      <c r="F5" s="1364"/>
      <c r="G5" s="1365"/>
      <c r="H5" s="1365"/>
      <c r="I5" s="1365"/>
      <c r="J5" s="1366"/>
      <c r="K5" s="3234"/>
      <c r="L5" s="1799" t="s">
        <v>2231</v>
      </c>
      <c r="M5" s="1800">
        <f>SUMPRODUCT((区片价!B76:B109=I2)*(区片价!C3:F3=E2)*(区片价!C76:F109))</f>
        <v>11080</v>
      </c>
      <c r="N5" s="1801">
        <f>SUMPRODUCT((因素修正幅度!B76:B109=I2)*(因素修正幅度!C3:F3=E2)*(因素修正幅度!C76:F109))</f>
        <v>9.7000000000000003E-2</v>
      </c>
      <c r="O5" s="3234"/>
      <c r="P5" s="3237"/>
      <c r="Q5" s="2070"/>
      <c r="R5" s="2654">
        <v>4</v>
      </c>
      <c r="S5" s="2654">
        <f>ROUND(IF(G3&gt;1,IF(R5&lt;7,SUMPRODUCT((B93:B98=R5)*(C92:N92=G2)*(C93:N98)),SUMIF(C92:N92,G2,C100:N100)),IF(R5&lt;7,SUMPRODUCT((B102:B107=R5)*(C92:N92=G2)*(C102:N107)),SUMIF(C92:N92,G2,C109:N109))),4)</f>
        <v>1.5185999999999999</v>
      </c>
      <c r="T5" s="2654">
        <f t="shared" ca="1" si="0"/>
        <v>25657</v>
      </c>
      <c r="U5" s="2643"/>
      <c r="V5" s="2654">
        <f t="shared" ca="1" si="1"/>
        <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9">
        <f>SUMIF(L1:L12,基准地价!G2,M1:M12)</f>
        <v>11080</v>
      </c>
      <c r="D6" s="1371" t="s">
        <v>1686</v>
      </c>
      <c r="E6" s="1372"/>
      <c r="F6" s="1372"/>
      <c r="G6" s="1373"/>
      <c r="H6" s="1373"/>
      <c r="I6" s="1373"/>
      <c r="J6" s="1374"/>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1.2931999999999999</v>
      </c>
      <c r="T6" s="2654">
        <f t="shared" ca="1" si="0"/>
        <v>21849</v>
      </c>
      <c r="U6" s="2643"/>
      <c r="V6" s="2654">
        <f t="shared" ca="1" si="1"/>
        <v>0</v>
      </c>
      <c r="W6" s="2070"/>
      <c r="X6" s="2070"/>
      <c r="Y6" s="2070"/>
      <c r="Z6" s="2070"/>
      <c r="AA6" s="2070"/>
      <c r="AB6" s="2070"/>
      <c r="AC6" s="2072"/>
      <c r="AD6" s="1367"/>
      <c r="AE6" s="1367"/>
      <c r="AF6" s="1367"/>
      <c r="AG6" s="1367"/>
      <c r="AH6" s="1367"/>
      <c r="AI6" s="1367"/>
      <c r="AJ6" s="1368"/>
    </row>
    <row r="7" spans="1:39" ht="24">
      <c r="A7" s="3525" t="str">
        <f>IF(E2="商业",IF(C8="不临58条商业街","",2),"")</f>
        <v/>
      </c>
      <c r="B7" s="1375" t="s">
        <v>923</v>
      </c>
      <c r="C7" s="1030" t="e">
        <f>IF(C8="不临58条商业街",1,ROUND(1+(1.6*E8+1.2*E9+0.8*E10+0.4*E11)*C9,4))</f>
        <v>#DIV/0!</v>
      </c>
      <c r="D7" s="1376" t="s">
        <v>924</v>
      </c>
      <c r="E7" s="1031"/>
      <c r="F7" s="1377"/>
      <c r="G7" s="1378"/>
      <c r="H7" s="1378"/>
      <c r="I7" s="1378"/>
      <c r="J7" s="1379"/>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1.1372</v>
      </c>
      <c r="T7" s="2654">
        <f t="shared" ca="1" si="0"/>
        <v>19213</v>
      </c>
      <c r="U7" s="2643"/>
      <c r="V7" s="2654">
        <f t="shared" ca="1" si="1"/>
        <v>0</v>
      </c>
      <c r="W7" s="2652" t="s">
        <v>2744</v>
      </c>
      <c r="X7" s="2644" t="str">
        <f>G2</f>
        <v>五级</v>
      </c>
      <c r="Y7" s="2644" t="s">
        <v>2745</v>
      </c>
      <c r="Z7" s="2645">
        <f>G3</f>
        <v>0.56999999999999995</v>
      </c>
      <c r="AA7" s="2073"/>
      <c r="AB7" s="2073"/>
      <c r="AC7" s="2074"/>
      <c r="AD7" s="2646"/>
      <c r="AE7" s="2646"/>
      <c r="AF7" s="2646"/>
      <c r="AG7" s="2646"/>
      <c r="AH7" s="2646"/>
      <c r="AI7" s="2646"/>
      <c r="AJ7" s="2647"/>
    </row>
    <row r="8" spans="1:39" ht="15">
      <c r="A8" s="3526"/>
      <c r="B8" s="1362" t="s">
        <v>925</v>
      </c>
      <c r="C8" s="1468"/>
      <c r="D8" s="1032" t="s">
        <v>926</v>
      </c>
      <c r="E8" s="1033" t="e">
        <f>ROUND(C11/E7,4)</f>
        <v>#DIV/0!</v>
      </c>
      <c r="F8" s="1380" t="s">
        <v>927</v>
      </c>
      <c r="G8" s="1381"/>
      <c r="H8" s="1381"/>
      <c r="I8" s="1381"/>
      <c r="J8" s="1382"/>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12" t="s">
        <v>2762</v>
      </c>
      <c r="X8" s="3513"/>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26"/>
      <c r="B9" s="1362" t="s">
        <v>928</v>
      </c>
      <c r="C9" s="1034">
        <f>SUMIF(修正!C59:C119,C8,修正!E59:E119)</f>
        <v>0</v>
      </c>
      <c r="D9" s="1035" t="s">
        <v>929</v>
      </c>
      <c r="E9" s="1035" t="e">
        <f>ROUND(C11/E7,4)</f>
        <v>#DIV/0!</v>
      </c>
      <c r="F9" s="1380" t="s">
        <v>930</v>
      </c>
      <c r="G9" s="1381"/>
      <c r="H9" s="1381"/>
      <c r="I9" s="1381"/>
      <c r="J9" s="1382"/>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11" t="s">
        <v>2758</v>
      </c>
      <c r="X9" s="2648" t="s">
        <v>2759</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26"/>
      <c r="B10" s="1362" t="s">
        <v>931</v>
      </c>
      <c r="C10" s="1035">
        <f>SUMIF(修正!C59:C119,C8,修正!F59:F119)</f>
        <v>0</v>
      </c>
      <c r="D10" s="1035" t="s">
        <v>932</v>
      </c>
      <c r="E10" s="1035" t="e">
        <f>ROUND(C11/E7,4)</f>
        <v>#DIV/0!</v>
      </c>
      <c r="F10" s="1380" t="s">
        <v>933</v>
      </c>
      <c r="G10" s="1381"/>
      <c r="H10" s="1381"/>
      <c r="I10" s="1381"/>
      <c r="J10" s="1382"/>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1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26"/>
      <c r="B11" s="1383" t="s">
        <v>934</v>
      </c>
      <c r="C11" s="1036">
        <f>C10/4</f>
        <v>0</v>
      </c>
      <c r="D11" s="1036" t="s">
        <v>935</v>
      </c>
      <c r="E11" s="1036" t="e">
        <f>ROUND(C11/E7,4)</f>
        <v>#DIV/0!</v>
      </c>
      <c r="F11" s="1384" t="s">
        <v>936</v>
      </c>
      <c r="G11" s="1385"/>
      <c r="H11" s="1385"/>
      <c r="I11" s="1385"/>
      <c r="J11" s="1386"/>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11" t="s">
        <v>2760</v>
      </c>
      <c r="X11" s="1035" t="s">
        <v>2745</v>
      </c>
      <c r="Y11" s="1581">
        <f>$G$3</f>
        <v>0.56999999999999995</v>
      </c>
      <c r="Z11" s="1581">
        <f t="shared" ref="Z11:AJ11" si="3">$G$3</f>
        <v>0.56999999999999995</v>
      </c>
      <c r="AA11" s="1581">
        <f t="shared" si="3"/>
        <v>0.56999999999999995</v>
      </c>
      <c r="AB11" s="1581">
        <f t="shared" si="3"/>
        <v>0.56999999999999995</v>
      </c>
      <c r="AC11" s="1581">
        <f t="shared" si="3"/>
        <v>0.56999999999999995</v>
      </c>
      <c r="AD11" s="1581">
        <f t="shared" si="3"/>
        <v>0.56999999999999995</v>
      </c>
      <c r="AE11" s="1581">
        <f t="shared" si="3"/>
        <v>0.56999999999999995</v>
      </c>
      <c r="AF11" s="1581">
        <f t="shared" si="3"/>
        <v>0.56999999999999995</v>
      </c>
      <c r="AG11" s="1581">
        <f t="shared" si="3"/>
        <v>0.56999999999999995</v>
      </c>
      <c r="AH11" s="1581">
        <f t="shared" si="3"/>
        <v>0.56999999999999995</v>
      </c>
      <c r="AI11" s="1581">
        <f t="shared" si="3"/>
        <v>0.56999999999999995</v>
      </c>
      <c r="AJ11" s="1581">
        <f t="shared" si="3"/>
        <v>0.56999999999999995</v>
      </c>
    </row>
    <row r="12" spans="1:39" ht="25.5" thickBot="1">
      <c r="A12" s="3525" t="s">
        <v>1862</v>
      </c>
      <c r="B12" s="1387" t="s">
        <v>937</v>
      </c>
      <c r="C12" s="1030">
        <f>ROUND(C15*D15*E15*F15*G15*H15*I15*J15,4)</f>
        <v>1</v>
      </c>
      <c r="D12" s="1388" t="s">
        <v>938</v>
      </c>
      <c r="E12" s="1389"/>
      <c r="F12" s="1389"/>
      <c r="G12" s="1390"/>
      <c r="H12" s="1390"/>
      <c r="I12" s="1390"/>
      <c r="J12" s="1391"/>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11"/>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27"/>
      <c r="B13" s="1392" t="s">
        <v>1687</v>
      </c>
      <c r="C13" s="1393" t="s">
        <v>1688</v>
      </c>
      <c r="D13" s="1072" t="s">
        <v>1689</v>
      </c>
      <c r="E13" s="1072" t="s">
        <v>1690</v>
      </c>
      <c r="F13" s="1394" t="s">
        <v>939</v>
      </c>
      <c r="G13" s="1395" t="s">
        <v>1633</v>
      </c>
      <c r="H13" s="1396" t="s">
        <v>1633</v>
      </c>
      <c r="I13" s="1397" t="s">
        <v>1633</v>
      </c>
      <c r="J13" s="1398" t="s">
        <v>1633</v>
      </c>
      <c r="K13" s="2843"/>
      <c r="L13" s="2843"/>
      <c r="M13" s="2843"/>
      <c r="N13" s="2843"/>
      <c r="O13" s="2843"/>
      <c r="P13" s="2070"/>
      <c r="Q13" s="2070"/>
      <c r="R13" s="2654">
        <v>12</v>
      </c>
      <c r="S13" s="2643"/>
      <c r="T13" s="2654">
        <f t="shared" ca="1" si="0"/>
        <v>0</v>
      </c>
      <c r="U13" s="2643"/>
      <c r="V13" s="2654">
        <f t="shared" ca="1" si="1"/>
        <v>0</v>
      </c>
      <c r="W13" s="3511"/>
      <c r="X13" s="2651"/>
      <c r="Y13" s="2650">
        <f>(-0.163*(Y12^2)-0.59*Y12+7617)*(10^(-4))/Y11</f>
        <v>1.3363157894736843</v>
      </c>
      <c r="Z13" s="2650">
        <f t="shared" ref="Z13:AJ13" si="5">(-0.163*(Z12^2)-0.59*Z12+7617)*(10^(-4))/Z11</f>
        <v>1.3363157894736843</v>
      </c>
      <c r="AA13" s="2650">
        <f t="shared" si="5"/>
        <v>1.3363157894736843</v>
      </c>
      <c r="AB13" s="2650">
        <f t="shared" si="5"/>
        <v>1.3363157894736843</v>
      </c>
      <c r="AC13" s="2650">
        <f t="shared" si="5"/>
        <v>1.3363157894736843</v>
      </c>
      <c r="AD13" s="2650">
        <f t="shared" si="5"/>
        <v>1.3363157894736843</v>
      </c>
      <c r="AE13" s="2650">
        <f t="shared" si="5"/>
        <v>1.3363157894736843</v>
      </c>
      <c r="AF13" s="2650">
        <f t="shared" si="5"/>
        <v>1.3363157894736843</v>
      </c>
      <c r="AG13" s="2650">
        <f t="shared" si="5"/>
        <v>1.3363157894736843</v>
      </c>
      <c r="AH13" s="2650">
        <f t="shared" si="5"/>
        <v>1.3363157894736843</v>
      </c>
      <c r="AI13" s="2650">
        <f t="shared" si="5"/>
        <v>1.3363157894736843</v>
      </c>
      <c r="AJ13" s="2650">
        <f t="shared" si="5"/>
        <v>1.3363157894736843</v>
      </c>
    </row>
    <row r="14" spans="1:39" ht="12.75" customHeight="1">
      <c r="A14" s="3527"/>
      <c r="B14" s="1399"/>
      <c r="C14" s="1400" t="s">
        <v>3250</v>
      </c>
      <c r="D14" s="1401" t="s">
        <v>3250</v>
      </c>
      <c r="E14" s="1401" t="s">
        <v>3250</v>
      </c>
      <c r="F14" s="1402" t="s">
        <v>3251</v>
      </c>
      <c r="G14" s="1403" t="s">
        <v>940</v>
      </c>
      <c r="H14" s="1404"/>
      <c r="I14" s="1405"/>
      <c r="J14" s="1406"/>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28"/>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25" t="s">
        <v>1829</v>
      </c>
      <c r="B16" s="1375" t="s">
        <v>941</v>
      </c>
      <c r="C16" s="1039">
        <f>ROUND(IF(F17="与级别开发程度一致",0,(G17-E17)/C17),0)</f>
        <v>-56</v>
      </c>
      <c r="D16" s="3519" t="s">
        <v>945</v>
      </c>
      <c r="E16" s="3520"/>
      <c r="F16" s="3519" t="s">
        <v>942</v>
      </c>
      <c r="G16" s="3520"/>
      <c r="H16" s="1407" t="s">
        <v>3253</v>
      </c>
      <c r="I16" s="1407" t="s">
        <v>3254</v>
      </c>
      <c r="J16" s="1407" t="s">
        <v>3256</v>
      </c>
      <c r="K16" s="1407" t="s">
        <v>3255</v>
      </c>
      <c r="L16" s="1407"/>
      <c r="M16" s="1407"/>
      <c r="N16" s="1407"/>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29"/>
      <c r="B17" s="2854" t="s">
        <v>944</v>
      </c>
      <c r="C17" s="2855">
        <f>SUMPRODUCT((修正!A2:A5=E2)*(修正!B1:M1=G2)*(修正!B2:M5))</f>
        <v>2.5</v>
      </c>
      <c r="D17" s="2856" t="str">
        <f>IF(OR(G2="八级",G2="九级",G2="十级",G2="十一级",G2="十二级"),"五通一平","七通一平")</f>
        <v>七通一平</v>
      </c>
      <c r="E17" s="2846">
        <f>SUMPRODUCT((修正!B1:M1=G2)*(修正!B15:M15))</f>
        <v>300</v>
      </c>
      <c r="F17" s="2847" t="s">
        <v>3252</v>
      </c>
      <c r="G17" s="2846">
        <f>SUM(H17:O17)</f>
        <v>160</v>
      </c>
      <c r="H17" s="1038">
        <f>SUMPRODUCT((七通一平=H16)*(修正!B1:M1=G2)*(修正!B6:M14))</f>
        <v>65</v>
      </c>
      <c r="I17" s="1038">
        <f>SUMPRODUCT((七通一平=I16)*(修正!B1:M1=G2)*(修正!B6:M14))</f>
        <v>55</v>
      </c>
      <c r="J17" s="1038">
        <f>SUMPRODUCT((七通一平=J16)*(修正!B1:M1=G2)*(修正!B6:M14))</f>
        <v>25</v>
      </c>
      <c r="K17" s="1038">
        <f>SUMPRODUCT((七通一平=K16)*(修正!B1:M1=G2)*(修正!B6:M14))</f>
        <v>15</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40">
        <f>ROUND(IF(H19="按公示增长率计算",SUMPRODUCT((地价!A3:A33=YEAR(G19)&amp;"-"&amp;ROUNDUP(MONTH(G19)/3,0))*(地价!X2:AB2=E2)*(地价!X3:AB33)),IF(H19="地价指数",M20/M19,(1+I19)^O19)),4)</f>
        <v>1.6415999999999999</v>
      </c>
      <c r="D19" s="1414" t="s">
        <v>948</v>
      </c>
      <c r="E19" s="1041">
        <v>41640</v>
      </c>
      <c r="F19" s="1414" t="s">
        <v>949</v>
      </c>
      <c r="G19" s="1042">
        <f>'数据-取费表'!B2</f>
        <v>44265</v>
      </c>
      <c r="H19" s="1415" t="s">
        <v>2955</v>
      </c>
      <c r="I19" s="2503" t="str">
        <f>IF(H19="季度增幅（自定义）",SUMIF(N21:N24,E2,O21:O24),"")</f>
        <v/>
      </c>
      <c r="J19" s="1411"/>
      <c r="K19" s="3234"/>
      <c r="L19" s="2753" t="s">
        <v>2820</v>
      </c>
      <c r="M19" s="2754">
        <f>ROUND(SUMIF(地价!B2:F2,E2,地价!B33:F33),0)</f>
        <v>423</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f ca="1">ROUND(POWER(1+G20,J20-I20)*(POWER(1+G20,I20)-1)/(POWER(1+G20,J20)-1),4)</f>
        <v>0.9103</v>
      </c>
      <c r="D20" s="2500" t="s">
        <v>963</v>
      </c>
      <c r="E20" s="2783">
        <f ca="1">存贷款利率!I4/100</f>
        <v>3.85E-2</v>
      </c>
      <c r="F20" s="2500" t="s">
        <v>964</v>
      </c>
      <c r="G20" s="2501">
        <f ca="1">SUMIF(M26:P26,E2,M28:P28)</f>
        <v>4.3999999999999997E-2</v>
      </c>
      <c r="H20" s="2500" t="s">
        <v>965</v>
      </c>
      <c r="I20" s="2496">
        <f>SUMIF('数据-取费表'!C6:C15,E2,'数据-取费表'!F6:F15)/COUNTIF('数据-取费表'!C6:C15,E2)</f>
        <v>46.61</v>
      </c>
      <c r="J20" s="2502">
        <f>IF(E2="住宅",70,IF(E2="商业",40,50))</f>
        <v>70</v>
      </c>
      <c r="K20" s="2844"/>
      <c r="L20" s="2755" t="s">
        <v>2821</v>
      </c>
      <c r="M20" s="2837">
        <f>ROUND(SUMPRODUCT((地价!A4:A33=YEAR(G19)&amp;"-"&amp;ROUNDUP(MONTH(G19)/3,0))*(地价!B2:F2=E2)*(地价!B4:F33)),0)</f>
        <v>694</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2990</v>
      </c>
      <c r="C21" s="1141">
        <f>IF(B21="容积率修正",IF(G3&lt;=10,D22,J22),C23)</f>
        <v>2.1865000000000001</v>
      </c>
      <c r="D21" s="1421"/>
      <c r="E21" s="1421"/>
      <c r="F21" s="1421"/>
      <c r="G21" s="1421"/>
      <c r="H21" s="1421"/>
      <c r="I21" s="1421"/>
      <c r="J21" s="1422"/>
      <c r="K21" s="3234"/>
      <c r="L21" s="1421"/>
      <c r="M21" s="1421"/>
      <c r="N21" s="1418" t="s">
        <v>966</v>
      </c>
      <c r="O21" s="1481"/>
      <c r="P21" s="2495">
        <f>SUMPRODUCT((地价!A3:A33=YEAR(G19)&amp;"-"&amp;ROUNDUP(MONTH(G19)/3,0))*(地价!AD2:AH2=N21)*(地价!AD3:AH33))</f>
        <v>1.0999999999999999E-2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3" t="s">
        <v>1693</v>
      </c>
      <c r="D22" s="1043">
        <f>IF(E22=G22,F22,IF(G3&lt;=10,ROUND(F22+(H22-F22)*(G3-E22)/(G22-E22),4),"——"))</f>
        <v>2.1865000000000001</v>
      </c>
      <c r="E22" s="1026">
        <f>ROUNDDOWN(G3,1)</f>
        <v>0.5</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2.4752000000000001</v>
      </c>
      <c r="G22" s="1026">
        <f>ROUNDUP(G3,1)</f>
        <v>0.6</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043" t="s">
        <v>968</v>
      </c>
      <c r="J22" s="1043" t="str">
        <f>IF(G3&gt;10,D113,"——")</f>
        <v>——</v>
      </c>
      <c r="K22" s="3240"/>
      <c r="L22" s="1421"/>
      <c r="M22" s="1421"/>
      <c r="N22" s="1418" t="s">
        <v>969</v>
      </c>
      <c r="O22" s="1481"/>
      <c r="P22" s="2495">
        <f>SUMPRODUCT((地价!A3:A33=YEAR(G19)&amp;"-"&amp;ROUNDUP(MONTH(G19)/3,0))*(地价!AD2:AH2=N22)*(地价!AD3:AH33))</f>
        <v>1.0999999999999999E-2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4">
        <f>ROUND(IF(G3&gt;1,IF(I3&lt;7,SUMPRODUCT((B93:B98=I3)*(C92:N92=G2)*(C93:N98)),SUMIF(C92:N92,G2,C100:N100)),IF(I3&lt;7,SUMPRODUCT((B102:B107=I3)*(C92:N92=G2)*(C102:N107)),SUMIF(C92:N92,G2,C109:N109))),4)</f>
        <v>1.1337999999999999</v>
      </c>
      <c r="D23" s="1469"/>
      <c r="E23" s="1469"/>
      <c r="F23" s="1470"/>
      <c r="G23" s="1471"/>
      <c r="H23" s="1472"/>
      <c r="I23" s="1473"/>
      <c r="J23" s="1473"/>
      <c r="K23" s="3241"/>
      <c r="L23" s="1349"/>
      <c r="M23" s="1349"/>
      <c r="N23" s="1418" t="s">
        <v>914</v>
      </c>
      <c r="O23" s="1481"/>
      <c r="P23" s="2495">
        <f>SUMPRODUCT((地价!A3:A33=YEAR(G19)&amp;"-"&amp;ROUNDUP(MONTH(G19)/3,0))*(地价!AD2:AH2=N23)*(地价!AD3:AH33))</f>
        <v>1.8499999999999999E-2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5">
        <f>SUMIF(A44:A87,E2,B44:B87)</f>
        <v>1.0256000000000001</v>
      </c>
      <c r="D24" s="1474"/>
      <c r="E24" s="1475"/>
      <c r="F24" s="1475"/>
      <c r="G24" s="1475"/>
      <c r="H24" s="1475"/>
      <c r="I24" s="1475"/>
      <c r="J24" s="1475"/>
      <c r="K24" s="3241"/>
      <c r="L24" s="1421"/>
      <c r="M24" s="1421"/>
      <c r="N24" s="1418" t="s">
        <v>972</v>
      </c>
      <c r="O24" s="2836"/>
      <c r="P24" s="2495">
        <f>SUMPRODUCT((地价!A3:A33=YEAR(G19)&amp;"-"&amp;ROUNDUP(MONTH(G19)/3,0))*(地价!AD2:AH2=N24)*(地价!AD3:AH33))</f>
        <v>1.1900000000000001E-2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5"/>
      <c r="L25" s="2076"/>
      <c r="M25" s="2076"/>
      <c r="N25" s="2838" t="s">
        <v>2628</v>
      </c>
      <c r="O25" s="2839"/>
      <c r="P25" s="2302">
        <f>SUMPRODUCT((地价!A3:A33=YEAR(G19)&amp;"-"&amp;ROUNDUP(MONTH(G19)/3,0))*(地价!AD2:AH2=N25)*(地价!AD3:AH33))</f>
        <v>1.6799999999999999E-2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f ca="1">IF(B21="容积率修正",E29+SUM(E33:E39),SUM(V2:V16)+SUM(E33:E39))</f>
        <v>272902</v>
      </c>
      <c r="D26" s="1429"/>
      <c r="E26" s="1404"/>
      <c r="F26" s="1430"/>
      <c r="G26" s="1404"/>
      <c r="H26" s="1404"/>
      <c r="I26" s="1404"/>
      <c r="J26" s="1431"/>
      <c r="K26" s="3235"/>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f ca="1">E30+SUM(I33:I39)</f>
        <v>4445</v>
      </c>
      <c r="D27" s="1433"/>
      <c r="E27" s="1434"/>
      <c r="F27" s="1435"/>
      <c r="G27" s="1434"/>
      <c r="H27" s="1434"/>
      <c r="I27" s="1434"/>
      <c r="J27" s="1436"/>
      <c r="K27" s="3235"/>
      <c r="L27" s="1408" t="s">
        <v>978</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5"/>
      <c r="L28" s="1409" t="s">
        <v>964</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6">
        <f ca="1">ROUND(C5*C18*C19*C20*C21*C24,0)</f>
        <v>36942</v>
      </c>
      <c r="D29" s="1443">
        <f>'数据-汇总表'!F27</f>
        <v>69060</v>
      </c>
      <c r="E29" s="1763">
        <f ca="1">ROUND(C29*D29/10000,0)</f>
        <v>255121</v>
      </c>
      <c r="F29" s="1444" t="s">
        <v>1692</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8">
        <f ca="1">ROUND(IF(E2="工业",C29*M39,C29*M38),0)</f>
        <v>9236</v>
      </c>
      <c r="D30" s="1449"/>
      <c r="E30" s="1763">
        <f ca="1">ROUND(C30*D30/10000,0)</f>
        <v>0</v>
      </c>
      <c r="F30" s="1450" t="s">
        <v>986</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21"/>
      <c r="B33" s="1463" t="s">
        <v>990</v>
      </c>
      <c r="C33" s="1046">
        <f ca="1">ROUND(D5*C19*C20*C24*F33,0)</f>
        <v>11827</v>
      </c>
      <c r="D33" s="1476"/>
      <c r="E33" s="1035">
        <f ca="1">ROUND(C33*D33/10000,0)</f>
        <v>0</v>
      </c>
      <c r="F33" s="1035">
        <f>SUMIF(修正!A45:A56,G2,修正!B45:B56)</f>
        <v>0.7</v>
      </c>
      <c r="G33" s="1035">
        <f t="shared" ref="G33" ca="1" si="6">ROUND(IF(E2="工业",C33*$M$39,C33*$M$38),0)</f>
        <v>2957</v>
      </c>
      <c r="H33" s="1035">
        <f>D33</f>
        <v>0</v>
      </c>
      <c r="I33" s="1035">
        <f ca="1">ROUND(G33*H33/10000,0)</f>
        <v>0</v>
      </c>
      <c r="J33" s="3521" t="s">
        <v>2994</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22"/>
      <c r="B34" s="1393" t="s">
        <v>991</v>
      </c>
      <c r="C34" s="1046">
        <f ca="1">ROUND(D5*C19*C20*C24*F34,0)</f>
        <v>6758</v>
      </c>
      <c r="D34" s="1476"/>
      <c r="E34" s="1035">
        <f t="shared" ref="E34:E39" ca="1" si="7">ROUND(C34*D34/10000,0)</f>
        <v>0</v>
      </c>
      <c r="F34" s="1035">
        <f>SUMIF(修正!A45:A56,G2,修正!C45:C56)</f>
        <v>0.4</v>
      </c>
      <c r="G34" s="1035">
        <f ca="1">ROUND(IF(E2="工业",C34*$M$39,C34*$M$38),0)</f>
        <v>1690</v>
      </c>
      <c r="H34" s="1035">
        <f t="shared" ref="H34:H39" si="8">D34</f>
        <v>0</v>
      </c>
      <c r="I34" s="1035">
        <f t="shared" ref="I34:I39" ca="1" si="9">ROUND(G34*H34/10000,0)</f>
        <v>0</v>
      </c>
      <c r="J34" s="3522"/>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22"/>
      <c r="B35" s="1393" t="s">
        <v>992</v>
      </c>
      <c r="C35" s="1046">
        <f ca="1">ROUND(D5*C19*C20*C24*F35,0)</f>
        <v>4731</v>
      </c>
      <c r="D35" s="1476"/>
      <c r="E35" s="1035">
        <f t="shared" ca="1" si="7"/>
        <v>0</v>
      </c>
      <c r="F35" s="1035">
        <f>SUMIF(修正!A45:A56,G2,修正!D45:D56)</f>
        <v>0.28000000000000003</v>
      </c>
      <c r="G35" s="1035">
        <f ca="1">ROUND(IF(E2="工业",C35*$M$39,C35*$M$38),0)</f>
        <v>1183</v>
      </c>
      <c r="H35" s="1035">
        <f t="shared" si="8"/>
        <v>0</v>
      </c>
      <c r="I35" s="1035">
        <f t="shared" ca="1" si="9"/>
        <v>0</v>
      </c>
      <c r="J35" s="3522"/>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23"/>
      <c r="B36" s="1393" t="s">
        <v>993</v>
      </c>
      <c r="C36" s="1046">
        <f ca="1">ROUND(D5*C19*C20*C24*F36,0)</f>
        <v>4224</v>
      </c>
      <c r="D36" s="1476"/>
      <c r="E36" s="1035">
        <f t="shared" ca="1" si="7"/>
        <v>0</v>
      </c>
      <c r="F36" s="1035">
        <f>SUMIF(修正!A45:A56,G2,修正!E45:E56)</f>
        <v>0.25</v>
      </c>
      <c r="G36" s="1035">
        <f ca="1">ROUND(IF(E2="工业",C36*$M$39,C36*$M$38),0)</f>
        <v>1056</v>
      </c>
      <c r="H36" s="1035">
        <f t="shared" si="8"/>
        <v>0</v>
      </c>
      <c r="I36" s="1035">
        <f t="shared" ca="1" si="9"/>
        <v>0</v>
      </c>
      <c r="J36" s="3523"/>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f ca="1">ROUND(D5*C19*C20*C24*F37,0)</f>
        <v>4224</v>
      </c>
      <c r="D37" s="1476"/>
      <c r="E37" s="1035">
        <f t="shared" ca="1" si="7"/>
        <v>0</v>
      </c>
      <c r="F37" s="1046">
        <f>SUMIF(修正!A45:A56,G2,修正!F45:F56)</f>
        <v>0.25</v>
      </c>
      <c r="G37" s="1035">
        <f ca="1">ROUND(IF(E2="工业",C37*$M$39,C37*$M$38),0)</f>
        <v>1056</v>
      </c>
      <c r="H37" s="1035">
        <f t="shared" si="8"/>
        <v>0</v>
      </c>
      <c r="I37" s="1035">
        <f t="shared" ca="1" si="9"/>
        <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f ca="1">ROUND(D5*C19*C41*C24*F38,0)</f>
        <v>3580</v>
      </c>
      <c r="D38" s="1476">
        <f>'数据-汇总表'!G21</f>
        <v>34717</v>
      </c>
      <c r="E38" s="1035">
        <f t="shared" ca="1" si="7"/>
        <v>12429</v>
      </c>
      <c r="F38" s="1046">
        <f>SUMIF(修正!A45:A56,G2,修正!G45:G56)</f>
        <v>0.25</v>
      </c>
      <c r="G38" s="1035">
        <f ca="1">ROUND(IF(E2="工业",C38*$M$39,C38*$M$38),0)</f>
        <v>895</v>
      </c>
      <c r="H38" s="1035">
        <f t="shared" si="8"/>
        <v>34717</v>
      </c>
      <c r="I38" s="1035">
        <f t="shared" ca="1" si="9"/>
        <v>3107</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f ca="1">ROUND(D5*C19*C41*C24*F39,0)</f>
        <v>2864</v>
      </c>
      <c r="D39" s="1477">
        <f>'数据-汇总表'!G22</f>
        <v>18688</v>
      </c>
      <c r="E39" s="1038">
        <f t="shared" ca="1" si="7"/>
        <v>5352</v>
      </c>
      <c r="F39" s="1048">
        <f>SUMIF(修正!A45:A56,G2,修正!H45:H56)</f>
        <v>0.2</v>
      </c>
      <c r="G39" s="1038">
        <f ca="1">ROUND(IF(E2="工业",C39*$M$39,C39*$M$38),0)</f>
        <v>716</v>
      </c>
      <c r="H39" s="1038">
        <f t="shared" si="8"/>
        <v>18688</v>
      </c>
      <c r="I39" s="1038">
        <f t="shared" ca="1" si="9"/>
        <v>1338</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f ca="1">(D29-土地案例!F35)*C29/10000+E38+E39</f>
        <v>61318.181375999993</v>
      </c>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2949</v>
      </c>
      <c r="C41" s="828">
        <f ca="1">ROUND(POWER(1+E41,H41-G41)*(POWER(1+E41,G41)-1)/(POWER(1+E41,H41)-1),4)</f>
        <v>0.77149999999999996</v>
      </c>
      <c r="D41" s="372" t="s">
        <v>2947</v>
      </c>
      <c r="E41" s="2832">
        <f ca="1">G20</f>
        <v>4.3999999999999997E-2</v>
      </c>
      <c r="F41" s="372" t="s">
        <v>2948</v>
      </c>
      <c r="G41" s="390">
        <f>'数据-取费表'!F8</f>
        <v>26.6</v>
      </c>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5" t="s">
        <v>2906</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4" t="s">
        <v>2904</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1.0256000000000001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50" t="s">
        <v>1023</v>
      </c>
      <c r="B69" s="2266" t="str">
        <f>估价对象房地状况!C15</f>
        <v>估价对象周边居住用地比例、居住小区规模和社区发展完善程度，综合评价居住社区成熟度一般</v>
      </c>
      <c r="C69" s="1142" t="s">
        <v>3257</v>
      </c>
      <c r="D69" s="2272">
        <f t="shared" ref="D69:D77" si="20">SUMIF($J$68:$N$68,C69,J69:N69)</f>
        <v>0</v>
      </c>
      <c r="E69" s="2291">
        <f>ROUND(SUM(D69:D77),4)</f>
        <v>2.5600000000000001E-2</v>
      </c>
      <c r="F69" s="2292">
        <f>IF(E2="住宅",SUMIF(L1:L12,G2,N1:N12),"——")</f>
        <v>9.7000000000000003E-2</v>
      </c>
      <c r="G69" s="2273">
        <v>6.7000000000000002E-3</v>
      </c>
      <c r="H69" s="2316">
        <f t="shared" ref="H69:H77" si="21">IFERROR(ROUNDDOWN($F$69*I69/2,4),"——")</f>
        <v>6.7000000000000002E-3</v>
      </c>
      <c r="I69" s="2290">
        <v>0.14000000000000001</v>
      </c>
      <c r="J69" s="2293">
        <f t="shared" ref="J69:J77" si="22">K69+$G69</f>
        <v>1.34E-2</v>
      </c>
      <c r="K69" s="2293">
        <f t="shared" ref="K69:K77" si="23">$L69+$G69</f>
        <v>6.7000000000000002E-3</v>
      </c>
      <c r="L69" s="2293">
        <v>0</v>
      </c>
      <c r="M69" s="2293">
        <f t="shared" ref="M69:N77" si="24">L69-$G69</f>
        <v>-6.7000000000000002E-3</v>
      </c>
      <c r="N69" s="2293">
        <f t="shared" si="24"/>
        <v>-1.34E-2</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50" t="s">
        <v>1024</v>
      </c>
      <c r="B70" s="2263" t="str">
        <f>估价对象房地状况!C18</f>
        <v>估价对象周边道路状况、公共交通通达情况、停车便捷程度，综合评价交通便捷度较好</v>
      </c>
      <c r="C70" s="1142" t="s">
        <v>3258</v>
      </c>
      <c r="D70" s="2272">
        <f t="shared" si="20"/>
        <v>1.4500000000000001E-2</v>
      </c>
      <c r="E70" s="2300"/>
      <c r="F70" s="2301"/>
      <c r="G70" s="2273">
        <v>1.4500000000000001E-2</v>
      </c>
      <c r="H70" s="2316">
        <f t="shared" si="21"/>
        <v>1.4500000000000001E-2</v>
      </c>
      <c r="I70" s="2290">
        <v>0.3</v>
      </c>
      <c r="J70" s="2293">
        <f t="shared" si="22"/>
        <v>2.9000000000000001E-2</v>
      </c>
      <c r="K70" s="2293">
        <f t="shared" si="23"/>
        <v>1.4500000000000001E-2</v>
      </c>
      <c r="L70" s="2293">
        <v>0</v>
      </c>
      <c r="M70" s="2293">
        <f t="shared" si="24"/>
        <v>-1.4500000000000001E-2</v>
      </c>
      <c r="N70" s="2293">
        <f t="shared" si="24"/>
        <v>-2.9000000000000001E-2</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t="s">
        <v>3257</v>
      </c>
      <c r="D71" s="2272">
        <f t="shared" si="20"/>
        <v>0</v>
      </c>
      <c r="E71" s="2300"/>
      <c r="F71" s="2301"/>
      <c r="G71" s="2273">
        <v>3.8E-3</v>
      </c>
      <c r="H71" s="2316">
        <f t="shared" si="21"/>
        <v>3.8E-3</v>
      </c>
      <c r="I71" s="2290">
        <v>0.08</v>
      </c>
      <c r="J71" s="2293">
        <f t="shared" si="22"/>
        <v>7.6E-3</v>
      </c>
      <c r="K71" s="2293">
        <f t="shared" si="23"/>
        <v>3.8E-3</v>
      </c>
      <c r="L71" s="2293">
        <v>0</v>
      </c>
      <c r="M71" s="2293">
        <f t="shared" si="24"/>
        <v>-3.8E-3</v>
      </c>
      <c r="N71" s="2293">
        <f t="shared" si="24"/>
        <v>-7.6E-3</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t="s">
        <v>3257</v>
      </c>
      <c r="D72" s="2272">
        <f t="shared" si="20"/>
        <v>0</v>
      </c>
      <c r="E72" s="2300"/>
      <c r="F72" s="2301"/>
      <c r="G72" s="2273">
        <v>1.9E-3</v>
      </c>
      <c r="H72" s="2316">
        <f t="shared" si="21"/>
        <v>1.9E-3</v>
      </c>
      <c r="I72" s="2290">
        <v>0.04</v>
      </c>
      <c r="J72" s="2293">
        <f t="shared" si="22"/>
        <v>3.8E-3</v>
      </c>
      <c r="K72" s="2293">
        <f t="shared" si="23"/>
        <v>1.9E-3</v>
      </c>
      <c r="L72" s="2293">
        <v>0</v>
      </c>
      <c r="M72" s="2293">
        <f t="shared" si="24"/>
        <v>-1.9E-3</v>
      </c>
      <c r="N72" s="2293">
        <f t="shared" si="24"/>
        <v>-3.8E-3</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估价对象所在区域公共配套设施齐备情况</v>
      </c>
      <c r="C73" s="1142" t="s">
        <v>3258</v>
      </c>
      <c r="D73" s="2272">
        <f t="shared" si="20"/>
        <v>3.8E-3</v>
      </c>
      <c r="E73" s="2300"/>
      <c r="F73" s="2301"/>
      <c r="G73" s="2273">
        <v>3.8E-3</v>
      </c>
      <c r="H73" s="2316">
        <f t="shared" si="21"/>
        <v>3.8E-3</v>
      </c>
      <c r="I73" s="2290">
        <v>0.08</v>
      </c>
      <c r="J73" s="2293">
        <f t="shared" si="22"/>
        <v>7.6E-3</v>
      </c>
      <c r="K73" s="2293">
        <f t="shared" si="23"/>
        <v>3.8E-3</v>
      </c>
      <c r="L73" s="2293">
        <v>0</v>
      </c>
      <c r="M73" s="2293">
        <f t="shared" si="24"/>
        <v>-3.8E-3</v>
      </c>
      <c r="N73" s="2293">
        <f t="shared" si="24"/>
        <v>-7.6E-3</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估价对象所在区域基础设施水平</v>
      </c>
      <c r="C74" s="1142" t="s">
        <v>3259</v>
      </c>
      <c r="D74" s="2272">
        <f t="shared" si="20"/>
        <v>1.1599999999999999E-2</v>
      </c>
      <c r="E74" s="2300"/>
      <c r="F74" s="2301"/>
      <c r="G74" s="2273">
        <v>5.7999999999999996E-3</v>
      </c>
      <c r="H74" s="2316">
        <f t="shared" si="21"/>
        <v>5.7999999999999996E-3</v>
      </c>
      <c r="I74" s="2290">
        <v>0.12</v>
      </c>
      <c r="J74" s="2293">
        <f t="shared" si="22"/>
        <v>1.1599999999999999E-2</v>
      </c>
      <c r="K74" s="2293">
        <f t="shared" si="23"/>
        <v>5.7999999999999996E-3</v>
      </c>
      <c r="L74" s="2293">
        <v>0</v>
      </c>
      <c r="M74" s="2293">
        <f t="shared" si="24"/>
        <v>-5.7999999999999996E-3</v>
      </c>
      <c r="N74" s="2293">
        <f t="shared" si="24"/>
        <v>-1.1599999999999999E-2</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4" t="s">
        <v>2904</v>
      </c>
      <c r="C75" s="1142" t="s">
        <v>3260</v>
      </c>
      <c r="D75" s="2272">
        <f t="shared" si="20"/>
        <v>-2.3999999999999998E-3</v>
      </c>
      <c r="E75" s="2300"/>
      <c r="F75" s="2301"/>
      <c r="G75" s="2273">
        <v>2.3999999999999998E-3</v>
      </c>
      <c r="H75" s="2316">
        <f t="shared" si="21"/>
        <v>2.3999999999999998E-3</v>
      </c>
      <c r="I75" s="2290">
        <v>0.05</v>
      </c>
      <c r="J75" s="2293">
        <f t="shared" si="22"/>
        <v>4.7999999999999996E-3</v>
      </c>
      <c r="K75" s="2293">
        <f t="shared" si="23"/>
        <v>2.3999999999999998E-3</v>
      </c>
      <c r="L75" s="2293">
        <v>0</v>
      </c>
      <c r="M75" s="2293">
        <f t="shared" si="24"/>
        <v>-2.3999999999999998E-3</v>
      </c>
      <c r="N75" s="2293">
        <f t="shared" si="24"/>
        <v>-4.7999999999999996E-3</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区域自然环境：；人文环境；综合评价环境状况一般</v>
      </c>
      <c r="C76" s="1142" t="s">
        <v>3257</v>
      </c>
      <c r="D76" s="2272">
        <f t="shared" si="20"/>
        <v>0</v>
      </c>
      <c r="E76" s="2300"/>
      <c r="F76" s="2301"/>
      <c r="G76" s="2273">
        <v>7.1999999999999998E-3</v>
      </c>
      <c r="H76" s="2316">
        <f t="shared" si="21"/>
        <v>7.1999999999999998E-3</v>
      </c>
      <c r="I76" s="2290">
        <v>0.15</v>
      </c>
      <c r="J76" s="2293">
        <f t="shared" si="22"/>
        <v>1.44E-2</v>
      </c>
      <c r="K76" s="2293">
        <f t="shared" si="23"/>
        <v>7.1999999999999998E-3</v>
      </c>
      <c r="L76" s="2293">
        <v>0</v>
      </c>
      <c r="M76" s="2293">
        <f t="shared" si="24"/>
        <v>-7.1999999999999998E-3</v>
      </c>
      <c r="N76" s="2293">
        <f t="shared" si="24"/>
        <v>-1.44E-2</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t="s">
        <v>3260</v>
      </c>
      <c r="D77" s="2272">
        <f t="shared" si="20"/>
        <v>-1.9E-3</v>
      </c>
      <c r="E77" s="2302"/>
      <c r="F77" s="2301"/>
      <c r="G77" s="2273">
        <v>1.9E-3</v>
      </c>
      <c r="H77" s="2316">
        <f t="shared" si="21"/>
        <v>1.9E-3</v>
      </c>
      <c r="I77" s="2297">
        <v>0.04</v>
      </c>
      <c r="J77" s="2293">
        <f t="shared" si="22"/>
        <v>3.8E-3</v>
      </c>
      <c r="K77" s="2293">
        <f t="shared" si="23"/>
        <v>1.9E-3</v>
      </c>
      <c r="L77" s="2293">
        <v>0</v>
      </c>
      <c r="M77" s="2293">
        <f t="shared" si="24"/>
        <v>-1.9E-3</v>
      </c>
      <c r="N77" s="2293">
        <f t="shared" si="24"/>
        <v>-3.8E-3</v>
      </c>
      <c r="AC77" s="1353"/>
      <c r="AD77" s="1352"/>
      <c r="AJ77" s="1351"/>
      <c r="AN77" s="1352"/>
    </row>
    <row r="78" spans="1:40" ht="15">
      <c r="A78" s="2279" t="s">
        <v>1027</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0" t="s">
        <v>1624</v>
      </c>
      <c r="B90" s="3530"/>
      <c r="C90" s="3530"/>
      <c r="D90" s="3530"/>
      <c r="E90" s="3530"/>
      <c r="F90" s="3530"/>
      <c r="G90" s="3530"/>
      <c r="H90" s="3530"/>
      <c r="I90" s="3530"/>
      <c r="J90" s="3530"/>
      <c r="K90" s="2305"/>
      <c r="L90" s="2305"/>
      <c r="M90" s="2305"/>
      <c r="N90" s="2305"/>
    </row>
    <row r="91" spans="1:40">
      <c r="A91" s="3531" t="s">
        <v>1434</v>
      </c>
      <c r="B91" s="3531" t="s">
        <v>1625</v>
      </c>
      <c r="C91" s="1123" t="s">
        <v>1626</v>
      </c>
      <c r="D91" s="1124"/>
      <c r="E91" s="1124"/>
      <c r="F91" s="1124"/>
      <c r="G91" s="1124"/>
      <c r="H91" s="1124"/>
      <c r="I91" s="1124"/>
      <c r="J91" s="1125"/>
      <c r="K91" s="1117"/>
      <c r="L91" s="1117"/>
      <c r="M91" s="1117"/>
      <c r="N91" s="1117"/>
    </row>
    <row r="92" spans="1:40">
      <c r="A92" s="3531"/>
      <c r="B92" s="3531"/>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14"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1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1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1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1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1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15"/>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1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14" t="s">
        <v>1628</v>
      </c>
      <c r="B101" s="1130" t="s">
        <v>897</v>
      </c>
      <c r="C101" s="1131">
        <f>$G$3</f>
        <v>0.56999999999999995</v>
      </c>
      <c r="D101" s="1131">
        <f t="shared" ref="D101:N101" si="31">$G$3</f>
        <v>0.56999999999999995</v>
      </c>
      <c r="E101" s="1131">
        <f t="shared" si="31"/>
        <v>0.56999999999999995</v>
      </c>
      <c r="F101" s="1131">
        <f t="shared" si="31"/>
        <v>0.56999999999999995</v>
      </c>
      <c r="G101" s="1131">
        <f t="shared" si="31"/>
        <v>0.56999999999999995</v>
      </c>
      <c r="H101" s="1131">
        <f t="shared" si="31"/>
        <v>0.56999999999999995</v>
      </c>
      <c r="I101" s="1131">
        <f t="shared" si="31"/>
        <v>0.56999999999999995</v>
      </c>
      <c r="J101" s="1131">
        <f t="shared" si="31"/>
        <v>0.56999999999999995</v>
      </c>
      <c r="K101" s="1131">
        <f t="shared" si="31"/>
        <v>0.56999999999999995</v>
      </c>
      <c r="L101" s="1131">
        <f t="shared" si="31"/>
        <v>0.56999999999999995</v>
      </c>
      <c r="M101" s="1131">
        <f t="shared" si="31"/>
        <v>0.56999999999999995</v>
      </c>
      <c r="N101" s="1131">
        <f t="shared" si="31"/>
        <v>0.56999999999999995</v>
      </c>
    </row>
    <row r="102" spans="1:14">
      <c r="A102" s="3515"/>
      <c r="B102" s="1126">
        <v>1</v>
      </c>
      <c r="C102" s="1127">
        <f>1.9362/C101</f>
        <v>3.3968421052631581</v>
      </c>
      <c r="D102" s="1127">
        <f>1.9362/D101</f>
        <v>3.3968421052631581</v>
      </c>
      <c r="E102" s="1127">
        <f>1.8629/E101</f>
        <v>3.268245614035088</v>
      </c>
      <c r="F102" s="1127">
        <f>1.8629/F101</f>
        <v>3.268245614035088</v>
      </c>
      <c r="G102" s="1127">
        <f>1.8629/G101</f>
        <v>3.268245614035088</v>
      </c>
      <c r="H102" s="1127">
        <f>1.8629/H101</f>
        <v>3.268245614035088</v>
      </c>
      <c r="I102" s="1127">
        <f>1.8629/I101</f>
        <v>3.268245614035088</v>
      </c>
      <c r="J102" s="1127">
        <f>1.942/J101</f>
        <v>3.4070175438596495</v>
      </c>
      <c r="K102" s="1127">
        <f>1.942/K101</f>
        <v>3.4070175438596495</v>
      </c>
      <c r="L102" s="1127">
        <f>1.942/L101</f>
        <v>3.4070175438596495</v>
      </c>
      <c r="M102" s="1127">
        <f>1.942/M101</f>
        <v>3.4070175438596495</v>
      </c>
      <c r="N102" s="1127">
        <f>1.942/N101</f>
        <v>3.4070175438596495</v>
      </c>
    </row>
    <row r="103" spans="1:14">
      <c r="A103" s="3515"/>
      <c r="B103" s="1126">
        <v>2</v>
      </c>
      <c r="C103" s="1127">
        <f>1.4198/C101</f>
        <v>2.4908771929824565</v>
      </c>
      <c r="D103" s="1127">
        <f>1.4198/D101</f>
        <v>2.4908771929824565</v>
      </c>
      <c r="E103" s="1127">
        <f>1.3372/E101</f>
        <v>2.345964912280702</v>
      </c>
      <c r="F103" s="1127">
        <f>1.3372/F101</f>
        <v>2.345964912280702</v>
      </c>
      <c r="G103" s="1127">
        <f>1.3372/G101</f>
        <v>2.345964912280702</v>
      </c>
      <c r="H103" s="1127">
        <f>1.3372/H101</f>
        <v>2.345964912280702</v>
      </c>
      <c r="I103" s="1127">
        <f>1.3372/I101</f>
        <v>2.345964912280702</v>
      </c>
      <c r="J103" s="1127">
        <f>1.2799/J101</f>
        <v>2.2454385964912285</v>
      </c>
      <c r="K103" s="1127">
        <f>1.2799/K101</f>
        <v>2.2454385964912285</v>
      </c>
      <c r="L103" s="1127">
        <f>1.2799/L101</f>
        <v>2.2454385964912285</v>
      </c>
      <c r="M103" s="1127">
        <f>1.2799/M101</f>
        <v>2.2454385964912285</v>
      </c>
      <c r="N103" s="1127">
        <f>1.2799/N101</f>
        <v>2.2454385964912285</v>
      </c>
    </row>
    <row r="104" spans="1:14">
      <c r="A104" s="3515"/>
      <c r="B104" s="1126">
        <v>3</v>
      </c>
      <c r="C104" s="1127">
        <f>1.1594/C101</f>
        <v>2.0340350877192983</v>
      </c>
      <c r="D104" s="1127">
        <f>1.1594/D101</f>
        <v>2.0340350877192983</v>
      </c>
      <c r="E104" s="1127">
        <f>1.0788/E101</f>
        <v>1.8926315789473684</v>
      </c>
      <c r="F104" s="1127">
        <f>1.0788/F101</f>
        <v>1.8926315789473684</v>
      </c>
      <c r="G104" s="1127">
        <f>1.0788/G101</f>
        <v>1.8926315789473684</v>
      </c>
      <c r="H104" s="1127">
        <f>1.0788/H101</f>
        <v>1.8926315789473684</v>
      </c>
      <c r="I104" s="1127">
        <f>1.0788/I101</f>
        <v>1.8926315789473684</v>
      </c>
      <c r="J104" s="1127">
        <f>1.0072/J101</f>
        <v>1.7670175438596494</v>
      </c>
      <c r="K104" s="1127">
        <f>1.0072/K101</f>
        <v>1.7670175438596494</v>
      </c>
      <c r="L104" s="1127">
        <f>1.0072/L101</f>
        <v>1.7670175438596494</v>
      </c>
      <c r="M104" s="1127">
        <f>1.0072/M101</f>
        <v>1.7670175438596494</v>
      </c>
      <c r="N104" s="1127">
        <f>1.0072/N101</f>
        <v>1.7670175438596494</v>
      </c>
    </row>
    <row r="105" spans="1:14">
      <c r="A105" s="3515"/>
      <c r="B105" s="1126">
        <v>4</v>
      </c>
      <c r="C105" s="1127">
        <f>0.9622/C101</f>
        <v>1.6880701754385967</v>
      </c>
      <c r="D105" s="1127">
        <f>0.9622/D101</f>
        <v>1.6880701754385967</v>
      </c>
      <c r="E105" s="1127">
        <f>0.8656/E101</f>
        <v>1.5185964912280703</v>
      </c>
      <c r="F105" s="1127">
        <f>0.8656/F101</f>
        <v>1.5185964912280703</v>
      </c>
      <c r="G105" s="1127">
        <f>0.8656/G101</f>
        <v>1.5185964912280703</v>
      </c>
      <c r="H105" s="1127">
        <f>0.8656/H101</f>
        <v>1.5185964912280703</v>
      </c>
      <c r="I105" s="1127">
        <f>0.8656/I101</f>
        <v>1.5185964912280703</v>
      </c>
      <c r="J105" s="1127">
        <f>0.7525/J101</f>
        <v>1.3201754385964912</v>
      </c>
      <c r="K105" s="1127">
        <f>0.7525/K101</f>
        <v>1.3201754385964912</v>
      </c>
      <c r="L105" s="1127">
        <f>0.7525/L101</f>
        <v>1.3201754385964912</v>
      </c>
      <c r="M105" s="1127">
        <f>0.7525/M101</f>
        <v>1.3201754385964912</v>
      </c>
      <c r="N105" s="1127">
        <f>0.7525/N101</f>
        <v>1.3201754385964912</v>
      </c>
    </row>
    <row r="106" spans="1:14">
      <c r="A106" s="3515"/>
      <c r="B106" s="1126">
        <v>5</v>
      </c>
      <c r="C106" s="1127">
        <f>0.8417/C101</f>
        <v>1.4766666666666668</v>
      </c>
      <c r="D106" s="1127">
        <f>0.8417/D101</f>
        <v>1.4766666666666668</v>
      </c>
      <c r="E106" s="1127">
        <f>0.7371/E101</f>
        <v>1.2931578947368423</v>
      </c>
      <c r="F106" s="1127">
        <f>0.7371/F101</f>
        <v>1.2931578947368423</v>
      </c>
      <c r="G106" s="1127">
        <f>0.7371/G101</f>
        <v>1.2931578947368423</v>
      </c>
      <c r="H106" s="1127">
        <f>0.7371/H101</f>
        <v>1.2931578947368423</v>
      </c>
      <c r="I106" s="1127">
        <f>0.7371/I101</f>
        <v>1.2931578947368423</v>
      </c>
      <c r="J106" s="1127">
        <f>0.5659/J101</f>
        <v>0.99280701754385969</v>
      </c>
      <c r="K106" s="1127">
        <f>0.5659/K101</f>
        <v>0.99280701754385969</v>
      </c>
      <c r="L106" s="1127">
        <f>0.5659/L101</f>
        <v>0.99280701754385969</v>
      </c>
      <c r="M106" s="1127">
        <f>0.5659/M101</f>
        <v>0.99280701754385969</v>
      </c>
      <c r="N106" s="1127">
        <f>0.5659/N101</f>
        <v>0.99280701754385969</v>
      </c>
    </row>
    <row r="107" spans="1:14">
      <c r="A107" s="3515"/>
      <c r="B107" s="1126">
        <v>6</v>
      </c>
      <c r="C107" s="1127">
        <f>0.7608/C101</f>
        <v>1.3347368421052632</v>
      </c>
      <c r="D107" s="1127">
        <f>0.7608/D101</f>
        <v>1.3347368421052632</v>
      </c>
      <c r="E107" s="1127">
        <f>0.6482/E101</f>
        <v>1.1371929824561404</v>
      </c>
      <c r="F107" s="1127">
        <f>0.6482/F101</f>
        <v>1.1371929824561404</v>
      </c>
      <c r="G107" s="1127">
        <f>0.6482/G101</f>
        <v>1.1371929824561404</v>
      </c>
      <c r="H107" s="1127">
        <f>0.6482/H101</f>
        <v>1.1371929824561404</v>
      </c>
      <c r="I107" s="1127">
        <f>0.6482/I101</f>
        <v>1.1371929824561404</v>
      </c>
      <c r="J107" s="1127">
        <f>0.4525/J101</f>
        <v>0.79385964912280715</v>
      </c>
      <c r="K107" s="1127">
        <f>0.4525/K101</f>
        <v>0.79385964912280715</v>
      </c>
      <c r="L107" s="1127">
        <f>0.4525/L101</f>
        <v>0.79385964912280715</v>
      </c>
      <c r="M107" s="1127">
        <f>0.4525/M101</f>
        <v>0.79385964912280715</v>
      </c>
      <c r="N107" s="1127">
        <f>0.4525/N101</f>
        <v>0.79385964912280715</v>
      </c>
    </row>
    <row r="108" spans="1:14">
      <c r="A108" s="3515"/>
      <c r="B108" s="3517"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16"/>
      <c r="B109" s="3518"/>
      <c r="C109" s="1129">
        <f>(-0.163*(C108^2)-0.59*C108+7617)*(10^(-4))/C101</f>
        <v>1.3336575438596492</v>
      </c>
      <c r="D109" s="1129">
        <f>(-0.163*(D108^2)-0.59*D108+7617)*(10^(-4))/D101</f>
        <v>1.3336575438596492</v>
      </c>
      <c r="E109" s="1129">
        <f>(-0.161*(E108^2)-7.509*E108+6533)*(10^(-4))/E101</f>
        <v>1.1337936842105265</v>
      </c>
      <c r="F109" s="1129">
        <f>(-0.161*(F108^2)-7.509*F108+6533)*(10^(-4))/F101</f>
        <v>1.1337936842105265</v>
      </c>
      <c r="G109" s="1129">
        <f>(-0.161*(G108^2)-7.509*G108+6533)*(10^(-4))/G101</f>
        <v>1.1337936842105265</v>
      </c>
      <c r="H109" s="1129">
        <f>(-0.161*(H108^2)-7.509*H108+6533)*(10^(-4))/H101</f>
        <v>1.1337936842105265</v>
      </c>
      <c r="I109" s="1129">
        <f>(-0.161*(I108^2)-7.509*I108+6533)*(10^(-4))/I101</f>
        <v>1.1337936842105265</v>
      </c>
      <c r="J109" s="1129">
        <f>(-0.214*(J108^2)-21.991*J108+4665)*(10^(-4))/J101</f>
        <v>0.78515368421052645</v>
      </c>
      <c r="K109" s="1129">
        <f>(-0.214*(K108^2)-21.991*K108+4665)*(10^(-4))/K101</f>
        <v>0.78515368421052645</v>
      </c>
      <c r="L109" s="1129">
        <f>(-0.214*(L108^2)-21.991*L108+4665)*(10^(-4))/L101</f>
        <v>0.78515368421052645</v>
      </c>
      <c r="M109" s="1129">
        <f>(-0.214*(M108^2)-21.991*M108+4665)*(10^(-4))/M101</f>
        <v>0.78515368421052645</v>
      </c>
      <c r="N109" s="1129">
        <f>(-0.214*(N108^2)-21.991*N108+4665)*(10^(-4))/N101</f>
        <v>0.78515368421052645</v>
      </c>
    </row>
    <row r="110" spans="1:14">
      <c r="A110" s="3524" t="s">
        <v>1630</v>
      </c>
      <c r="B110" s="3524"/>
      <c r="C110" s="3524"/>
      <c r="D110" s="3524"/>
      <c r="E110" s="3524"/>
      <c r="F110" s="3524"/>
      <c r="G110" s="3524"/>
      <c r="H110" s="3524"/>
      <c r="I110" s="3524"/>
      <c r="J110" s="3524"/>
      <c r="K110" s="2303"/>
      <c r="L110" s="2303"/>
      <c r="M110" s="2303"/>
      <c r="N110" s="2303"/>
    </row>
    <row r="112" spans="1:14" ht="12.75" thickBot="1"/>
    <row r="113" spans="1:13" ht="25.5" thickBot="1">
      <c r="A113" s="1003" t="s">
        <v>887</v>
      </c>
      <c r="B113" s="2306">
        <f>G3</f>
        <v>0.56999999999999995</v>
      </c>
      <c r="C113" s="1004" t="s">
        <v>888</v>
      </c>
      <c r="D113" s="1005">
        <f>SUMPRODUCT((A115:A118=F113)*(B114:M114=H113)*B115:M118)</f>
        <v>0.87019999999999997</v>
      </c>
      <c r="E113" s="1006" t="s">
        <v>889</v>
      </c>
      <c r="F113" s="1007" t="str">
        <f>E2</f>
        <v>住宅</v>
      </c>
      <c r="G113" s="1006" t="s">
        <v>890</v>
      </c>
      <c r="H113" s="1007" t="str">
        <f>G2</f>
        <v>五级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0.92810000000000004</v>
      </c>
      <c r="C115" s="1017">
        <f>B115</f>
        <v>0.92810000000000004</v>
      </c>
      <c r="D115" s="1017">
        <f>ROUND(0.8331-0.0109*B113,4)</f>
        <v>0.82689999999999997</v>
      </c>
      <c r="E115" s="1017">
        <f>D115</f>
        <v>0.82689999999999997</v>
      </c>
      <c r="F115" s="1017">
        <f>E115</f>
        <v>0.82689999999999997</v>
      </c>
      <c r="G115" s="1017">
        <f>F115</f>
        <v>0.82689999999999997</v>
      </c>
      <c r="H115" s="1017">
        <f>G115</f>
        <v>0.82689999999999997</v>
      </c>
      <c r="I115" s="1017">
        <f>ROUND(0.689-0.0155*B113,4)</f>
        <v>0.68020000000000003</v>
      </c>
      <c r="J115" s="1017">
        <f t="shared" ref="J115:M118" si="33">I115</f>
        <v>0.68020000000000003</v>
      </c>
      <c r="K115" s="1017">
        <f t="shared" si="33"/>
        <v>0.68020000000000003</v>
      </c>
      <c r="L115" s="1017">
        <f t="shared" si="33"/>
        <v>0.68020000000000003</v>
      </c>
      <c r="M115" s="1018">
        <f t="shared" si="33"/>
        <v>0.68020000000000003</v>
      </c>
    </row>
    <row r="116" spans="1:13" ht="12.75">
      <c r="A116" s="1016" t="s">
        <v>892</v>
      </c>
      <c r="B116" s="1017">
        <f>ROUND(0.949-0.012*B113,4)</f>
        <v>0.94220000000000004</v>
      </c>
      <c r="C116" s="1017">
        <f>B116</f>
        <v>0.94220000000000004</v>
      </c>
      <c r="D116" s="1017">
        <f>ROUND(0.8567-0.013*B113,4)</f>
        <v>0.84930000000000005</v>
      </c>
      <c r="E116" s="1017">
        <f t="shared" ref="E116:H117" si="34">D116</f>
        <v>0.84930000000000005</v>
      </c>
      <c r="F116" s="1017">
        <f t="shared" si="34"/>
        <v>0.84930000000000005</v>
      </c>
      <c r="G116" s="1017">
        <f t="shared" si="34"/>
        <v>0.84930000000000005</v>
      </c>
      <c r="H116" s="1017">
        <f t="shared" si="34"/>
        <v>0.84930000000000005</v>
      </c>
      <c r="I116" s="1017">
        <f>ROUND(0.7694-0.014*B113,4)</f>
        <v>0.76139999999999997</v>
      </c>
      <c r="J116" s="1017">
        <f t="shared" si="33"/>
        <v>0.76139999999999997</v>
      </c>
      <c r="K116" s="1017">
        <f t="shared" si="33"/>
        <v>0.76139999999999997</v>
      </c>
      <c r="L116" s="1017">
        <f t="shared" si="33"/>
        <v>0.76139999999999997</v>
      </c>
      <c r="M116" s="1018">
        <f t="shared" si="33"/>
        <v>0.76139999999999997</v>
      </c>
    </row>
    <row r="117" spans="1:13" ht="12.75">
      <c r="A117" s="1019" t="s">
        <v>893</v>
      </c>
      <c r="B117" s="1017">
        <f>ROUND(0.8808-0.006*B113,4)</f>
        <v>0.87739999999999996</v>
      </c>
      <c r="C117" s="1017">
        <f>B117</f>
        <v>0.87739999999999996</v>
      </c>
      <c r="D117" s="1017">
        <f>ROUND(0.8748-0.008*B113,4)</f>
        <v>0.87019999999999997</v>
      </c>
      <c r="E117" s="1017">
        <f t="shared" si="34"/>
        <v>0.87019999999999997</v>
      </c>
      <c r="F117" s="1017">
        <f t="shared" si="34"/>
        <v>0.87019999999999997</v>
      </c>
      <c r="G117" s="1017">
        <f t="shared" si="34"/>
        <v>0.87019999999999997</v>
      </c>
      <c r="H117" s="1017">
        <f t="shared" si="34"/>
        <v>0.87019999999999997</v>
      </c>
      <c r="I117" s="1017">
        <f>ROUND(0.7412-0.0095*B113,4)</f>
        <v>0.73580000000000001</v>
      </c>
      <c r="J117" s="1017">
        <f t="shared" si="33"/>
        <v>0.73580000000000001</v>
      </c>
      <c r="K117" s="1017">
        <f t="shared" si="33"/>
        <v>0.73580000000000001</v>
      </c>
      <c r="L117" s="1017">
        <f t="shared" si="33"/>
        <v>0.73580000000000001</v>
      </c>
      <c r="M117" s="1018">
        <f t="shared" si="33"/>
        <v>0.73580000000000001</v>
      </c>
    </row>
    <row r="118" spans="1:13" ht="13.5" thickBot="1">
      <c r="A118" s="1020" t="s">
        <v>894</v>
      </c>
      <c r="B118" s="1021">
        <f>ROUND(0.7275-0.01*B113,4)</f>
        <v>0.7218</v>
      </c>
      <c r="C118" s="1021">
        <f>B118</f>
        <v>0.7218</v>
      </c>
      <c r="D118" s="1021">
        <f>ROUND(0.7043-0.012*B113,4)</f>
        <v>0.69750000000000001</v>
      </c>
      <c r="E118" s="1021">
        <f>D118</f>
        <v>0.69750000000000001</v>
      </c>
      <c r="F118" s="1021">
        <f>E118</f>
        <v>0.69750000000000001</v>
      </c>
      <c r="G118" s="1021">
        <f>ROUND(0.6299-0.0122*B113,4)</f>
        <v>0.62290000000000001</v>
      </c>
      <c r="H118" s="1021">
        <f>G118</f>
        <v>0.62290000000000001</v>
      </c>
      <c r="I118" s="1021">
        <f>ROUND(0.5667-0.0136*B113,4)</f>
        <v>0.55889999999999995</v>
      </c>
      <c r="J118" s="1021">
        <f t="shared" si="33"/>
        <v>0.55889999999999995</v>
      </c>
      <c r="K118" s="1021">
        <f t="shared" si="33"/>
        <v>0.55889999999999995</v>
      </c>
      <c r="L118" s="1021">
        <f t="shared" si="33"/>
        <v>0.55889999999999995</v>
      </c>
      <c r="M118" s="1022">
        <f t="shared" si="33"/>
        <v>0.55889999999999995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29" customFormat="1" ht="19.5" customHeight="1">
      <c r="A18" s="3531" t="s">
        <v>998</v>
      </c>
      <c r="B18" s="1137" t="s">
        <v>1437</v>
      </c>
      <c r="C18" s="1114" t="s">
        <v>1438</v>
      </c>
      <c r="D18" s="1115"/>
      <c r="E18" s="1137">
        <v>1</v>
      </c>
      <c r="F18" s="1116" t="s">
        <v>1439</v>
      </c>
      <c r="G18" s="1117"/>
      <c r="H18" s="1088"/>
      <c r="I18" s="1088"/>
    </row>
    <row r="19" spans="1:9" s="1529" customFormat="1" ht="19.5" customHeight="1">
      <c r="A19" s="3531"/>
      <c r="B19" s="3531" t="s">
        <v>1440</v>
      </c>
      <c r="C19" s="1114" t="s">
        <v>1441</v>
      </c>
      <c r="D19" s="1115"/>
      <c r="E19" s="1137">
        <v>0.9</v>
      </c>
      <c r="F19" s="1116" t="s">
        <v>1442</v>
      </c>
      <c r="G19" s="1117"/>
      <c r="H19" s="1088"/>
      <c r="I19" s="1088"/>
    </row>
    <row r="20" spans="1:9" s="1529" customFormat="1" ht="19.5" customHeight="1">
      <c r="A20" s="3531"/>
      <c r="B20" s="3531"/>
      <c r="C20" s="1114" t="s">
        <v>1443</v>
      </c>
      <c r="D20" s="1115"/>
      <c r="E20" s="1137">
        <v>1.1000000000000001</v>
      </c>
      <c r="F20" s="1116" t="s">
        <v>1444</v>
      </c>
      <c r="G20" s="1117"/>
      <c r="H20" s="1088"/>
      <c r="I20" s="1088"/>
    </row>
    <row r="21" spans="1:9" s="1529" customFormat="1" ht="19.5" customHeight="1">
      <c r="A21" s="3531"/>
      <c r="B21" s="3531"/>
      <c r="C21" s="1114" t="s">
        <v>1445</v>
      </c>
      <c r="D21" s="1115"/>
      <c r="E21" s="1137">
        <v>0.8</v>
      </c>
      <c r="F21" s="1116" t="s">
        <v>1446</v>
      </c>
      <c r="G21" s="1117"/>
      <c r="H21" s="1088"/>
      <c r="I21" s="1088"/>
    </row>
    <row r="22" spans="1:9" s="1529" customFormat="1" ht="19.5" customHeight="1">
      <c r="A22" s="3531"/>
      <c r="B22" s="3531"/>
      <c r="C22" s="1114" t="s">
        <v>1447</v>
      </c>
      <c r="D22" s="1115"/>
      <c r="E22" s="1137">
        <v>0.5</v>
      </c>
      <c r="F22" s="1116"/>
      <c r="G22" s="1117"/>
      <c r="H22" s="1088"/>
      <c r="I22" s="1088"/>
    </row>
    <row r="23" spans="1:9" s="1529" customFormat="1" ht="19.5" customHeight="1">
      <c r="A23" s="3531" t="s">
        <v>1020</v>
      </c>
      <c r="B23" s="1137" t="s">
        <v>1437</v>
      </c>
      <c r="C23" s="1114" t="s">
        <v>1448</v>
      </c>
      <c r="D23" s="1115"/>
      <c r="E23" s="1137">
        <v>1</v>
      </c>
      <c r="F23" s="1116" t="s">
        <v>1449</v>
      </c>
      <c r="G23" s="1117"/>
      <c r="H23" s="1088"/>
      <c r="I23" s="1088"/>
    </row>
    <row r="24" spans="1:9" s="1529" customFormat="1" ht="19.5" customHeight="1">
      <c r="A24" s="3531"/>
      <c r="B24" s="3531" t="s">
        <v>1440</v>
      </c>
      <c r="C24" s="1114" t="s">
        <v>1450</v>
      </c>
      <c r="D24" s="1115"/>
      <c r="E24" s="1137">
        <v>0.5</v>
      </c>
      <c r="F24" s="1116"/>
      <c r="G24" s="1117"/>
      <c r="H24" s="1088"/>
      <c r="I24" s="1088"/>
    </row>
    <row r="25" spans="1:9" s="1529" customFormat="1" ht="19.5" customHeight="1">
      <c r="A25" s="3531"/>
      <c r="B25" s="3531"/>
      <c r="C25" s="1114" t="s">
        <v>1451</v>
      </c>
      <c r="D25" s="1115"/>
      <c r="E25" s="1137">
        <v>1.1000000000000001</v>
      </c>
      <c r="F25" s="1116"/>
      <c r="G25" s="1117"/>
      <c r="H25" s="1088"/>
      <c r="I25" s="1088"/>
    </row>
    <row r="26" spans="1:9" s="1529" customFormat="1" ht="19.5" customHeight="1">
      <c r="A26" s="3531"/>
      <c r="B26" s="3531"/>
      <c r="C26" s="1114" t="s">
        <v>1452</v>
      </c>
      <c r="D26" s="1115"/>
      <c r="E26" s="1137">
        <v>1.1000000000000001</v>
      </c>
      <c r="F26" s="1116"/>
      <c r="G26" s="1117"/>
      <c r="H26" s="1088"/>
      <c r="I26" s="1088"/>
    </row>
    <row r="27" spans="1:9" s="1529" customFormat="1" ht="19.5" customHeight="1">
      <c r="A27" s="3531"/>
      <c r="B27" s="3531"/>
      <c r="C27" s="1114" t="s">
        <v>1453</v>
      </c>
      <c r="D27" s="1115"/>
      <c r="E27" s="1137">
        <v>0.9</v>
      </c>
      <c r="F27" s="1116" t="s">
        <v>1454</v>
      </c>
      <c r="G27" s="1117"/>
      <c r="H27" s="1088"/>
      <c r="I27" s="1088"/>
    </row>
    <row r="28" spans="1:9" s="1529" customFormat="1" ht="19.5" customHeight="1">
      <c r="A28" s="3531"/>
      <c r="B28" s="3531"/>
      <c r="C28" s="1114" t="s">
        <v>1455</v>
      </c>
      <c r="D28" s="1115"/>
      <c r="E28" s="1137">
        <v>0.9</v>
      </c>
      <c r="F28" s="1116" t="s">
        <v>1456</v>
      </c>
      <c r="G28" s="1117"/>
      <c r="H28" s="1088"/>
      <c r="I28" s="1088"/>
    </row>
    <row r="29" spans="1:9" s="1529" customFormat="1" ht="19.5" customHeight="1">
      <c r="A29" s="3531"/>
      <c r="B29" s="3531"/>
      <c r="C29" s="1114" t="s">
        <v>1457</v>
      </c>
      <c r="D29" s="1115"/>
      <c r="E29" s="1137">
        <v>0.9</v>
      </c>
      <c r="F29" s="1116" t="s">
        <v>1458</v>
      </c>
      <c r="G29" s="1117"/>
      <c r="H29" s="1088"/>
      <c r="I29" s="1088"/>
    </row>
    <row r="30" spans="1:9" s="1529" customFormat="1" ht="19.5" customHeight="1">
      <c r="A30" s="3531"/>
      <c r="B30" s="3531"/>
      <c r="C30" s="1114" t="s">
        <v>1459</v>
      </c>
      <c r="D30" s="1115"/>
      <c r="E30" s="1137">
        <v>0.9</v>
      </c>
      <c r="F30" s="1116" t="s">
        <v>1460</v>
      </c>
      <c r="G30" s="1117"/>
      <c r="H30" s="1088"/>
      <c r="I30" s="1088"/>
    </row>
    <row r="31" spans="1:9" s="1529" customFormat="1" ht="19.5" customHeight="1">
      <c r="A31" s="3531"/>
      <c r="B31" s="3531"/>
      <c r="C31" s="1114" t="s">
        <v>1461</v>
      </c>
      <c r="D31" s="1115"/>
      <c r="E31" s="1137">
        <v>0.8</v>
      </c>
      <c r="F31" s="1116" t="s">
        <v>1462</v>
      </c>
      <c r="G31" s="1117"/>
      <c r="H31" s="1088"/>
      <c r="I31" s="1088"/>
    </row>
    <row r="32" spans="1:9" s="1529" customFormat="1" ht="19.5" customHeight="1">
      <c r="A32" s="3531"/>
      <c r="B32" s="3531"/>
      <c r="C32" s="1114" t="s">
        <v>1463</v>
      </c>
      <c r="D32" s="1115"/>
      <c r="E32" s="1137">
        <v>0.8</v>
      </c>
      <c r="F32" s="1116" t="s">
        <v>1464</v>
      </c>
      <c r="G32" s="1117"/>
      <c r="H32" s="1088"/>
      <c r="I32" s="1088"/>
    </row>
    <row r="33" spans="1:9" s="1529" customFormat="1" ht="19.5" customHeight="1">
      <c r="A33" s="3531" t="s">
        <v>1465</v>
      </c>
      <c r="B33" s="1137" t="s">
        <v>1437</v>
      </c>
      <c r="C33" s="1114" t="s">
        <v>1466</v>
      </c>
      <c r="D33" s="1115"/>
      <c r="E33" s="1137">
        <v>1</v>
      </c>
      <c r="F33" s="1116" t="s">
        <v>1467</v>
      </c>
      <c r="G33" s="1117"/>
      <c r="H33" s="1088"/>
      <c r="I33" s="1088"/>
    </row>
    <row r="34" spans="1:9" s="1529" customFormat="1" ht="19.5" customHeight="1">
      <c r="A34" s="3531"/>
      <c r="B34" s="1137" t="s">
        <v>1440</v>
      </c>
      <c r="C34" s="1114" t="s">
        <v>1468</v>
      </c>
      <c r="D34" s="1115"/>
      <c r="E34" s="1137">
        <v>1.5</v>
      </c>
      <c r="F34" s="1116" t="s">
        <v>1469</v>
      </c>
      <c r="G34" s="1117"/>
      <c r="H34" s="1088"/>
      <c r="I34" s="1088"/>
    </row>
    <row r="35" spans="1:9" s="1529" customFormat="1" ht="19.5" customHeight="1">
      <c r="A35" s="3531" t="s">
        <v>1423</v>
      </c>
      <c r="B35" s="1137" t="s">
        <v>1437</v>
      </c>
      <c r="C35" s="1114" t="s">
        <v>1470</v>
      </c>
      <c r="D35" s="1115"/>
      <c r="E35" s="1137">
        <v>1</v>
      </c>
      <c r="F35" s="1116" t="s">
        <v>1471</v>
      </c>
      <c r="G35" s="1117"/>
      <c r="H35" s="1088"/>
      <c r="I35" s="1088"/>
    </row>
    <row r="36" spans="1:9" s="1529" customFormat="1" ht="19.5" customHeight="1">
      <c r="A36" s="3531"/>
      <c r="B36" s="3531" t="s">
        <v>1440</v>
      </c>
      <c r="C36" s="1114" t="s">
        <v>1472</v>
      </c>
      <c r="D36" s="1115"/>
      <c r="E36" s="1137">
        <v>1</v>
      </c>
      <c r="F36" s="1116" t="s">
        <v>1473</v>
      </c>
      <c r="G36" s="1117"/>
      <c r="H36" s="1088"/>
      <c r="I36" s="1088"/>
    </row>
    <row r="37" spans="1:9" s="1529" customFormat="1" ht="19.5" customHeight="1">
      <c r="A37" s="3531"/>
      <c r="B37" s="3531"/>
      <c r="C37" s="1114" t="s">
        <v>1474</v>
      </c>
      <c r="D37" s="1115"/>
      <c r="E37" s="1137">
        <v>1.5</v>
      </c>
      <c r="F37" s="1116" t="s">
        <v>1475</v>
      </c>
      <c r="G37" s="1117"/>
      <c r="H37" s="1088"/>
      <c r="I37" s="1088"/>
    </row>
    <row r="38" spans="1:9" s="1529" customFormat="1" ht="19.5" customHeight="1">
      <c r="A38" s="3531"/>
      <c r="B38" s="3531"/>
      <c r="C38" s="1114" t="s">
        <v>1476</v>
      </c>
      <c r="D38" s="1115"/>
      <c r="E38" s="1137">
        <v>1</v>
      </c>
      <c r="F38" s="1116" t="s">
        <v>1477</v>
      </c>
      <c r="G38" s="1117"/>
      <c r="H38" s="1088"/>
      <c r="I38" s="1088"/>
    </row>
    <row r="39" spans="1:9" s="1529" customFormat="1" ht="19.5" customHeight="1">
      <c r="A39" s="3531"/>
      <c r="B39" s="3531"/>
      <c r="C39" s="1114" t="s">
        <v>1478</v>
      </c>
      <c r="D39" s="1115"/>
      <c r="E39" s="1137">
        <v>1</v>
      </c>
      <c r="F39" s="1116" t="s">
        <v>1479</v>
      </c>
      <c r="G39" s="1117"/>
      <c r="H39" s="1088"/>
      <c r="I39" s="1088"/>
    </row>
    <row r="40" spans="1:9" s="1529" customFormat="1" ht="19.5" customHeight="1">
      <c r="A40" s="1530" t="s">
        <v>1480</v>
      </c>
      <c r="B40" s="1530"/>
      <c r="C40" s="1530"/>
      <c r="D40" s="1530"/>
      <c r="E40" s="1530"/>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1" t="s">
        <v>1492</v>
      </c>
      <c r="C61" s="1051" t="s">
        <v>1493</v>
      </c>
      <c r="D61" s="1051" t="s">
        <v>1494</v>
      </c>
      <c r="E61" s="1122">
        <v>0.5</v>
      </c>
      <c r="F61" s="1137">
        <v>80</v>
      </c>
      <c r="H61" s="1088">
        <f>SUMIF(C59:C119,基准地价!C8,E59:E119)</f>
        <v>0</v>
      </c>
    </row>
    <row r="62" spans="1:8" s="1088" customFormat="1" ht="24">
      <c r="A62" s="1137">
        <v>2</v>
      </c>
      <c r="B62" s="3531"/>
      <c r="C62" s="1051" t="s">
        <v>1495</v>
      </c>
      <c r="D62" s="1051" t="s">
        <v>1496</v>
      </c>
      <c r="E62" s="1122">
        <v>0.5</v>
      </c>
      <c r="F62" s="1137">
        <v>80</v>
      </c>
    </row>
    <row r="63" spans="1:8" s="1088" customFormat="1" ht="36">
      <c r="A63" s="1137">
        <v>3</v>
      </c>
      <c r="B63" s="3531"/>
      <c r="C63" s="1051" t="s">
        <v>1497</v>
      </c>
      <c r="D63" s="1051" t="s">
        <v>1498</v>
      </c>
      <c r="E63" s="1122">
        <v>0.5</v>
      </c>
      <c r="F63" s="1137">
        <v>80</v>
      </c>
    </row>
    <row r="64" spans="1:8" s="1088" customFormat="1" ht="36">
      <c r="A64" s="1137">
        <v>4</v>
      </c>
      <c r="B64" s="3531"/>
      <c r="C64" s="1051" t="s">
        <v>1499</v>
      </c>
      <c r="D64" s="1051" t="s">
        <v>1500</v>
      </c>
      <c r="E64" s="1122">
        <v>0.4</v>
      </c>
      <c r="F64" s="1137">
        <v>60</v>
      </c>
    </row>
    <row r="65" spans="1:6" s="1088" customFormat="1" ht="36">
      <c r="A65" s="1137">
        <v>5</v>
      </c>
      <c r="B65" s="3531"/>
      <c r="C65" s="1051" t="s">
        <v>1501</v>
      </c>
      <c r="D65" s="1051" t="s">
        <v>1502</v>
      </c>
      <c r="E65" s="1122">
        <v>0.2</v>
      </c>
      <c r="F65" s="1137">
        <v>30</v>
      </c>
    </row>
    <row r="66" spans="1:6" s="1088" customFormat="1" ht="36">
      <c r="A66" s="1137">
        <v>6</v>
      </c>
      <c r="B66" s="3531"/>
      <c r="C66" s="1051" t="s">
        <v>1503</v>
      </c>
      <c r="D66" s="1051" t="s">
        <v>1504</v>
      </c>
      <c r="E66" s="1122">
        <v>0.3</v>
      </c>
      <c r="F66" s="1137">
        <v>50</v>
      </c>
    </row>
    <row r="67" spans="1:6" s="1088" customFormat="1" ht="36">
      <c r="A67" s="1137">
        <v>7</v>
      </c>
      <c r="B67" s="3531"/>
      <c r="C67" s="1051" t="s">
        <v>1505</v>
      </c>
      <c r="D67" s="1051" t="s">
        <v>1506</v>
      </c>
      <c r="E67" s="1122">
        <v>0.2</v>
      </c>
      <c r="F67" s="1137">
        <v>30</v>
      </c>
    </row>
    <row r="68" spans="1:6" s="1088" customFormat="1" ht="36">
      <c r="A68" s="1137">
        <v>8</v>
      </c>
      <c r="B68" s="3531"/>
      <c r="C68" s="1051" t="s">
        <v>1507</v>
      </c>
      <c r="D68" s="1051" t="s">
        <v>1508</v>
      </c>
      <c r="E68" s="1122">
        <v>0.2</v>
      </c>
      <c r="F68" s="1137">
        <v>30</v>
      </c>
    </row>
    <row r="69" spans="1:6" s="1088" customFormat="1" ht="36">
      <c r="A69" s="1137">
        <v>9</v>
      </c>
      <c r="B69" s="3531"/>
      <c r="C69" s="1051" t="s">
        <v>1509</v>
      </c>
      <c r="D69" s="1051" t="s">
        <v>1510</v>
      </c>
      <c r="E69" s="1122">
        <v>0.2</v>
      </c>
      <c r="F69" s="1137">
        <v>30</v>
      </c>
    </row>
    <row r="70" spans="1:6" s="1088" customFormat="1" ht="48">
      <c r="A70" s="1137">
        <v>10</v>
      </c>
      <c r="B70" s="3531"/>
      <c r="C70" s="1051" t="s">
        <v>1511</v>
      </c>
      <c r="D70" s="1051" t="s">
        <v>1512</v>
      </c>
      <c r="E70" s="1122">
        <v>0.2</v>
      </c>
      <c r="F70" s="1137">
        <v>30</v>
      </c>
    </row>
    <row r="71" spans="1:6" s="1088" customFormat="1" ht="48">
      <c r="A71" s="1137">
        <v>11</v>
      </c>
      <c r="B71" s="3531"/>
      <c r="C71" s="1051" t="s">
        <v>1513</v>
      </c>
      <c r="D71" s="1051" t="s">
        <v>1514</v>
      </c>
      <c r="E71" s="1122">
        <v>0.2</v>
      </c>
      <c r="F71" s="1137">
        <v>30</v>
      </c>
    </row>
    <row r="72" spans="1:6" s="1088" customFormat="1" ht="36">
      <c r="A72" s="1137">
        <v>12</v>
      </c>
      <c r="B72" s="3531"/>
      <c r="C72" s="1051" t="s">
        <v>1515</v>
      </c>
      <c r="D72" s="1051" t="s">
        <v>1516</v>
      </c>
      <c r="E72" s="1122">
        <v>0.5</v>
      </c>
      <c r="F72" s="1137">
        <v>80</v>
      </c>
    </row>
    <row r="73" spans="1:6" s="1088" customFormat="1" ht="24">
      <c r="A73" s="1137">
        <v>13</v>
      </c>
      <c r="B73" s="3531"/>
      <c r="C73" s="1051" t="s">
        <v>1517</v>
      </c>
      <c r="D73" s="1051" t="s">
        <v>1518</v>
      </c>
      <c r="E73" s="1122">
        <v>0.4</v>
      </c>
      <c r="F73" s="1137">
        <v>60</v>
      </c>
    </row>
    <row r="74" spans="1:6" s="1088" customFormat="1" ht="24">
      <c r="A74" s="1137">
        <v>14</v>
      </c>
      <c r="B74" s="3531"/>
      <c r="C74" s="1051" t="s">
        <v>1519</v>
      </c>
      <c r="D74" s="1051" t="s">
        <v>1520</v>
      </c>
      <c r="E74" s="1122">
        <v>0.2</v>
      </c>
      <c r="F74" s="1137">
        <v>30</v>
      </c>
    </row>
    <row r="75" spans="1:6" s="1088" customFormat="1" ht="24">
      <c r="A75" s="1137">
        <v>15</v>
      </c>
      <c r="B75" s="3531"/>
      <c r="C75" s="1051" t="s">
        <v>1521</v>
      </c>
      <c r="D75" s="1051" t="s">
        <v>1522</v>
      </c>
      <c r="E75" s="1122">
        <v>0.2</v>
      </c>
      <c r="F75" s="1137">
        <v>30</v>
      </c>
    </row>
    <row r="76" spans="1:6" s="1088" customFormat="1" ht="24">
      <c r="A76" s="1137">
        <v>16</v>
      </c>
      <c r="B76" s="3531" t="s">
        <v>1523</v>
      </c>
      <c r="C76" s="1051" t="s">
        <v>1524</v>
      </c>
      <c r="D76" s="1051" t="s">
        <v>1525</v>
      </c>
      <c r="E76" s="1122">
        <v>0.5</v>
      </c>
      <c r="F76" s="1137">
        <v>80</v>
      </c>
    </row>
    <row r="77" spans="1:6" s="1088" customFormat="1" ht="24">
      <c r="A77" s="1137">
        <v>17</v>
      </c>
      <c r="B77" s="3531"/>
      <c r="C77" s="1051" t="s">
        <v>1526</v>
      </c>
      <c r="D77" s="1051" t="s">
        <v>1527</v>
      </c>
      <c r="E77" s="1122">
        <v>0.5</v>
      </c>
      <c r="F77" s="1137">
        <v>80</v>
      </c>
    </row>
    <row r="78" spans="1:6" s="1088" customFormat="1" ht="24">
      <c r="A78" s="1137">
        <v>18</v>
      </c>
      <c r="B78" s="3531"/>
      <c r="C78" s="1051" t="s">
        <v>1528</v>
      </c>
      <c r="D78" s="1051" t="s">
        <v>1529</v>
      </c>
      <c r="E78" s="1122">
        <v>0.2</v>
      </c>
      <c r="F78" s="1137">
        <v>30</v>
      </c>
    </row>
    <row r="79" spans="1:6" s="1088" customFormat="1" ht="24">
      <c r="A79" s="1137">
        <v>19</v>
      </c>
      <c r="B79" s="3531"/>
      <c r="C79" s="1051" t="s">
        <v>1530</v>
      </c>
      <c r="D79" s="1051" t="s">
        <v>1531</v>
      </c>
      <c r="E79" s="1122">
        <v>0.5</v>
      </c>
      <c r="F79" s="1137">
        <v>80</v>
      </c>
    </row>
    <row r="80" spans="1:6" s="1088" customFormat="1" ht="36">
      <c r="A80" s="1137">
        <v>20</v>
      </c>
      <c r="B80" s="3531"/>
      <c r="C80" s="1051" t="s">
        <v>1532</v>
      </c>
      <c r="D80" s="1051" t="s">
        <v>1533</v>
      </c>
      <c r="E80" s="1122">
        <v>0.2</v>
      </c>
      <c r="F80" s="1137">
        <v>30</v>
      </c>
    </row>
    <row r="81" spans="1:6" s="1088" customFormat="1" ht="36">
      <c r="A81" s="1137">
        <v>21</v>
      </c>
      <c r="B81" s="3531"/>
      <c r="C81" s="1051" t="s">
        <v>1534</v>
      </c>
      <c r="D81" s="1051" t="s">
        <v>1535</v>
      </c>
      <c r="E81" s="1122">
        <v>0.2</v>
      </c>
      <c r="F81" s="1137">
        <v>30</v>
      </c>
    </row>
    <row r="82" spans="1:6" s="1088" customFormat="1" ht="48">
      <c r="A82" s="1137">
        <v>22</v>
      </c>
      <c r="B82" s="3531"/>
      <c r="C82" s="1051" t="s">
        <v>1536</v>
      </c>
      <c r="D82" s="1051" t="s">
        <v>1537</v>
      </c>
      <c r="E82" s="1122">
        <v>0.2</v>
      </c>
      <c r="F82" s="1137">
        <v>30</v>
      </c>
    </row>
    <row r="83" spans="1:6" s="1088" customFormat="1" ht="48">
      <c r="A83" s="1137">
        <v>23</v>
      </c>
      <c r="B83" s="3531"/>
      <c r="C83" s="1051" t="s">
        <v>1538</v>
      </c>
      <c r="D83" s="1051" t="s">
        <v>1539</v>
      </c>
      <c r="E83" s="1122">
        <v>0.2</v>
      </c>
      <c r="F83" s="1137">
        <v>30</v>
      </c>
    </row>
    <row r="84" spans="1:6" s="1088" customFormat="1" ht="36">
      <c r="A84" s="1137">
        <v>24</v>
      </c>
      <c r="B84" s="3531"/>
      <c r="C84" s="1051" t="s">
        <v>1540</v>
      </c>
      <c r="D84" s="1051" t="s">
        <v>1541</v>
      </c>
      <c r="E84" s="1122">
        <v>0.2</v>
      </c>
      <c r="F84" s="1137">
        <v>30</v>
      </c>
    </row>
    <row r="85" spans="1:6" s="1088" customFormat="1" ht="36">
      <c r="A85" s="1137">
        <v>25</v>
      </c>
      <c r="B85" s="3531"/>
      <c r="C85" s="1051" t="s">
        <v>1542</v>
      </c>
      <c r="D85" s="1051" t="s">
        <v>1543</v>
      </c>
      <c r="E85" s="1122">
        <v>0.5</v>
      </c>
      <c r="F85" s="1137">
        <v>80</v>
      </c>
    </row>
    <row r="86" spans="1:6" s="1088" customFormat="1" ht="36">
      <c r="A86" s="1137">
        <v>26</v>
      </c>
      <c r="B86" s="3531"/>
      <c r="C86" s="1051" t="s">
        <v>1544</v>
      </c>
      <c r="D86" s="1051" t="s">
        <v>1545</v>
      </c>
      <c r="E86" s="1122">
        <v>0.2</v>
      </c>
      <c r="F86" s="1137">
        <v>30</v>
      </c>
    </row>
    <row r="87" spans="1:6" s="1088" customFormat="1" ht="36">
      <c r="A87" s="1137">
        <v>27</v>
      </c>
      <c r="B87" s="3531"/>
      <c r="C87" s="1051" t="s">
        <v>1546</v>
      </c>
      <c r="D87" s="1051" t="s">
        <v>1547</v>
      </c>
      <c r="E87" s="1122">
        <v>0.2</v>
      </c>
      <c r="F87" s="1137">
        <v>30</v>
      </c>
    </row>
    <row r="88" spans="1:6" s="1088" customFormat="1" ht="36">
      <c r="A88" s="1137">
        <v>28</v>
      </c>
      <c r="B88" s="3531"/>
      <c r="C88" s="1051" t="s">
        <v>1548</v>
      </c>
      <c r="D88" s="1051" t="s">
        <v>1549</v>
      </c>
      <c r="E88" s="1122">
        <v>0.2</v>
      </c>
      <c r="F88" s="1137">
        <v>30</v>
      </c>
    </row>
    <row r="89" spans="1:6" s="1088" customFormat="1" ht="24">
      <c r="A89" s="1137">
        <v>29</v>
      </c>
      <c r="B89" s="3531"/>
      <c r="C89" s="1051" t="s">
        <v>1550</v>
      </c>
      <c r="D89" s="1051" t="s">
        <v>1551</v>
      </c>
      <c r="E89" s="1122">
        <v>0.2</v>
      </c>
      <c r="F89" s="1137">
        <v>30</v>
      </c>
    </row>
    <row r="90" spans="1:6" s="1088" customFormat="1" ht="24">
      <c r="A90" s="1137">
        <v>30</v>
      </c>
      <c r="B90" s="3531"/>
      <c r="C90" s="1051" t="s">
        <v>1552</v>
      </c>
      <c r="D90" s="1051" t="s">
        <v>1553</v>
      </c>
      <c r="E90" s="1122">
        <v>0.2</v>
      </c>
      <c r="F90" s="1137">
        <v>30</v>
      </c>
    </row>
    <row r="91" spans="1:6" s="1088" customFormat="1" ht="36">
      <c r="A91" s="1137">
        <v>31</v>
      </c>
      <c r="B91" s="3531"/>
      <c r="C91" s="1051" t="s">
        <v>1554</v>
      </c>
      <c r="D91" s="1051" t="s">
        <v>1555</v>
      </c>
      <c r="E91" s="1122">
        <v>0.2</v>
      </c>
      <c r="F91" s="1137">
        <v>30</v>
      </c>
    </row>
    <row r="92" spans="1:6" s="1088" customFormat="1" ht="24">
      <c r="A92" s="1137">
        <v>32</v>
      </c>
      <c r="B92" s="3531" t="s">
        <v>1556</v>
      </c>
      <c r="C92" s="1137" t="s">
        <v>1557</v>
      </c>
      <c r="D92" s="1051" t="s">
        <v>1558</v>
      </c>
      <c r="E92" s="1122">
        <v>0.2</v>
      </c>
      <c r="F92" s="1137">
        <v>30</v>
      </c>
    </row>
    <row r="93" spans="1:6" s="1088" customFormat="1" ht="36">
      <c r="A93" s="1137">
        <v>33</v>
      </c>
      <c r="B93" s="3531"/>
      <c r="C93" s="1137" t="s">
        <v>1559</v>
      </c>
      <c r="D93" s="1051" t="s">
        <v>1560</v>
      </c>
      <c r="E93" s="1122">
        <v>0.2</v>
      </c>
      <c r="F93" s="1137">
        <v>30</v>
      </c>
    </row>
    <row r="94" spans="1:6" s="1088" customFormat="1" ht="48">
      <c r="A94" s="1137">
        <v>34</v>
      </c>
      <c r="B94" s="3531"/>
      <c r="C94" s="1137" t="s">
        <v>1561</v>
      </c>
      <c r="D94" s="1051" t="s">
        <v>1562</v>
      </c>
      <c r="E94" s="1122">
        <v>0.2</v>
      </c>
      <c r="F94" s="1137">
        <v>30</v>
      </c>
    </row>
    <row r="95" spans="1:6" s="1088" customFormat="1" ht="36">
      <c r="A95" s="1137">
        <v>35</v>
      </c>
      <c r="B95" s="3531"/>
      <c r="C95" s="1137" t="s">
        <v>1563</v>
      </c>
      <c r="D95" s="1051" t="s">
        <v>1564</v>
      </c>
      <c r="E95" s="1122">
        <v>0.2</v>
      </c>
      <c r="F95" s="1137">
        <v>30</v>
      </c>
    </row>
    <row r="96" spans="1:6" s="1088" customFormat="1" ht="48">
      <c r="A96" s="1137">
        <v>36</v>
      </c>
      <c r="B96" s="3531"/>
      <c r="C96" s="1051" t="s">
        <v>1565</v>
      </c>
      <c r="D96" s="1051" t="s">
        <v>1566</v>
      </c>
      <c r="E96" s="1122">
        <v>0.2</v>
      </c>
      <c r="F96" s="1137">
        <v>30</v>
      </c>
    </row>
    <row r="97" spans="1:6" s="1088" customFormat="1" ht="36">
      <c r="A97" s="1137">
        <v>37</v>
      </c>
      <c r="B97" s="3531"/>
      <c r="C97" s="1137" t="s">
        <v>1567</v>
      </c>
      <c r="D97" s="1051" t="s">
        <v>1568</v>
      </c>
      <c r="E97" s="1122">
        <v>0.2</v>
      </c>
      <c r="F97" s="1137">
        <v>30</v>
      </c>
    </row>
    <row r="98" spans="1:6" s="1088" customFormat="1" ht="36">
      <c r="A98" s="1137">
        <v>38</v>
      </c>
      <c r="B98" s="3531"/>
      <c r="C98" s="1137" t="s">
        <v>1569</v>
      </c>
      <c r="D98" s="1051" t="s">
        <v>1570</v>
      </c>
      <c r="E98" s="1122">
        <v>0.2</v>
      </c>
      <c r="F98" s="1137">
        <v>30</v>
      </c>
    </row>
    <row r="99" spans="1:6" s="1088" customFormat="1" ht="36">
      <c r="A99" s="1137">
        <v>39</v>
      </c>
      <c r="B99" s="3531" t="s">
        <v>1571</v>
      </c>
      <c r="C99" s="1137" t="s">
        <v>1572</v>
      </c>
      <c r="D99" s="1051" t="s">
        <v>1573</v>
      </c>
      <c r="E99" s="1122">
        <v>0.3</v>
      </c>
      <c r="F99" s="1137">
        <v>50</v>
      </c>
    </row>
    <row r="100" spans="1:6" s="1088" customFormat="1" ht="24">
      <c r="A100" s="1137">
        <v>40</v>
      </c>
      <c r="B100" s="3531"/>
      <c r="C100" s="1137" t="s">
        <v>1574</v>
      </c>
      <c r="D100" s="1051" t="s">
        <v>1575</v>
      </c>
      <c r="E100" s="1122">
        <v>0.2</v>
      </c>
      <c r="F100" s="1137">
        <v>30</v>
      </c>
    </row>
    <row r="101" spans="1:6" s="1088" customFormat="1" ht="36">
      <c r="A101" s="1137">
        <v>41</v>
      </c>
      <c r="B101" s="3531"/>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1" t="s">
        <v>1586</v>
      </c>
      <c r="C105" s="1137" t="s">
        <v>1587</v>
      </c>
      <c r="D105" s="1051" t="s">
        <v>1588</v>
      </c>
      <c r="E105" s="1122">
        <v>0.2</v>
      </c>
      <c r="F105" s="1137">
        <v>30</v>
      </c>
    </row>
    <row r="106" spans="1:6" s="1088" customFormat="1" ht="36">
      <c r="A106" s="1137">
        <v>46</v>
      </c>
      <c r="B106" s="3531"/>
      <c r="C106" s="1137" t="s">
        <v>1589</v>
      </c>
      <c r="D106" s="1051" t="s">
        <v>1590</v>
      </c>
      <c r="E106" s="1122">
        <v>0.2</v>
      </c>
      <c r="F106" s="1137">
        <v>30</v>
      </c>
    </row>
    <row r="107" spans="1:6" s="1088" customFormat="1" ht="36">
      <c r="A107" s="1137">
        <v>47</v>
      </c>
      <c r="B107" s="3531" t="s">
        <v>1591</v>
      </c>
      <c r="C107" s="1137" t="s">
        <v>1592</v>
      </c>
      <c r="D107" s="1051" t="s">
        <v>1593</v>
      </c>
      <c r="E107" s="1122">
        <v>0.3</v>
      </c>
      <c r="F107" s="1137">
        <v>50</v>
      </c>
    </row>
    <row r="108" spans="1:6" s="1088" customFormat="1" ht="36">
      <c r="A108" s="1137">
        <v>48</v>
      </c>
      <c r="B108" s="3531"/>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1" t="s">
        <v>1602</v>
      </c>
      <c r="C111" s="1137" t="s">
        <v>1603</v>
      </c>
      <c r="D111" s="1051" t="s">
        <v>1604</v>
      </c>
      <c r="E111" s="1122">
        <v>0.2</v>
      </c>
      <c r="F111" s="1137">
        <v>30</v>
      </c>
    </row>
    <row r="112" spans="1:6" s="1088" customFormat="1" ht="24">
      <c r="A112" s="1137">
        <v>52</v>
      </c>
      <c r="B112" s="3531"/>
      <c r="C112" s="1137" t="s">
        <v>1605</v>
      </c>
      <c r="D112" s="1051" t="s">
        <v>1606</v>
      </c>
      <c r="E112" s="1122">
        <v>0.2</v>
      </c>
      <c r="F112" s="1137">
        <v>30</v>
      </c>
    </row>
    <row r="113" spans="1:14" s="1088" customFormat="1" ht="24">
      <c r="A113" s="1137">
        <v>53</v>
      </c>
      <c r="B113" s="3531"/>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1" t="s">
        <v>1615</v>
      </c>
      <c r="C116" s="1137" t="s">
        <v>1616</v>
      </c>
      <c r="D116" s="1051" t="s">
        <v>1617</v>
      </c>
      <c r="E116" s="1122">
        <v>0.2</v>
      </c>
      <c r="F116" s="1137">
        <v>30</v>
      </c>
    </row>
    <row r="117" spans="1:14" ht="36">
      <c r="A117" s="1137">
        <v>57</v>
      </c>
      <c r="B117" s="3531"/>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0" t="s">
        <v>1624</v>
      </c>
      <c r="B121" s="3530"/>
      <c r="C121" s="3530"/>
      <c r="D121" s="3530"/>
      <c r="E121" s="3530"/>
      <c r="F121" s="3530"/>
      <c r="G121" s="3530"/>
      <c r="H121" s="3530"/>
      <c r="I121" s="3530"/>
      <c r="J121" s="3530"/>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2" t="s">
        <v>1030</v>
      </c>
      <c r="B1" s="3532"/>
      <c r="C1" s="3532"/>
      <c r="D1" s="3532"/>
      <c r="E1" s="3532"/>
      <c r="F1" s="353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3" t="s">
        <v>1043</v>
      </c>
      <c r="B2" s="3533"/>
      <c r="C2" s="3533"/>
      <c r="D2" s="3533"/>
      <c r="E2" s="3533"/>
      <c r="F2" s="353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11080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2.5573999999999999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6" t="s">
        <v>2068</v>
      </c>
      <c r="B1" s="3536"/>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44" t="s">
        <v>2556</v>
      </c>
      <c r="C1" s="3544"/>
      <c r="D1" s="3544"/>
      <c r="E1" s="3544"/>
      <c r="F1" s="3544"/>
      <c r="G1" s="3543" t="s">
        <v>2557</v>
      </c>
      <c r="H1" s="3543"/>
      <c r="I1" s="3543"/>
      <c r="J1" s="3543"/>
      <c r="K1" s="3543"/>
      <c r="L1" s="3543"/>
      <c r="N1" s="3543" t="s">
        <v>2558</v>
      </c>
      <c r="O1" s="3543"/>
      <c r="P1" s="3543"/>
      <c r="Q1" s="3543"/>
      <c r="S1" s="3543" t="s">
        <v>2559</v>
      </c>
      <c r="T1" s="3543"/>
      <c r="U1" s="3543"/>
      <c r="V1" s="3543"/>
      <c r="X1" s="3542" t="s">
        <v>2619</v>
      </c>
      <c r="Y1" s="3543"/>
      <c r="Z1" s="3543"/>
      <c r="AA1" s="3543"/>
      <c r="AB1" s="3543"/>
      <c r="AD1" s="3542" t="s">
        <v>2623</v>
      </c>
      <c r="AE1" s="3543"/>
      <c r="AF1" s="3543"/>
      <c r="AG1" s="3543"/>
      <c r="AH1" s="3543"/>
    </row>
    <row r="2" spans="1:34" s="2865" customFormat="1" ht="14.25" thickBot="1">
      <c r="B2" s="2866" t="s">
        <v>2560</v>
      </c>
      <c r="C2" s="2866" t="s">
        <v>2621</v>
      </c>
      <c r="D2" s="2867" t="s">
        <v>1635</v>
      </c>
      <c r="E2" s="2867" t="s">
        <v>1938</v>
      </c>
      <c r="F2" s="2866" t="s">
        <v>2622</v>
      </c>
      <c r="G2" s="2868"/>
      <c r="I2" s="2866" t="s">
        <v>2922</v>
      </c>
      <c r="J2" s="2867" t="s">
        <v>2924</v>
      </c>
      <c r="K2" s="2867" t="s">
        <v>2925</v>
      </c>
      <c r="L2" s="2866" t="s">
        <v>2926</v>
      </c>
      <c r="N2" s="2866" t="s">
        <v>2560</v>
      </c>
      <c r="O2" s="2867" t="s">
        <v>2923</v>
      </c>
      <c r="P2" s="2867" t="s">
        <v>1938</v>
      </c>
      <c r="Q2" s="2866" t="s">
        <v>2622</v>
      </c>
      <c r="S2" s="2866" t="s">
        <v>2560</v>
      </c>
      <c r="T2" s="2867" t="s">
        <v>2923</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2933</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3001</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2934</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3002</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3000</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2963</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2961</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2958</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2957</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2954</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2953</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2950</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538">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2943</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538"/>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2944</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538"/>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2940</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539"/>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2932</v>
      </c>
      <c r="B18" s="2915">
        <v>439</v>
      </c>
      <c r="C18" s="2915">
        <v>327</v>
      </c>
      <c r="D18" s="2915">
        <f t="shared" si="131"/>
        <v>327</v>
      </c>
      <c r="E18" s="2915">
        <v>627</v>
      </c>
      <c r="F18" s="2916">
        <v>283</v>
      </c>
      <c r="G18" s="3537">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538"/>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2561</v>
      </c>
      <c r="B20" s="2899">
        <f t="shared" si="143"/>
        <v>419.31181600000002</v>
      </c>
      <c r="C20" s="2899">
        <f t="shared" si="143"/>
        <v>313.95436800000004</v>
      </c>
      <c r="D20" s="2899">
        <f t="shared" si="131"/>
        <v>313.95436800000004</v>
      </c>
      <c r="E20" s="2899">
        <f t="shared" si="144"/>
        <v>596.63028431999999</v>
      </c>
      <c r="F20" s="2899">
        <f t="shared" si="144"/>
        <v>274.74220703999998</v>
      </c>
      <c r="G20" s="3538"/>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2562</v>
      </c>
      <c r="B21" s="2899">
        <f t="shared" si="143"/>
        <v>405.524</v>
      </c>
      <c r="C21" s="2899">
        <f t="shared" si="143"/>
        <v>307.79840000000002</v>
      </c>
      <c r="D21" s="2899">
        <f t="shared" si="131"/>
        <v>307.79840000000002</v>
      </c>
      <c r="E21" s="2899">
        <f t="shared" si="144"/>
        <v>574.67759999999998</v>
      </c>
      <c r="F21" s="2899">
        <f t="shared" si="144"/>
        <v>270.20280000000002</v>
      </c>
      <c r="G21" s="3539"/>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31"/>
        <v>302</v>
      </c>
      <c r="E22" s="2920">
        <v>553</v>
      </c>
      <c r="F22" s="2921">
        <v>266</v>
      </c>
      <c r="G22" s="3537">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538"/>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52"/>
        <v>360.06949782209392</v>
      </c>
      <c r="C24" s="2899">
        <f t="shared" si="152"/>
        <v>289.84672674747821</v>
      </c>
      <c r="D24" s="2899">
        <f t="shared" si="153"/>
        <v>289.84672674747821</v>
      </c>
      <c r="E24" s="2899">
        <f t="shared" si="154"/>
        <v>501.06543001181495</v>
      </c>
      <c r="F24" s="2899">
        <f t="shared" si="154"/>
        <v>256.82882500744967</v>
      </c>
      <c r="G24" s="3538"/>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52"/>
        <v>346.720748986128</v>
      </c>
      <c r="C25" s="2899">
        <f t="shared" si="152"/>
        <v>284.30282172386285</v>
      </c>
      <c r="D25" s="2899">
        <f t="shared" si="153"/>
        <v>284.30282172386285</v>
      </c>
      <c r="E25" s="2899">
        <f t="shared" si="154"/>
        <v>479.58023546306947</v>
      </c>
      <c r="F25" s="2899">
        <f t="shared" si="154"/>
        <v>253.25788877571213</v>
      </c>
      <c r="G25" s="3541"/>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53"/>
        <v>277</v>
      </c>
      <c r="E26" s="2920">
        <v>459</v>
      </c>
      <c r="F26" s="2921">
        <v>249</v>
      </c>
      <c r="G26" s="3540">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538"/>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56"/>
        <v>322.34053690220776</v>
      </c>
      <c r="C28" s="2899">
        <f t="shared" si="156"/>
        <v>271.46160770422546</v>
      </c>
      <c r="D28" s="2899">
        <f t="shared" si="153"/>
        <v>271.46160770422546</v>
      </c>
      <c r="E28" s="2899">
        <f t="shared" si="157"/>
        <v>442.69434542172456</v>
      </c>
      <c r="F28" s="2899">
        <f t="shared" si="157"/>
        <v>241.34030753190925</v>
      </c>
      <c r="G28" s="3538"/>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56"/>
        <v>319.87748030386797</v>
      </c>
      <c r="C29" s="2899">
        <f t="shared" si="156"/>
        <v>269.60135833173649</v>
      </c>
      <c r="D29" s="2899">
        <f t="shared" si="153"/>
        <v>269.60135833173649</v>
      </c>
      <c r="E29" s="2899">
        <f t="shared" si="157"/>
        <v>439.18089823583784</v>
      </c>
      <c r="F29" s="2899">
        <f t="shared" si="157"/>
        <v>239.23503918706311</v>
      </c>
      <c r="G29" s="3541"/>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53"/>
        <v>268</v>
      </c>
      <c r="E30" s="2927">
        <v>437</v>
      </c>
      <c r="F30" s="2928">
        <v>237</v>
      </c>
      <c r="G30" s="3540">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538"/>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8"/>
        <v>314.72141172386546</v>
      </c>
      <c r="C32" s="2899">
        <f t="shared" si="158"/>
        <v>263.03901319069001</v>
      </c>
      <c r="D32" s="2899">
        <f t="shared" si="153"/>
        <v>263.03901319069001</v>
      </c>
      <c r="E32" s="2899">
        <f t="shared" si="159"/>
        <v>433.65745506782821</v>
      </c>
      <c r="F32" s="2899">
        <f t="shared" si="159"/>
        <v>233.23005080045735</v>
      </c>
      <c r="G32" s="3538"/>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951</v>
      </c>
      <c r="B33" s="2932">
        <f t="shared" si="158"/>
        <v>307.34512863658733</v>
      </c>
      <c r="C33" s="2932">
        <f t="shared" si="158"/>
        <v>257.80556031626975</v>
      </c>
      <c r="D33" s="2932">
        <f t="shared" si="153"/>
        <v>257.80556031626975</v>
      </c>
      <c r="E33" s="2932">
        <f t="shared" si="159"/>
        <v>422.70928459677179</v>
      </c>
      <c r="F33" s="2932">
        <f t="shared" si="159"/>
        <v>229.73803270336617</v>
      </c>
      <c r="G33" s="3541"/>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2620</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2563</v>
      </c>
      <c r="B34" s="2920">
        <v>299</v>
      </c>
      <c r="C34" s="2920">
        <v>252</v>
      </c>
      <c r="D34" s="2920">
        <f t="shared" si="153"/>
        <v>252</v>
      </c>
      <c r="E34" s="2920">
        <v>409</v>
      </c>
      <c r="F34" s="2921">
        <v>227</v>
      </c>
      <c r="G34" s="3545">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2564</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546"/>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2565</v>
      </c>
      <c r="B36" s="2899">
        <f t="shared" si="162"/>
        <v>288.2649053828776</v>
      </c>
      <c r="C36" s="2899">
        <f t="shared" si="162"/>
        <v>243.64564425013293</v>
      </c>
      <c r="D36" s="2899">
        <f t="shared" si="153"/>
        <v>243.64564425013293</v>
      </c>
      <c r="E36" s="2899">
        <f t="shared" si="163"/>
        <v>393.31080825986544</v>
      </c>
      <c r="F36" s="2899">
        <f t="shared" si="163"/>
        <v>223.07903790551154</v>
      </c>
      <c r="G36" s="3546"/>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2566</v>
      </c>
      <c r="B37" s="2899">
        <f t="shared" si="162"/>
        <v>282.50186729015837</v>
      </c>
      <c r="C37" s="2899">
        <f t="shared" si="162"/>
        <v>238.09796174155468</v>
      </c>
      <c r="D37" s="2899">
        <f t="shared" si="153"/>
        <v>238.09796174155468</v>
      </c>
      <c r="E37" s="2899">
        <f t="shared" si="163"/>
        <v>385.33438646014054</v>
      </c>
      <c r="F37" s="2899">
        <f t="shared" si="163"/>
        <v>221.55034055567739</v>
      </c>
      <c r="G37" s="3547"/>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2567</v>
      </c>
      <c r="B38" s="2948">
        <v>278</v>
      </c>
      <c r="C38" s="2948">
        <v>234</v>
      </c>
      <c r="D38" s="2948">
        <f t="shared" si="153"/>
        <v>234</v>
      </c>
      <c r="E38" s="2948">
        <v>379</v>
      </c>
      <c r="F38" s="2949">
        <v>220</v>
      </c>
      <c r="G38" s="3540">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2568</v>
      </c>
      <c r="B39" s="2899">
        <f>B38/(1+N38)</f>
        <v>275.49301357645425</v>
      </c>
      <c r="C39" s="2899">
        <f>C38/(1+O38)</f>
        <v>232.41954707985698</v>
      </c>
      <c r="D39" s="2899">
        <f t="shared" si="153"/>
        <v>232.41954707985698</v>
      </c>
      <c r="E39" s="2899">
        <f t="shared" ref="E39:F41" si="164">E38/(1+P38)</f>
        <v>375.32184591008121</v>
      </c>
      <c r="F39" s="2899">
        <f t="shared" si="164"/>
        <v>218.03766105054513</v>
      </c>
      <c r="G39" s="3538"/>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2569</v>
      </c>
      <c r="B40" s="2899">
        <f>B39/(1+N39)</f>
        <v>275.24529281292263</v>
      </c>
      <c r="C40" s="2899">
        <f>C39/(1+O39)</f>
        <v>231.74747938962707</v>
      </c>
      <c r="D40" s="2899">
        <f t="shared" si="153"/>
        <v>231.74747938962707</v>
      </c>
      <c r="E40" s="2899">
        <f t="shared" si="164"/>
        <v>375.35938184826603</v>
      </c>
      <c r="F40" s="2899">
        <f t="shared" si="164"/>
        <v>216.78033510692495</v>
      </c>
      <c r="G40" s="3538"/>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2570</v>
      </c>
      <c r="B41" s="2899">
        <f>B40/(1+N40)</f>
        <v>275.19025476197027</v>
      </c>
      <c r="C41" s="2950">
        <v>232</v>
      </c>
      <c r="D41" s="2950">
        <f t="shared" si="153"/>
        <v>232</v>
      </c>
      <c r="E41" s="2899">
        <f t="shared" si="164"/>
        <v>375.65990977608692</v>
      </c>
      <c r="F41" s="2899">
        <f t="shared" si="164"/>
        <v>214.12518283971252</v>
      </c>
      <c r="G41" s="3541"/>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2571</v>
      </c>
      <c r="B42" s="2920">
        <v>275</v>
      </c>
      <c r="C42" s="2920">
        <v>232</v>
      </c>
      <c r="D42" s="2920">
        <f t="shared" si="153"/>
        <v>232</v>
      </c>
      <c r="E42" s="2920">
        <v>376</v>
      </c>
      <c r="F42" s="2921">
        <v>213</v>
      </c>
      <c r="G42" s="3540">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2572</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538">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2573</v>
      </c>
      <c r="B44" s="2899">
        <f t="shared" si="165"/>
        <v>275.19335084830601</v>
      </c>
      <c r="C44" s="2899">
        <f t="shared" si="165"/>
        <v>230.18088050139744</v>
      </c>
      <c r="D44" s="2899">
        <f t="shared" si="153"/>
        <v>230.18088050139744</v>
      </c>
      <c r="E44" s="2899">
        <f t="shared" si="166"/>
        <v>377.58482925212331</v>
      </c>
      <c r="F44" s="2899">
        <f t="shared" si="166"/>
        <v>210.90687997847917</v>
      </c>
      <c r="G44" s="3538">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2574</v>
      </c>
      <c r="B45" s="2899">
        <f t="shared" si="165"/>
        <v>276.29854502841971</v>
      </c>
      <c r="C45" s="2899">
        <f t="shared" si="165"/>
        <v>229.79023709833027</v>
      </c>
      <c r="D45" s="2899">
        <f t="shared" si="153"/>
        <v>229.79023709833027</v>
      </c>
      <c r="E45" s="2899">
        <f t="shared" si="166"/>
        <v>379.78759731655936</v>
      </c>
      <c r="F45" s="2899">
        <f t="shared" si="166"/>
        <v>211.32953905659235</v>
      </c>
      <c r="G45" s="3541">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2575</v>
      </c>
      <c r="B46" s="2920">
        <v>269</v>
      </c>
      <c r="C46" s="2920">
        <v>221</v>
      </c>
      <c r="D46" s="2920">
        <f t="shared" si="153"/>
        <v>221</v>
      </c>
      <c r="E46" s="2920">
        <v>373</v>
      </c>
      <c r="F46" s="2921">
        <v>196</v>
      </c>
      <c r="G46" s="3540">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2576</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538">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2577</v>
      </c>
      <c r="B48" s="2899">
        <f t="shared" si="167"/>
        <v>242.95398227588385</v>
      </c>
      <c r="C48" s="2899">
        <f t="shared" si="167"/>
        <v>199.59137053614126</v>
      </c>
      <c r="D48" s="2899">
        <f t="shared" si="153"/>
        <v>199.59137053614126</v>
      </c>
      <c r="E48" s="2899">
        <f t="shared" si="168"/>
        <v>335.92189522342125</v>
      </c>
      <c r="F48" s="2899">
        <f t="shared" si="168"/>
        <v>183.10139991109489</v>
      </c>
      <c r="G48" s="3538">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2578</v>
      </c>
      <c r="B49" s="2899">
        <f t="shared" si="167"/>
        <v>232.06990378821649</v>
      </c>
      <c r="C49" s="2899">
        <f t="shared" si="167"/>
        <v>192.74878854286936</v>
      </c>
      <c r="D49" s="2899">
        <f t="shared" si="153"/>
        <v>192.74878854286936</v>
      </c>
      <c r="E49" s="2899">
        <f t="shared" si="168"/>
        <v>319.71247284992984</v>
      </c>
      <c r="F49" s="2899">
        <f t="shared" si="168"/>
        <v>175.67053622862409</v>
      </c>
      <c r="G49" s="3541">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2579</v>
      </c>
      <c r="B50" s="2920">
        <v>220</v>
      </c>
      <c r="C50" s="2920">
        <v>187</v>
      </c>
      <c r="D50" s="2920">
        <f t="shared" si="153"/>
        <v>187</v>
      </c>
      <c r="E50" s="2920">
        <v>301</v>
      </c>
      <c r="F50" s="2921">
        <v>168</v>
      </c>
      <c r="G50" s="3540">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2580</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538">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2581</v>
      </c>
      <c r="B52" s="2899">
        <f t="shared" si="169"/>
        <v>210.630522469011</v>
      </c>
      <c r="C52" s="2899">
        <f t="shared" si="169"/>
        <v>181.69567812247232</v>
      </c>
      <c r="D52" s="2899">
        <f t="shared" si="153"/>
        <v>181.69567812247232</v>
      </c>
      <c r="E52" s="2899">
        <f t="shared" si="170"/>
        <v>286.13517466736738</v>
      </c>
      <c r="F52" s="2899">
        <f t="shared" si="170"/>
        <v>165.47535084591149</v>
      </c>
      <c r="G52" s="3538">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2582</v>
      </c>
      <c r="B53" s="2899">
        <f t="shared" si="169"/>
        <v>208.83454537875372</v>
      </c>
      <c r="C53" s="2899">
        <f t="shared" si="169"/>
        <v>183.77230517090351</v>
      </c>
      <c r="D53" s="2899">
        <f t="shared" si="153"/>
        <v>183.77230517090351</v>
      </c>
      <c r="E53" s="2899">
        <f t="shared" si="170"/>
        <v>281.10342338870947</v>
      </c>
      <c r="F53" s="2899">
        <f t="shared" si="170"/>
        <v>168.97309388942256</v>
      </c>
      <c r="G53" s="3541">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2583</v>
      </c>
      <c r="B54" s="2948">
        <v>214</v>
      </c>
      <c r="C54" s="2948">
        <v>188</v>
      </c>
      <c r="D54" s="2948">
        <f t="shared" si="153"/>
        <v>188</v>
      </c>
      <c r="E54" s="2948">
        <v>289</v>
      </c>
      <c r="F54" s="2949">
        <v>166</v>
      </c>
      <c r="G54" s="3540">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2584</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538">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2585</v>
      </c>
      <c r="B56" s="2899">
        <f t="shared" si="171"/>
        <v>206.31694671589116</v>
      </c>
      <c r="C56" s="2899">
        <f t="shared" si="171"/>
        <v>183.61041121036101</v>
      </c>
      <c r="D56" s="2899">
        <f t="shared" si="153"/>
        <v>183.61041121036101</v>
      </c>
      <c r="E56" s="2899">
        <f t="shared" si="172"/>
        <v>276.66850301795557</v>
      </c>
      <c r="F56" s="2899">
        <f t="shared" si="172"/>
        <v>165.1360938278614</v>
      </c>
      <c r="G56" s="3538">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2586</v>
      </c>
      <c r="B57" s="2951">
        <f t="shared" si="171"/>
        <v>196.62341248059772</v>
      </c>
      <c r="C57" s="2951">
        <f t="shared" si="171"/>
        <v>170.99125648199012</v>
      </c>
      <c r="D57" s="2951">
        <f t="shared" si="153"/>
        <v>170.99125648199012</v>
      </c>
      <c r="E57" s="2951">
        <f t="shared" si="172"/>
        <v>266.07857570490052</v>
      </c>
      <c r="F57" s="2951">
        <f t="shared" si="172"/>
        <v>154.53499328828505</v>
      </c>
      <c r="G57" s="3541">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2587</v>
      </c>
      <c r="B58" s="2920">
        <v>188</v>
      </c>
      <c r="C58" s="2920">
        <v>165</v>
      </c>
      <c r="D58" s="2920">
        <f t="shared" si="153"/>
        <v>165</v>
      </c>
      <c r="E58" s="2920">
        <v>254</v>
      </c>
      <c r="F58" s="2921">
        <v>148</v>
      </c>
      <c r="G58" s="3540">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2588</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538">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2589</v>
      </c>
      <c r="B60" s="2899">
        <f t="shared" si="175"/>
        <v>168.82017748715555</v>
      </c>
      <c r="C60" s="2899">
        <f t="shared" si="175"/>
        <v>148.06267029972753</v>
      </c>
      <c r="D60" s="2899">
        <f t="shared" si="153"/>
        <v>148.06267029972753</v>
      </c>
      <c r="E60" s="2899">
        <f t="shared" si="176"/>
        <v>216.46288379323747</v>
      </c>
      <c r="F60" s="2899">
        <f t="shared" si="176"/>
        <v>134.23529411764704</v>
      </c>
      <c r="G60" s="3538">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2590</v>
      </c>
      <c r="B61" s="2899">
        <f t="shared" si="175"/>
        <v>163.84913591779542</v>
      </c>
      <c r="C61" s="2899">
        <f t="shared" si="175"/>
        <v>145.0283378746594</v>
      </c>
      <c r="D61" s="2899">
        <f t="shared" si="153"/>
        <v>145.0283378746594</v>
      </c>
      <c r="E61" s="2899">
        <f t="shared" si="176"/>
        <v>204.95180722891567</v>
      </c>
      <c r="F61" s="2899">
        <f t="shared" si="176"/>
        <v>125.95920303605313</v>
      </c>
      <c r="G61" s="3541">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2591</v>
      </c>
      <c r="B62" s="2927">
        <v>159</v>
      </c>
      <c r="C62" s="2927">
        <v>141</v>
      </c>
      <c r="D62" s="2927">
        <f t="shared" si="153"/>
        <v>141</v>
      </c>
      <c r="E62" s="2927">
        <v>195</v>
      </c>
      <c r="F62" s="2928">
        <v>122</v>
      </c>
      <c r="G62" s="3540">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2592</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538">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2593</v>
      </c>
      <c r="B64" s="2899">
        <f t="shared" si="179"/>
        <v>146.57412060301507</v>
      </c>
      <c r="C64" s="2899">
        <f t="shared" si="179"/>
        <v>136.46831955922866</v>
      </c>
      <c r="D64" s="2899">
        <f t="shared" si="153"/>
        <v>136.46831955922866</v>
      </c>
      <c r="E64" s="2899">
        <f t="shared" si="180"/>
        <v>166.73864894795128</v>
      </c>
      <c r="F64" s="2899">
        <f t="shared" si="180"/>
        <v>115.05882352941177</v>
      </c>
      <c r="G64" s="3538">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2594</v>
      </c>
      <c r="B65" s="2899">
        <f t="shared" si="179"/>
        <v>144.04145728643215</v>
      </c>
      <c r="C65" s="2899">
        <f t="shared" si="179"/>
        <v>136.12396694214877</v>
      </c>
      <c r="D65" s="2899">
        <f t="shared" si="153"/>
        <v>136.12396694214877</v>
      </c>
      <c r="E65" s="2899">
        <f t="shared" si="180"/>
        <v>158.32225913621264</v>
      </c>
      <c r="F65" s="2899">
        <f t="shared" si="180"/>
        <v>114.04278074866311</v>
      </c>
      <c r="G65" s="3541">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2595</v>
      </c>
      <c r="B66" s="2927">
        <v>138</v>
      </c>
      <c r="C66" s="2927">
        <v>131</v>
      </c>
      <c r="D66" s="2927">
        <f t="shared" si="153"/>
        <v>131</v>
      </c>
      <c r="E66" s="2927">
        <v>155</v>
      </c>
      <c r="F66" s="2928">
        <v>114</v>
      </c>
      <c r="G66" s="3540">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2596</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538">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2597</v>
      </c>
      <c r="B68" s="2899">
        <f t="shared" si="183"/>
        <v>124.29032258064517</v>
      </c>
      <c r="C68" s="2899">
        <f t="shared" si="183"/>
        <v>123.8968609865471</v>
      </c>
      <c r="D68" s="2899">
        <f t="shared" si="153"/>
        <v>123.8968609865471</v>
      </c>
      <c r="E68" s="2899">
        <f t="shared" si="184"/>
        <v>138.00507614213197</v>
      </c>
      <c r="F68" s="2899">
        <f t="shared" si="184"/>
        <v>107.96106557377048</v>
      </c>
      <c r="G68" s="3538">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2598</v>
      </c>
      <c r="B69" s="2899">
        <f t="shared" si="183"/>
        <v>122.57204301075269</v>
      </c>
      <c r="C69" s="2899">
        <f t="shared" si="183"/>
        <v>123.4932735426009</v>
      </c>
      <c r="D69" s="2899">
        <f t="shared" si="153"/>
        <v>123.4932735426009</v>
      </c>
      <c r="E69" s="2899">
        <f t="shared" si="184"/>
        <v>129.82233502538071</v>
      </c>
      <c r="F69" s="2899">
        <f t="shared" si="184"/>
        <v>107.39446721311475</v>
      </c>
      <c r="G69" s="3541">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2599</v>
      </c>
      <c r="B70" s="2948">
        <v>121</v>
      </c>
      <c r="C70" s="2948">
        <v>122</v>
      </c>
      <c r="D70" s="2948">
        <f t="shared" si="153"/>
        <v>122</v>
      </c>
      <c r="E70" s="2948">
        <v>124</v>
      </c>
      <c r="F70" s="2949">
        <v>107</v>
      </c>
      <c r="G70" s="3540">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2600</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538">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2601</v>
      </c>
      <c r="B72" s="2899">
        <f t="shared" si="187"/>
        <v>116.99099099099099</v>
      </c>
      <c r="C72" s="2899">
        <f t="shared" si="187"/>
        <v>118.84848484848486</v>
      </c>
      <c r="D72" s="2899">
        <f t="shared" si="153"/>
        <v>118.84848484848486</v>
      </c>
      <c r="E72" s="2899">
        <f t="shared" si="188"/>
        <v>117.60960960960961</v>
      </c>
      <c r="F72" s="2899">
        <f t="shared" si="188"/>
        <v>104</v>
      </c>
      <c r="G72" s="3538">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2602</v>
      </c>
      <c r="B73" s="2951">
        <f t="shared" si="187"/>
        <v>112.48648648648648</v>
      </c>
      <c r="C73" s="2951">
        <f t="shared" si="187"/>
        <v>115.21212121212122</v>
      </c>
      <c r="D73" s="2951">
        <f t="shared" si="153"/>
        <v>115.21212121212122</v>
      </c>
      <c r="E73" s="2951">
        <f t="shared" si="188"/>
        <v>110.4024024024024</v>
      </c>
      <c r="F73" s="2951">
        <f t="shared" si="188"/>
        <v>104</v>
      </c>
      <c r="G73" s="3541">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2603</v>
      </c>
      <c r="B74" s="2968">
        <v>111</v>
      </c>
      <c r="C74" s="2968">
        <v>114</v>
      </c>
      <c r="D74" s="2968">
        <f t="shared" si="153"/>
        <v>114</v>
      </c>
      <c r="E74" s="2968">
        <v>108</v>
      </c>
      <c r="F74" s="2969">
        <v>104</v>
      </c>
      <c r="G74" s="3540">
        <v>2003</v>
      </c>
      <c r="H74" s="2958">
        <v>4</v>
      </c>
      <c r="I74" s="2970"/>
      <c r="J74" s="2970"/>
      <c r="K74" s="2970"/>
      <c r="L74" s="2970"/>
      <c r="N74" s="2971"/>
      <c r="O74" s="2970"/>
      <c r="P74" s="2970"/>
      <c r="Q74" s="2970"/>
      <c r="S74" s="2971"/>
      <c r="T74" s="2970"/>
      <c r="U74" s="2970"/>
      <c r="V74" s="2970"/>
      <c r="X74" s="2962"/>
      <c r="Y74" s="2962"/>
      <c r="Z74" s="2962"/>
    </row>
    <row r="75" spans="1:26">
      <c r="A75" s="2898" t="s">
        <v>2604</v>
      </c>
      <c r="B75" s="2972">
        <f t="shared" ref="B75:C77" si="189">B76+(B$74-B$78)/4</f>
        <v>109.75</v>
      </c>
      <c r="C75" s="2972">
        <f t="shared" si="189"/>
        <v>112.25</v>
      </c>
      <c r="D75" s="2972">
        <f t="shared" si="153"/>
        <v>112.25</v>
      </c>
      <c r="E75" s="2972">
        <f t="shared" ref="E75:F77" si="190">E76+(E$74-E$78)/4</f>
        <v>107.25</v>
      </c>
      <c r="F75" s="2972">
        <f t="shared" si="190"/>
        <v>103.5</v>
      </c>
      <c r="G75" s="3538">
        <v>2003</v>
      </c>
      <c r="H75" s="2925">
        <v>3</v>
      </c>
      <c r="I75" s="2970"/>
      <c r="J75" s="2970"/>
      <c r="K75" s="2970"/>
      <c r="L75" s="2970"/>
      <c r="X75" s="2962"/>
      <c r="Y75" s="2962"/>
      <c r="Z75" s="2962"/>
    </row>
    <row r="76" spans="1:26">
      <c r="A76" s="2898" t="s">
        <v>2605</v>
      </c>
      <c r="B76" s="2972">
        <f t="shared" si="189"/>
        <v>108.5</v>
      </c>
      <c r="C76" s="2972">
        <f t="shared" si="189"/>
        <v>110.5</v>
      </c>
      <c r="D76" s="2972">
        <f t="shared" si="153"/>
        <v>110.5</v>
      </c>
      <c r="E76" s="2972">
        <f t="shared" si="190"/>
        <v>106.5</v>
      </c>
      <c r="F76" s="2972">
        <f t="shared" si="190"/>
        <v>103</v>
      </c>
      <c r="G76" s="3538">
        <v>2003</v>
      </c>
      <c r="H76" s="2913">
        <v>2</v>
      </c>
      <c r="I76" s="2970"/>
      <c r="J76" s="2970"/>
      <c r="K76" s="2970"/>
      <c r="L76" s="2970"/>
      <c r="X76" s="2962"/>
      <c r="Y76" s="2962"/>
      <c r="Z76" s="2962"/>
    </row>
    <row r="77" spans="1:26" ht="13.5" thickBot="1">
      <c r="A77" s="2898" t="s">
        <v>2606</v>
      </c>
      <c r="B77" s="2972">
        <f t="shared" si="189"/>
        <v>107.25</v>
      </c>
      <c r="C77" s="2972">
        <f t="shared" si="189"/>
        <v>108.75</v>
      </c>
      <c r="D77" s="2972">
        <f t="shared" si="153"/>
        <v>108.75</v>
      </c>
      <c r="E77" s="2972">
        <f t="shared" si="190"/>
        <v>105.75</v>
      </c>
      <c r="F77" s="2972">
        <f t="shared" si="190"/>
        <v>102.5</v>
      </c>
      <c r="G77" s="3541">
        <v>2003</v>
      </c>
      <c r="H77" s="2973">
        <v>1</v>
      </c>
      <c r="I77" s="2970"/>
      <c r="J77" s="2970"/>
      <c r="K77" s="2970"/>
      <c r="L77" s="2970"/>
      <c r="S77" s="2901"/>
      <c r="T77" s="2887"/>
      <c r="U77" s="2887"/>
      <c r="X77" s="2962"/>
      <c r="Y77" s="2962"/>
      <c r="Z77" s="2962"/>
    </row>
    <row r="78" spans="1:26" ht="13.5" thickBot="1">
      <c r="A78" s="2898" t="s">
        <v>2607</v>
      </c>
      <c r="B78" s="2974">
        <v>106</v>
      </c>
      <c r="C78" s="2974">
        <v>107</v>
      </c>
      <c r="D78" s="2974">
        <f t="shared" si="153"/>
        <v>107</v>
      </c>
      <c r="E78" s="2974">
        <v>105</v>
      </c>
      <c r="F78" s="2975">
        <v>102</v>
      </c>
      <c r="G78" s="3540">
        <v>2002</v>
      </c>
      <c r="H78" s="2922">
        <v>4</v>
      </c>
      <c r="I78" s="2970"/>
      <c r="J78" s="2970"/>
      <c r="K78" s="2970"/>
      <c r="L78" s="2970"/>
      <c r="N78" s="2971"/>
      <c r="O78" s="2970"/>
      <c r="P78" s="2970"/>
      <c r="Q78" s="2970"/>
      <c r="S78" s="2971"/>
      <c r="T78" s="2970"/>
      <c r="U78" s="2970"/>
      <c r="V78" s="2970"/>
      <c r="X78" s="2962"/>
      <c r="Y78" s="2962"/>
      <c r="Z78" s="2962"/>
    </row>
    <row r="79" spans="1:26">
      <c r="A79" s="2898" t="s">
        <v>2608</v>
      </c>
      <c r="B79" s="2972">
        <f t="shared" ref="B79:C81" si="191">B80+(B$78-B$82)/4</f>
        <v>105</v>
      </c>
      <c r="C79" s="2972">
        <f t="shared" si="191"/>
        <v>106</v>
      </c>
      <c r="D79" s="2972">
        <f t="shared" si="153"/>
        <v>106</v>
      </c>
      <c r="E79" s="2972">
        <f t="shared" ref="E79:F81" si="192">E80+(E$78-E$82)/4</f>
        <v>104.5</v>
      </c>
      <c r="F79" s="2972">
        <f t="shared" si="192"/>
        <v>101.5</v>
      </c>
      <c r="G79" s="3538">
        <v>2002</v>
      </c>
      <c r="H79" s="2925">
        <v>3</v>
      </c>
      <c r="I79" s="2970"/>
      <c r="J79" s="2970"/>
      <c r="K79" s="2970"/>
      <c r="L79" s="2970"/>
      <c r="X79" s="2962"/>
      <c r="Y79" s="2962"/>
      <c r="Z79" s="2962"/>
    </row>
    <row r="80" spans="1:26">
      <c r="A80" s="2898" t="s">
        <v>2609</v>
      </c>
      <c r="B80" s="2972">
        <f t="shared" si="191"/>
        <v>104</v>
      </c>
      <c r="C80" s="2972">
        <f t="shared" si="191"/>
        <v>105</v>
      </c>
      <c r="D80" s="2972">
        <f t="shared" si="153"/>
        <v>105</v>
      </c>
      <c r="E80" s="2972">
        <f t="shared" si="192"/>
        <v>104</v>
      </c>
      <c r="F80" s="2972">
        <f t="shared" si="192"/>
        <v>101</v>
      </c>
      <c r="G80" s="3538">
        <v>2002</v>
      </c>
      <c r="H80" s="2913">
        <v>2</v>
      </c>
      <c r="I80" s="2970"/>
      <c r="J80" s="2970"/>
      <c r="K80" s="2970"/>
      <c r="L80" s="2970"/>
      <c r="X80" s="2962"/>
      <c r="Y80" s="2962"/>
      <c r="Z80" s="2962"/>
    </row>
    <row r="81" spans="1:26" s="2935" customFormat="1" ht="13.5" thickBot="1">
      <c r="A81" s="2931" t="s">
        <v>2610</v>
      </c>
      <c r="B81" s="2938">
        <f t="shared" si="191"/>
        <v>103</v>
      </c>
      <c r="C81" s="2938">
        <f t="shared" si="191"/>
        <v>104</v>
      </c>
      <c r="D81" s="2938">
        <f t="shared" si="153"/>
        <v>104</v>
      </c>
      <c r="E81" s="2938">
        <f t="shared" si="192"/>
        <v>103.5</v>
      </c>
      <c r="F81" s="2938">
        <f t="shared" si="192"/>
        <v>100.5</v>
      </c>
      <c r="G81" s="3541">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2611</v>
      </c>
      <c r="G84" s="2985"/>
      <c r="N84" s="2985"/>
      <c r="S84" s="2985"/>
    </row>
    <row r="85" spans="1:26" s="2984" customFormat="1">
      <c r="A85" s="2984" t="s">
        <v>2612</v>
      </c>
      <c r="G85" s="2985"/>
      <c r="N85" s="2985"/>
      <c r="S85" s="2985"/>
    </row>
    <row r="86" spans="1:26" s="2984" customFormat="1">
      <c r="A86" s="2984" t="s">
        <v>2613</v>
      </c>
      <c r="G86" s="2985"/>
      <c r="I86" s="2986"/>
      <c r="J86" s="2986"/>
      <c r="K86" s="2986"/>
      <c r="L86" s="2986"/>
      <c r="N86" s="2987"/>
      <c r="O86" s="2986"/>
      <c r="P86" s="2986"/>
      <c r="Q86" s="2986"/>
      <c r="S86" s="2987"/>
      <c r="T86" s="2986"/>
      <c r="U86" s="2986"/>
      <c r="V86" s="2986"/>
    </row>
    <row r="87" spans="1:26" s="2984" customFormat="1">
      <c r="A87" s="2984" t="s">
        <v>2614</v>
      </c>
      <c r="G87" s="2985"/>
      <c r="N87" s="2985"/>
      <c r="S87" s="2985"/>
    </row>
    <row r="94" spans="1:26" ht="13.5" thickBot="1"/>
    <row r="95" spans="1:26">
      <c r="G95" s="2886"/>
      <c r="S95" s="2988" t="s">
        <v>2615</v>
      </c>
      <c r="T95" s="2989" t="s">
        <v>2616</v>
      </c>
      <c r="U95" s="2989" t="s">
        <v>2617</v>
      </c>
      <c r="V95" s="2989" t="s">
        <v>2618</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-3</v>
      </c>
      <c r="G1" s="764">
        <f>MATCH(C1,'数据-取费表'!A6:A16,0)+5</f>
        <v>10</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1677</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1815</v>
      </c>
      <c r="B8" s="3549" t="s">
        <v>2444</v>
      </c>
      <c r="C8" s="1740">
        <f ca="1">ROUND(F8*F10*F9*(1-F11)/10000,0)</f>
        <v>0</v>
      </c>
      <c r="D8" s="1737" t="s">
        <v>2515</v>
      </c>
      <c r="E8" s="61" t="s">
        <v>631</v>
      </c>
      <c r="F8" s="775">
        <f ca="1">INDIRECT("'数据-取费表'!u"&amp;$G$1)</f>
        <v>0</v>
      </c>
      <c r="G8" s="1526"/>
      <c r="H8" s="2357" t="s">
        <v>1815</v>
      </c>
      <c r="I8" s="3549" t="s">
        <v>2444</v>
      </c>
      <c r="J8" s="773">
        <f ca="1">ROUND(M8*M10*M9*(1-M11)/10000,0)</f>
        <v>0</v>
      </c>
      <c r="K8" s="339" t="s">
        <v>2515</v>
      </c>
      <c r="L8" s="774" t="s">
        <v>1729</v>
      </c>
      <c r="M8" s="775">
        <f ca="1">INDIRECT("'数据-取费表'!z"&amp;$G$1)</f>
        <v>0</v>
      </c>
    </row>
    <row r="9" spans="1:25" ht="18" customHeight="1">
      <c r="A9" s="2353"/>
      <c r="B9" s="3550"/>
      <c r="C9" s="1741"/>
      <c r="D9" s="1738"/>
      <c r="E9" s="61" t="s">
        <v>632</v>
      </c>
      <c r="F9" s="775">
        <f ca="1">IF(INDIRECT("'数据-取费表'!ah"&amp;$G$1)="",INDIRECT("'数据-取费表'!k"&amp;$G$1),INDIRECT("'数据-取费表'!ah"&amp;$G$1))</f>
        <v>0</v>
      </c>
      <c r="G9" s="1526"/>
      <c r="H9" s="2342"/>
      <c r="I9" s="3550"/>
      <c r="J9" s="778"/>
      <c r="K9" s="779"/>
      <c r="L9" s="774" t="s">
        <v>1730</v>
      </c>
      <c r="M9" s="775">
        <f ca="1">F9</f>
        <v>0</v>
      </c>
    </row>
    <row r="10" spans="1:25" ht="18" customHeight="1">
      <c r="A10" s="2346"/>
      <c r="B10" s="3551"/>
      <c r="C10" s="1741"/>
      <c r="D10" s="1738"/>
      <c r="E10" s="61" t="s">
        <v>633</v>
      </c>
      <c r="F10" s="775">
        <f ca="1">INDIRECT("'数据-取费表'!ai"&amp;$G$1)</f>
        <v>0</v>
      </c>
      <c r="G10" s="1526"/>
      <c r="H10" s="2342"/>
      <c r="I10" s="3551"/>
      <c r="J10" s="778"/>
      <c r="K10" s="779"/>
      <c r="L10" s="774" t="s">
        <v>1731</v>
      </c>
      <c r="M10" s="775">
        <f ca="1">INDIRECT("'数据-取费表'!ai"&amp;$G$1)</f>
        <v>0</v>
      </c>
    </row>
    <row r="11" spans="1:25" ht="18" customHeight="1">
      <c r="A11" s="776"/>
      <c r="B11" s="3552"/>
      <c r="C11" s="1741"/>
      <c r="D11" s="1738"/>
      <c r="E11" s="61" t="s">
        <v>634</v>
      </c>
      <c r="F11" s="784">
        <f ca="1">INDIRECT("'数据-取费表'!w"&amp;$G$1)</f>
        <v>0</v>
      </c>
      <c r="G11" s="1526"/>
      <c r="H11" s="2358"/>
      <c r="I11" s="3551"/>
      <c r="J11" s="778"/>
      <c r="K11" s="779"/>
      <c r="L11" s="785" t="s">
        <v>1732</v>
      </c>
      <c r="M11" s="786">
        <f ca="1">INDIRECT("'数据-取费表'!ab"&amp;$G$1)</f>
        <v>0</v>
      </c>
    </row>
    <row r="12" spans="1:25" ht="18" customHeight="1">
      <c r="A12" s="1745" t="s">
        <v>1816</v>
      </c>
      <c r="B12" s="2347" t="s">
        <v>2440</v>
      </c>
      <c r="C12" s="789">
        <f ca="1">ROUND(IF(F12="押一",C8/12*F13,IF(F12="押二",C8/12*2*F13,IF(F12="押三",C8/12*3*F13,C13*F13))),0)</f>
        <v>0</v>
      </c>
      <c r="D12" s="2354" t="s">
        <v>2938</v>
      </c>
      <c r="E12" s="2351" t="s">
        <v>2445</v>
      </c>
      <c r="F12" s="2465"/>
      <c r="G12" s="1526"/>
      <c r="H12" s="2414" t="s">
        <v>1816</v>
      </c>
      <c r="I12" s="2419" t="s">
        <v>2440</v>
      </c>
      <c r="J12" s="773">
        <f ca="1">ROUND(IF(M12="押一",J8/12*M13,IF(M12="押二",J8/12*2*M13,IF(M12="押三",J8/12*3*M13,J13*M13))),0)</f>
        <v>0</v>
      </c>
      <c r="K12" s="2354" t="s">
        <v>2938</v>
      </c>
      <c r="L12" s="2351" t="s">
        <v>2445</v>
      </c>
      <c r="M12" s="2465"/>
    </row>
    <row r="13" spans="1:25" ht="18" customHeight="1">
      <c r="A13" s="780"/>
      <c r="B13" s="2348" t="s">
        <v>2554</v>
      </c>
      <c r="C13" s="2352"/>
      <c r="D13" s="779"/>
      <c r="E13" s="2351" t="s">
        <v>2438</v>
      </c>
      <c r="F13" s="786">
        <f ca="1">'数据-取费表'!B39</f>
        <v>1.4999999999999999E-2</v>
      </c>
      <c r="G13" s="1526"/>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2804</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18</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3</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1.1999999999999999E-3</v>
      </c>
      <c r="D26" s="2423" t="str">
        <f>IF(F25&lt;=1,"销售费用×利率×(建设周期÷2)","销售费用×((1+利率)^(建设周期÷2)-1)")</f>
        <v>销售费用×((1+利率)^(建设周期÷2)-1)</v>
      </c>
      <c r="E26" s="774" t="s">
        <v>676</v>
      </c>
      <c r="F26" s="808">
        <f ca="1">'数据-取费表'!B40</f>
        <v>3.85E-2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2801</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2802</v>
      </c>
      <c r="C31" s="2397">
        <f ca="1">ROUND((C21+C22+C25+C28)/(1-F23-C26-C29-C30),0)</f>
        <v>0</v>
      </c>
      <c r="D31" s="2398"/>
      <c r="E31" s="2399"/>
      <c r="F31" s="2400"/>
      <c r="G31" s="1527"/>
      <c r="H31" s="812" t="s">
        <v>1863</v>
      </c>
      <c r="I31" s="2725"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2995</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18</v>
      </c>
      <c r="G36" s="1945"/>
      <c r="H36" s="1948"/>
      <c r="I36" s="3548"/>
      <c r="J36" s="1962"/>
      <c r="K36" s="1963"/>
      <c r="L36" s="1962"/>
      <c r="M36" s="1962"/>
    </row>
    <row r="37" spans="1:18" ht="18" customHeight="1">
      <c r="A37" s="804"/>
      <c r="B37" s="783"/>
      <c r="C37" s="69"/>
      <c r="D37" s="805"/>
      <c r="E37" s="774" t="s">
        <v>668</v>
      </c>
      <c r="F37" s="775">
        <f ca="1">INDIRECT("'数据-取费表'!r"&amp;$G$1)</f>
        <v>0</v>
      </c>
      <c r="G37" s="1945"/>
      <c r="H37" s="1948"/>
      <c r="I37" s="3548"/>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-3</v>
      </c>
      <c r="K54" s="3553"/>
      <c r="L54" s="3554"/>
      <c r="O54" s="2256" t="s">
        <v>2373</v>
      </c>
      <c r="P54" s="2254" t="s">
        <v>2374</v>
      </c>
      <c r="Q54" s="2255">
        <f ca="1">J54</f>
        <v>-3</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114571.08平方米。根据《建设工程规划许可证》[]、《出让合同》[]，估价对象规划建筑面积为123065平方米。</v>
      </c>
    </row>
    <row r="7" spans="1:4" ht="56.25">
      <c r="A7" s="1710" t="s">
        <v>2727</v>
      </c>
    </row>
    <row r="8" spans="1:4" ht="18.75">
      <c r="A8" s="1709" t="s">
        <v>1897</v>
      </c>
    </row>
    <row r="9" spans="1:4" ht="75">
      <c r="A9" s="17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2021年3月10日（评估专业人员勘察现场之日）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根据《国有土地使用证》[]，估价对象（分摊）出让国有建设用地使用权面积为114571.08平方米。根据《建设工程规划许可证》[]、《出让合同》[]，估价对象规划建筑面积为123065平方米。</v>
      </c>
    </row>
    <row r="21" spans="1:1" ht="18.75">
      <c r="A21" s="1706" t="s">
        <v>2063</v>
      </c>
    </row>
    <row r="22" spans="1:1" ht="11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2067年10月9日、商业2037年10月9日车库2047年10月9日、地下仓储2047年10月9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10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10</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5"/>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2439</v>
      </c>
      <c r="C5" s="55">
        <f ca="1">C6+C10+C12</f>
        <v>0</v>
      </c>
      <c r="D5" s="2349" t="s">
        <v>2442</v>
      </c>
      <c r="E5" s="2343"/>
      <c r="F5" s="2344"/>
      <c r="G5" s="1945"/>
      <c r="H5" s="771">
        <v>1</v>
      </c>
      <c r="I5" s="772" t="s">
        <v>2439</v>
      </c>
      <c r="J5" s="55">
        <f ca="1">J6+J10+J12</f>
        <v>0</v>
      </c>
      <c r="K5" s="2349" t="s">
        <v>2442</v>
      </c>
      <c r="L5" s="2343"/>
      <c r="M5" s="2344"/>
    </row>
    <row r="6" spans="1:33" ht="18" customHeight="1">
      <c r="A6" s="1745" t="s">
        <v>1815</v>
      </c>
      <c r="B6" s="3549" t="s">
        <v>2444</v>
      </c>
      <c r="C6" s="773">
        <f ca="1">ROUND(F6*F8*F7*(1-F9)/10000,0)</f>
        <v>0</v>
      </c>
      <c r="D6" s="2350" t="s">
        <v>2443</v>
      </c>
      <c r="E6" s="774" t="s">
        <v>1729</v>
      </c>
      <c r="F6" s="775">
        <f ca="1">INDIRECT("'数据-取费表'!u"&amp;$G$1)</f>
        <v>0</v>
      </c>
      <c r="G6" s="1945"/>
      <c r="H6" s="2357" t="s">
        <v>2449</v>
      </c>
      <c r="I6" s="3549" t="s">
        <v>2444</v>
      </c>
      <c r="J6" s="773">
        <f ca="1">ROUND(M6*M8*M7*(1-M9)/10000,0)</f>
        <v>0</v>
      </c>
      <c r="K6" s="339" t="s">
        <v>1728</v>
      </c>
      <c r="L6" s="774" t="s">
        <v>1729</v>
      </c>
      <c r="M6" s="775">
        <f ca="1">INDIRECT("'数据-取费表'!z"&amp;$G$1)</f>
        <v>0</v>
      </c>
    </row>
    <row r="7" spans="1:33" ht="18" customHeight="1">
      <c r="A7" s="2353"/>
      <c r="B7" s="3550"/>
      <c r="C7" s="778"/>
      <c r="D7" s="779"/>
      <c r="E7" s="774" t="s">
        <v>1730</v>
      </c>
      <c r="F7" s="775">
        <f ca="1">IF(INDIRECT("'数据-取费表'!ah"&amp;$G$1)="",INDIRECT("'数据-取费表'!k"&amp;$G$1),INDIRECT("'数据-取费表'!ah"&amp;$G$1))</f>
        <v>0</v>
      </c>
      <c r="G7" s="1945"/>
      <c r="H7" s="2342"/>
      <c r="I7" s="3550"/>
      <c r="J7" s="778"/>
      <c r="K7" s="779"/>
      <c r="L7" s="774" t="s">
        <v>1730</v>
      </c>
      <c r="M7" s="775">
        <f ca="1">F7</f>
        <v>0</v>
      </c>
    </row>
    <row r="8" spans="1:33" ht="18" customHeight="1">
      <c r="A8" s="2346"/>
      <c r="B8" s="3551"/>
      <c r="C8" s="778"/>
      <c r="D8" s="779"/>
      <c r="E8" s="774" t="s">
        <v>1731</v>
      </c>
      <c r="F8" s="775">
        <f ca="1">INDIRECT("'数据-取费表'!ai"&amp;$G$1)</f>
        <v>0</v>
      </c>
      <c r="G8" s="1945"/>
      <c r="H8" s="2342"/>
      <c r="I8" s="3551"/>
      <c r="J8" s="778"/>
      <c r="K8" s="779"/>
      <c r="L8" s="774" t="s">
        <v>1731</v>
      </c>
      <c r="M8" s="775">
        <f ca="1">INDIRECT("'数据-取费表'!ai"&amp;$G$1)</f>
        <v>0</v>
      </c>
    </row>
    <row r="9" spans="1:33" ht="18" customHeight="1">
      <c r="A9" s="776"/>
      <c r="B9" s="3552"/>
      <c r="C9" s="778"/>
      <c r="D9" s="779"/>
      <c r="E9" s="774" t="s">
        <v>1732</v>
      </c>
      <c r="F9" s="784">
        <f ca="1">INDIRECT("'数据-取费表'!w"&amp;$G$1)</f>
        <v>0</v>
      </c>
      <c r="G9" s="1945"/>
      <c r="H9" s="2358"/>
      <c r="I9" s="3551"/>
      <c r="J9" s="778"/>
      <c r="K9" s="779"/>
      <c r="L9" s="785" t="s">
        <v>1732</v>
      </c>
      <c r="M9" s="786">
        <f ca="1">INDIRECT("'数据-取费表'!ab"&amp;$G$1)</f>
        <v>0</v>
      </c>
    </row>
    <row r="10" spans="1:33" ht="18" customHeight="1">
      <c r="A10" s="1745" t="s">
        <v>2447</v>
      </c>
      <c r="B10" s="2347" t="s">
        <v>2440</v>
      </c>
      <c r="C10" s="789">
        <f ca="1">ROUND(IF(F10="押一",C6/12*F11,IF(F10="押二",C6/12*2*F11,IF(F10="押三",C6/12*3*F11,C11*F11))),0)</f>
        <v>0</v>
      </c>
      <c r="D10" s="2354" t="s">
        <v>2938</v>
      </c>
      <c r="E10" s="2351" t="s">
        <v>2445</v>
      </c>
      <c r="F10" s="2465"/>
      <c r="G10" s="1945"/>
      <c r="H10" s="2414" t="s">
        <v>2450</v>
      </c>
      <c r="I10" s="2419" t="s">
        <v>2440</v>
      </c>
      <c r="J10" s="773">
        <f ca="1">ROUND(IF(M10="押一",J6/12*M11,IF(M10="押二",J6/12*2*M11,IF(M10="押三",J6/12*3*M11,J11*M11))),0)</f>
        <v>0</v>
      </c>
      <c r="K10" s="2354" t="s">
        <v>2938</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0</v>
      </c>
      <c r="D14" s="1893" t="s">
        <v>1736</v>
      </c>
      <c r="E14" s="1894"/>
      <c r="F14" s="795"/>
      <c r="G14" s="1945"/>
      <c r="H14" s="1577" t="s">
        <v>1821</v>
      </c>
      <c r="I14" s="2111" t="s">
        <v>2805</v>
      </c>
      <c r="J14" s="53">
        <f ca="1">C29</f>
        <v>0</v>
      </c>
      <c r="K14" s="26"/>
      <c r="L14" s="791"/>
      <c r="M14" s="792"/>
    </row>
    <row r="15" spans="1:33" s="1947" customFormat="1" ht="18" customHeight="1" thickBot="1">
      <c r="A15" s="1576"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6" t="s">
        <v>1878</v>
      </c>
      <c r="B17" s="774" t="s">
        <v>647</v>
      </c>
      <c r="C17" s="53">
        <f ca="1">ROUND(F17*(F43+INDIRECT("'数据-取费表'!S"&amp;$G$1))/10000,0)</f>
        <v>0</v>
      </c>
      <c r="D17" s="774" t="s">
        <v>1742</v>
      </c>
      <c r="E17" s="774" t="s">
        <v>1743</v>
      </c>
      <c r="F17" s="56">
        <f>'数据-取费表'!B35</f>
        <v>200</v>
      </c>
      <c r="G17" s="3261"/>
      <c r="H17" s="1577"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0</v>
      </c>
      <c r="D18" s="774" t="s">
        <v>1737</v>
      </c>
      <c r="E18" s="774" t="s">
        <v>1738</v>
      </c>
      <c r="F18" s="799">
        <f>'数据-取费表'!B36</f>
        <v>1.4999999999999999E-2</v>
      </c>
      <c r="G18" s="3261"/>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0</v>
      </c>
      <c r="D19" s="259" t="s">
        <v>1748</v>
      </c>
      <c r="E19" s="1896"/>
      <c r="F19" s="56"/>
      <c r="G19" s="1945"/>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7" t="s">
        <v>1880</v>
      </c>
      <c r="B20" s="774" t="s">
        <v>660</v>
      </c>
      <c r="C20" s="53">
        <f ca="1">ROUND(C19*F20,0)</f>
        <v>0</v>
      </c>
      <c r="D20" s="801" t="s">
        <v>1750</v>
      </c>
      <c r="E20" s="774" t="s">
        <v>1738</v>
      </c>
      <c r="F20" s="799">
        <f>'数据-取费表'!B37</f>
        <v>0.02</v>
      </c>
      <c r="G20" s="3261"/>
      <c r="H20" s="1579" t="s">
        <v>1871</v>
      </c>
      <c r="I20" s="339" t="s">
        <v>1751</v>
      </c>
      <c r="J20" s="54">
        <f ca="1">ROUND(M20*M21/10000,0)</f>
        <v>0</v>
      </c>
      <c r="K20" s="803" t="s">
        <v>1752</v>
      </c>
      <c r="L20" s="774" t="s">
        <v>1753</v>
      </c>
      <c r="M20" s="632">
        <f>'数据-取费表'!B52</f>
        <v>18</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0</v>
      </c>
      <c r="K22" s="2337" t="s">
        <v>1760</v>
      </c>
      <c r="L22" s="774" t="s">
        <v>1738</v>
      </c>
      <c r="M22" s="806">
        <f ca="1">INDIRECT("'数据-取费表'!Ak"&amp;$G$1)</f>
        <v>0</v>
      </c>
    </row>
    <row r="23" spans="1:33" s="1947" customFormat="1" ht="18" customHeight="1">
      <c r="A23" s="1576" t="s">
        <v>1822</v>
      </c>
      <c r="B23" s="774" t="s">
        <v>2516</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3</v>
      </c>
      <c r="G23" s="3261"/>
      <c r="H23" s="1577"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1.1999999999999999E-3</v>
      </c>
      <c r="D24" s="2423" t="str">
        <f>IF(F23&lt;=1,"销售费用×利率×(建设周期÷2)","销售费用×((1+利率)^(建设周期÷2)-1)")</f>
        <v>销售费用×((1+利率)^(建设周期÷2)-1)</v>
      </c>
      <c r="E24" s="774" t="s">
        <v>1764</v>
      </c>
      <c r="F24" s="808">
        <f ca="1">'数据-取费表'!B40</f>
        <v>3.85E-2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2801</v>
      </c>
      <c r="J25" s="782">
        <f ca="1">J5-J16</f>
        <v>0</v>
      </c>
      <c r="K25" s="2401" t="s">
        <v>1768</v>
      </c>
      <c r="L25" s="2402"/>
      <c r="M25" s="2403"/>
    </row>
    <row r="26" spans="1:33" ht="18" customHeight="1">
      <c r="A26" s="1576" t="s">
        <v>1822</v>
      </c>
      <c r="B26" s="774" t="s">
        <v>2422</v>
      </c>
      <c r="C26" s="53">
        <f ca="1">ROUND((C19+C20)*F26,0)</f>
        <v>0</v>
      </c>
      <c r="D26" s="801" t="s">
        <v>1769</v>
      </c>
      <c r="E26" s="785" t="s">
        <v>1770</v>
      </c>
      <c r="F26" s="784">
        <f ca="1">INDIRECT("'数据-取费表'!q"&amp;$G$1)</f>
        <v>0</v>
      </c>
      <c r="G26" s="1945"/>
      <c r="H26" s="2355" t="s">
        <v>1771</v>
      </c>
      <c r="I26" s="2112" t="s">
        <v>2806</v>
      </c>
      <c r="J26" s="773">
        <f ca="1">IF(J5&lt;&gt;0,ROUND(J25*(1-((1+M28)/(1+M26))^M27)/(M26-M28),0),0)</f>
        <v>0</v>
      </c>
      <c r="K26" s="803" t="s">
        <v>1772</v>
      </c>
      <c r="L26" s="774" t="s">
        <v>2404</v>
      </c>
      <c r="M26" s="784">
        <f ca="1">INDIRECT("'数据-取费表'!I"&amp;$G$1)</f>
        <v>0</v>
      </c>
    </row>
    <row r="27" spans="1:33" ht="18" customHeight="1">
      <c r="A27" s="1576"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2996</v>
      </c>
      <c r="I31" s="1949"/>
      <c r="J31" s="1950"/>
      <c r="K31" s="1951"/>
      <c r="L31" s="1952"/>
      <c r="M31" s="1953"/>
    </row>
    <row r="32" spans="1:33" ht="18" customHeight="1">
      <c r="A32" s="1576" t="s">
        <v>1822</v>
      </c>
      <c r="B32" s="774" t="s">
        <v>1785</v>
      </c>
      <c r="C32" s="53">
        <f ca="1">ROUND(C6*F32/(1+'数据-取费表'!C42),1)</f>
        <v>0</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79" t="s">
        <v>1824</v>
      </c>
      <c r="B34" s="339" t="s">
        <v>1789</v>
      </c>
      <c r="C34" s="54">
        <f ca="1">ROUND(F34*F35/10000,1)</f>
        <v>0</v>
      </c>
      <c r="D34" s="803" t="s">
        <v>1790</v>
      </c>
      <c r="E34" s="774" t="s">
        <v>1791</v>
      </c>
      <c r="F34" s="632">
        <f>'数据-取费表'!B52</f>
        <v>18</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7"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7"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2801</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6"/>
      <c r="Q46" s="1534"/>
      <c r="R46" s="1526"/>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4" t="str">
        <f>IF(ISNUMBER(FIND("住宅",C1)),"住宅","非住宅")</f>
        <v>非住宅</v>
      </c>
      <c r="O47" s="2250" t="s">
        <v>2360</v>
      </c>
      <c r="P47" s="2251" t="s">
        <v>2361</v>
      </c>
      <c r="Q47" s="2252" t="s">
        <v>2362</v>
      </c>
      <c r="R47" s="2251" t="s">
        <v>2363</v>
      </c>
    </row>
    <row r="48" spans="1:18" s="1942" customFormat="1" ht="18" customHeight="1" thickBot="1">
      <c r="A48" s="2484" t="s">
        <v>2518</v>
      </c>
      <c r="B48" s="2485" t="s">
        <v>2519</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2517</v>
      </c>
      <c r="B52" s="2347" t="s">
        <v>2440</v>
      </c>
      <c r="C52" s="789">
        <f ca="1">ROUND(IF(F52="押一",C48/12*F11,IF(F52="押二",C48/12*2*F11,IF(F52="押三",C48/12*3*F11,C53*F11))),0)</f>
        <v>0</v>
      </c>
      <c r="D52" s="2354" t="s">
        <v>2939</v>
      </c>
      <c r="E52" s="2351" t="s">
        <v>2445</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2554</v>
      </c>
      <c r="C53" s="2352"/>
      <c r="D53" s="2354"/>
      <c r="E53" s="2351"/>
      <c r="F53" s="790"/>
      <c r="I53" s="2805" t="s">
        <v>2942</v>
      </c>
      <c r="J53" s="2858">
        <f ca="1">IF(M47="住宅",IF(D1="——",MAX(J51,L48),MAX(J51,L48-'数据-取费表'!B20)),IF(D1="——",MIN(J51,L48),MIN(J51,L48-'数据-取费表'!B20)))</f>
        <v>0</v>
      </c>
      <c r="K53" s="3555" t="s">
        <v>2931</v>
      </c>
      <c r="L53" s="3556"/>
      <c r="M53" s="3263"/>
      <c r="O53" s="2256" t="s">
        <v>2373</v>
      </c>
      <c r="P53" s="2254" t="s">
        <v>2374</v>
      </c>
      <c r="Q53" s="2255">
        <f ca="1">J53</f>
        <v>0</v>
      </c>
      <c r="R53" s="2254" t="s">
        <v>2375</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6"/>
      <c r="Q55" s="1534"/>
      <c r="R55" s="1526"/>
    </row>
    <row r="56" spans="1:18" s="1942" customFormat="1" ht="42.75" customHeight="1" thickBot="1">
      <c r="A56" s="1578"/>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7"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79" t="s">
        <v>1824</v>
      </c>
      <c r="B61" s="339" t="s">
        <v>662</v>
      </c>
      <c r="C61" s="54">
        <f ca="1">ROUND(F61*F62/10000,1)</f>
        <v>0</v>
      </c>
      <c r="D61" s="803" t="s">
        <v>663</v>
      </c>
      <c r="E61" s="774" t="s">
        <v>664</v>
      </c>
      <c r="F61" s="632">
        <f t="shared" si="0"/>
        <v>18</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7"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7"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2801</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L20" sqref="L20"/>
    </sheetView>
  </sheetViews>
  <sheetFormatPr defaultRowHeight="13.5"/>
  <cols>
    <col min="1" max="1" width="10.5" customWidth="1"/>
    <col min="2" max="2" width="12.875" customWidth="1"/>
    <col min="3" max="3" width="8.75" customWidth="1"/>
  </cols>
  <sheetData>
    <row r="1" spans="1:9" ht="14.25">
      <c r="A1" s="3557" t="s">
        <v>2452</v>
      </c>
      <c r="B1" s="3558"/>
      <c r="C1" s="3559"/>
      <c r="D1" s="3560">
        <f>SUM(I10,I15,I20,I21,I23)</f>
        <v>0</v>
      </c>
      <c r="E1" s="3560"/>
      <c r="F1" s="3560"/>
      <c r="G1" s="3560"/>
      <c r="H1" s="3560"/>
      <c r="I1" s="3561"/>
    </row>
    <row r="2" spans="1:9">
      <c r="A2" s="3562" t="s">
        <v>2453</v>
      </c>
      <c r="B2" s="3563" t="s">
        <v>2454</v>
      </c>
      <c r="C2" s="3563"/>
      <c r="D2" s="2360" t="s">
        <v>2455</v>
      </c>
      <c r="E2" s="2360" t="s">
        <v>2456</v>
      </c>
      <c r="F2" s="2360" t="s">
        <v>2457</v>
      </c>
      <c r="G2" s="2360" t="s">
        <v>2458</v>
      </c>
      <c r="H2" s="2360" t="s">
        <v>2459</v>
      </c>
      <c r="I2" s="2361" t="s">
        <v>2460</v>
      </c>
    </row>
    <row r="3" spans="1:9">
      <c r="A3" s="3562"/>
      <c r="B3" s="3563" t="s">
        <v>2461</v>
      </c>
      <c r="C3" s="3563"/>
      <c r="D3" s="2362"/>
      <c r="E3" s="2360"/>
      <c r="F3" s="2363"/>
      <c r="G3" s="2363"/>
      <c r="H3" s="2364"/>
      <c r="I3" s="2365">
        <f>ROUND(D3*E3*F3*G3*H3/10000,0)</f>
        <v>0</v>
      </c>
    </row>
    <row r="4" spans="1:9">
      <c r="A4" s="3562"/>
      <c r="B4" s="3563" t="s">
        <v>2462</v>
      </c>
      <c r="C4" s="3563"/>
      <c r="D4" s="2362"/>
      <c r="E4" s="2360"/>
      <c r="F4" s="2363"/>
      <c r="G4" s="2363"/>
      <c r="H4" s="2364"/>
      <c r="I4" s="2365">
        <f t="shared" ref="I4:I9" si="0">ROUND(D4*E4*F4*G4*H4/10000,0)</f>
        <v>0</v>
      </c>
    </row>
    <row r="5" spans="1:9">
      <c r="A5" s="3562"/>
      <c r="B5" s="3563" t="s">
        <v>2463</v>
      </c>
      <c r="C5" s="3563"/>
      <c r="D5" s="2362"/>
      <c r="E5" s="2360"/>
      <c r="F5" s="2363"/>
      <c r="G5" s="2363"/>
      <c r="H5" s="2364"/>
      <c r="I5" s="2365">
        <f t="shared" si="0"/>
        <v>0</v>
      </c>
    </row>
    <row r="6" spans="1:9">
      <c r="A6" s="3562"/>
      <c r="B6" s="3563" t="s">
        <v>2464</v>
      </c>
      <c r="C6" s="3563"/>
      <c r="D6" s="2362"/>
      <c r="E6" s="2360"/>
      <c r="F6" s="2363"/>
      <c r="G6" s="2363"/>
      <c r="H6" s="2364"/>
      <c r="I6" s="2365">
        <f t="shared" si="0"/>
        <v>0</v>
      </c>
    </row>
    <row r="7" spans="1:9">
      <c r="A7" s="3562"/>
      <c r="B7" s="3563" t="s">
        <v>2465</v>
      </c>
      <c r="C7" s="3563"/>
      <c r="D7" s="2362"/>
      <c r="E7" s="2360"/>
      <c r="F7" s="2363"/>
      <c r="G7" s="2363"/>
      <c r="H7" s="2364"/>
      <c r="I7" s="2365">
        <f t="shared" si="0"/>
        <v>0</v>
      </c>
    </row>
    <row r="8" spans="1:9">
      <c r="A8" s="3562"/>
      <c r="B8" s="3563" t="s">
        <v>2466</v>
      </c>
      <c r="C8" s="3563"/>
      <c r="D8" s="2362"/>
      <c r="E8" s="2360"/>
      <c r="F8" s="2363"/>
      <c r="G8" s="2363"/>
      <c r="H8" s="2364"/>
      <c r="I8" s="2365">
        <f t="shared" si="0"/>
        <v>0</v>
      </c>
    </row>
    <row r="9" spans="1:9">
      <c r="A9" s="3562"/>
      <c r="B9" s="3563" t="s">
        <v>2467</v>
      </c>
      <c r="C9" s="3563"/>
      <c r="D9" s="2362"/>
      <c r="E9" s="2360"/>
      <c r="F9" s="2363"/>
      <c r="G9" s="2363"/>
      <c r="H9" s="2364"/>
      <c r="I9" s="2365">
        <f t="shared" si="0"/>
        <v>0</v>
      </c>
    </row>
    <row r="10" spans="1:9">
      <c r="A10" s="3562"/>
      <c r="B10" s="3564" t="s">
        <v>2468</v>
      </c>
      <c r="C10" s="3564"/>
      <c r="D10" s="2366">
        <v>527</v>
      </c>
      <c r="E10" s="2366" t="e">
        <f>ROUND(D1*10000/D10/H9,0)</f>
        <v>#DIV/0!</v>
      </c>
      <c r="F10" s="2367"/>
      <c r="G10" s="2367"/>
      <c r="H10" s="2368"/>
      <c r="I10" s="2369">
        <f>SUM(I3:I9)</f>
        <v>0</v>
      </c>
    </row>
    <row r="11" spans="1:9" ht="14.25">
      <c r="A11" s="3562" t="s">
        <v>2469</v>
      </c>
      <c r="B11" s="3563" t="s">
        <v>2470</v>
      </c>
      <c r="C11" s="3563"/>
      <c r="D11" s="2362" t="s">
        <v>2471</v>
      </c>
      <c r="E11" s="2362" t="s">
        <v>2472</v>
      </c>
      <c r="F11" s="2363" t="s">
        <v>2473</v>
      </c>
      <c r="G11" s="2363" t="s">
        <v>2474</v>
      </c>
      <c r="H11" s="2370" t="s">
        <v>2475</v>
      </c>
      <c r="I11" s="2361" t="s">
        <v>2476</v>
      </c>
    </row>
    <row r="12" spans="1:9">
      <c r="A12" s="3562"/>
      <c r="B12" s="3563" t="s">
        <v>2477</v>
      </c>
      <c r="C12" s="3563"/>
      <c r="D12" s="2362"/>
      <c r="E12" s="2362"/>
      <c r="F12" s="2363"/>
      <c r="G12" s="2364"/>
      <c r="H12" s="2371"/>
      <c r="I12" s="2361">
        <f>ROUND(D12*E12*F12*G12/10000,0)</f>
        <v>0</v>
      </c>
    </row>
    <row r="13" spans="1:9">
      <c r="A13" s="3562"/>
      <c r="B13" s="3563" t="s">
        <v>2478</v>
      </c>
      <c r="C13" s="3563"/>
      <c r="D13" s="2362"/>
      <c r="E13" s="2362"/>
      <c r="F13" s="2363"/>
      <c r="G13" s="2364"/>
      <c r="H13" s="2371"/>
      <c r="I13" s="2361">
        <f>ROUND(D13*E13*F13*G13/10000,0)</f>
        <v>0</v>
      </c>
    </row>
    <row r="14" spans="1:9">
      <c r="A14" s="3562"/>
      <c r="B14" s="3563" t="s">
        <v>2479</v>
      </c>
      <c r="C14" s="3563"/>
      <c r="D14" s="2362"/>
      <c r="E14" s="2362"/>
      <c r="F14" s="2363"/>
      <c r="G14" s="2364"/>
      <c r="H14" s="2371"/>
      <c r="I14" s="2361">
        <f>ROUND(D14*E14*F14*G14/10000,0)</f>
        <v>0</v>
      </c>
    </row>
    <row r="15" spans="1:9">
      <c r="A15" s="3562"/>
      <c r="B15" s="3564" t="s">
        <v>2468</v>
      </c>
      <c r="C15" s="3564"/>
      <c r="D15" s="2366"/>
      <c r="E15" s="2366">
        <f>SUM(E12:E14)</f>
        <v>0</v>
      </c>
      <c r="F15" s="2367"/>
      <c r="G15" s="2364"/>
      <c r="H15" s="2371"/>
      <c r="I15" s="2372">
        <f>SUM(I12:I14)</f>
        <v>0</v>
      </c>
    </row>
    <row r="16" spans="1:9" ht="24">
      <c r="A16" s="3562" t="s">
        <v>2480</v>
      </c>
      <c r="B16" s="3563" t="s">
        <v>2481</v>
      </c>
      <c r="C16" s="3563"/>
      <c r="D16" s="2362" t="s">
        <v>2482</v>
      </c>
      <c r="E16" s="2373" t="s">
        <v>2483</v>
      </c>
      <c r="F16" s="2363" t="s">
        <v>2484</v>
      </c>
      <c r="G16" s="2364" t="s">
        <v>2474</v>
      </c>
      <c r="H16" s="2370" t="s">
        <v>2475</v>
      </c>
      <c r="I16" s="2361" t="s">
        <v>2476</v>
      </c>
    </row>
    <row r="17" spans="1:9" ht="14.25">
      <c r="A17" s="3562"/>
      <c r="B17" s="3563" t="s">
        <v>2485</v>
      </c>
      <c r="C17" s="3563"/>
      <c r="D17" s="2362"/>
      <c r="E17" s="2362"/>
      <c r="F17" s="2363"/>
      <c r="G17" s="2364"/>
      <c r="H17" s="2374"/>
      <c r="I17" s="2375">
        <f>ROUND(D17*E17*F17*G17/10000,0)</f>
        <v>0</v>
      </c>
    </row>
    <row r="18" spans="1:9" ht="14.25">
      <c r="A18" s="3562"/>
      <c r="B18" s="3563" t="s">
        <v>2486</v>
      </c>
      <c r="C18" s="3563"/>
      <c r="D18" s="2362"/>
      <c r="E18" s="2362"/>
      <c r="F18" s="2363"/>
      <c r="G18" s="2364"/>
      <c r="H18" s="2374"/>
      <c r="I18" s="2375">
        <f>ROUND(D18*E18*F18*G18/10000,0)</f>
        <v>0</v>
      </c>
    </row>
    <row r="19" spans="1:9" ht="14.25">
      <c r="A19" s="3562"/>
      <c r="B19" s="3563" t="s">
        <v>2487</v>
      </c>
      <c r="C19" s="3563"/>
      <c r="D19" s="2362"/>
      <c r="E19" s="2362"/>
      <c r="F19" s="2363"/>
      <c r="G19" s="2364"/>
      <c r="H19" s="2374"/>
      <c r="I19" s="2375">
        <f>ROUND(D19*E19*F19*G19/10000,0)</f>
        <v>0</v>
      </c>
    </row>
    <row r="20" spans="1:9">
      <c r="A20" s="3562"/>
      <c r="B20" s="3564" t="s">
        <v>2468</v>
      </c>
      <c r="C20" s="3564"/>
      <c r="D20" s="2366">
        <f>SUM(D17:D19)</f>
        <v>0</v>
      </c>
      <c r="E20" s="2366"/>
      <c r="F20" s="2367"/>
      <c r="G20" s="2364"/>
      <c r="H20" s="2371"/>
      <c r="I20" s="2372">
        <f>SUM(I17:I19)</f>
        <v>0</v>
      </c>
    </row>
    <row r="21" spans="1:9">
      <c r="A21" s="3562" t="s">
        <v>2488</v>
      </c>
      <c r="B21" s="3566"/>
      <c r="C21" s="3566"/>
      <c r="D21" s="3566"/>
      <c r="E21" s="3566"/>
      <c r="F21" s="3566"/>
      <c r="G21" s="3566"/>
      <c r="H21" s="2376">
        <v>0.1</v>
      </c>
      <c r="I21" s="2369">
        <f>ROUND(I10*H21,0)</f>
        <v>0</v>
      </c>
    </row>
    <row r="22" spans="1:9" ht="14.25">
      <c r="A22" s="3567" t="s">
        <v>2489</v>
      </c>
      <c r="B22" s="3568"/>
      <c r="C22" s="3569"/>
      <c r="D22" s="2377" t="s">
        <v>2490</v>
      </c>
      <c r="E22" s="2377" t="s">
        <v>2491</v>
      </c>
      <c r="F22" s="2378" t="s">
        <v>2492</v>
      </c>
      <c r="G22" s="2378" t="s">
        <v>2493</v>
      </c>
      <c r="H22" s="2370" t="s">
        <v>2494</v>
      </c>
      <c r="I22" s="2361" t="s">
        <v>2495</v>
      </c>
    </row>
    <row r="23" spans="1:9" ht="14.25" thickBot="1">
      <c r="A23" s="3570"/>
      <c r="B23" s="3571"/>
      <c r="C23" s="3572"/>
      <c r="D23" s="2379"/>
      <c r="E23" s="2379"/>
      <c r="F23" s="2379"/>
      <c r="G23" s="2380"/>
      <c r="H23" s="2381"/>
      <c r="I23" s="2382">
        <f>ROUND(E23*D23*F23*(1-G23)/10000,0)</f>
        <v>0</v>
      </c>
    </row>
    <row r="26" spans="1:9">
      <c r="A26" s="2383" t="s">
        <v>2496</v>
      </c>
      <c r="B26" s="2383"/>
      <c r="C26" s="2383"/>
      <c r="D26" s="2383"/>
      <c r="E26" s="3573">
        <f>C27-C30-C31-C32</f>
        <v>0</v>
      </c>
      <c r="F26" s="3573"/>
      <c r="G26" s="3573"/>
      <c r="H26" s="2756" t="s">
        <v>2822</v>
      </c>
    </row>
    <row r="27" spans="1:9">
      <c r="A27" s="2384">
        <v>1</v>
      </c>
      <c r="B27" s="2385" t="s">
        <v>2497</v>
      </c>
      <c r="C27" s="2385"/>
      <c r="D27" s="2385"/>
      <c r="E27" s="3574"/>
      <c r="F27" s="3574"/>
      <c r="G27" s="3574"/>
    </row>
    <row r="28" spans="1:9">
      <c r="A28" s="2386" t="s">
        <v>2498</v>
      </c>
      <c r="B28" s="2385" t="s">
        <v>2499</v>
      </c>
      <c r="C28" s="2385"/>
      <c r="D28" s="2385"/>
      <c r="E28" s="3574"/>
      <c r="F28" s="3574"/>
      <c r="G28" s="3574"/>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565"/>
      <c r="F32" s="3565"/>
      <c r="G32" s="3565"/>
    </row>
    <row r="33" spans="1:7" hidden="1">
      <c r="A33" s="3575" t="s">
        <v>2507</v>
      </c>
      <c r="B33" s="3576"/>
      <c r="C33" s="3576"/>
      <c r="D33" s="3577"/>
      <c r="E33" s="3573"/>
      <c r="F33" s="3573"/>
      <c r="G33" s="3573"/>
    </row>
    <row r="34" spans="1:7" hidden="1">
      <c r="A34" s="2388">
        <v>1</v>
      </c>
      <c r="B34" s="2385" t="s">
        <v>2508</v>
      </c>
      <c r="C34" s="2385"/>
      <c r="D34" s="2385"/>
      <c r="E34" s="3574"/>
      <c r="F34" s="3574"/>
      <c r="G34" s="3574"/>
    </row>
    <row r="35" spans="1:7" hidden="1">
      <c r="A35" s="2388">
        <v>2</v>
      </c>
      <c r="B35" s="2385" t="s">
        <v>2509</v>
      </c>
      <c r="C35" s="2385"/>
      <c r="D35" s="2385"/>
      <c r="E35" s="3574"/>
      <c r="F35" s="3574"/>
      <c r="G35" s="3574"/>
    </row>
    <row r="36" spans="1:7" hidden="1">
      <c r="A36" s="2388">
        <v>3</v>
      </c>
      <c r="B36" s="2385" t="s">
        <v>2510</v>
      </c>
      <c r="C36" s="2385"/>
      <c r="D36" s="2385"/>
      <c r="E36" s="3574"/>
      <c r="F36" s="3574"/>
      <c r="G36" s="3574"/>
    </row>
    <row r="37" spans="1:7" hidden="1">
      <c r="A37" s="2388">
        <v>4</v>
      </c>
      <c r="B37" s="2385" t="s">
        <v>2511</v>
      </c>
      <c r="C37" s="2385"/>
      <c r="D37" s="2385"/>
      <c r="E37" s="3574"/>
      <c r="F37" s="3574"/>
      <c r="G37" s="3574"/>
    </row>
    <row r="38" spans="1:7" hidden="1">
      <c r="A38" s="3575" t="s">
        <v>2512</v>
      </c>
      <c r="B38" s="3576"/>
      <c r="C38" s="3576"/>
      <c r="D38" s="3577"/>
      <c r="E38" s="3573"/>
      <c r="F38" s="3573"/>
      <c r="G38" s="35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2997</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1036</v>
      </c>
      <c r="D12" s="3271">
        <f>'数据-汇总表'!E5</f>
        <v>69060</v>
      </c>
      <c r="E12" s="3271">
        <f>'数据-取费表'!B27</f>
        <v>150</v>
      </c>
      <c r="F12" s="746"/>
      <c r="G12" s="749"/>
    </row>
    <row r="13" spans="1:25" s="2064" customFormat="1" ht="13.5" customHeight="1">
      <c r="A13" s="2329" t="s">
        <v>2430</v>
      </c>
      <c r="B13" s="747" t="s">
        <v>606</v>
      </c>
      <c r="C13" s="748">
        <f>ROUND(D13*E13/10000,0)</f>
        <v>1026</v>
      </c>
      <c r="D13" s="3271">
        <f>'数据-汇总表'!E6</f>
        <v>54005</v>
      </c>
      <c r="E13" s="3271">
        <f>'数据-取费表'!B28</f>
        <v>190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0.77400000000000002</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51" sqref="M5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67" t="s">
        <v>516</v>
      </c>
      <c r="D4" s="3468"/>
      <c r="E4" s="3501" t="s">
        <v>517</v>
      </c>
      <c r="F4" s="3502"/>
      <c r="G4" s="3467" t="s">
        <v>518</v>
      </c>
      <c r="H4" s="3468"/>
      <c r="I4" s="3467" t="s">
        <v>519</v>
      </c>
      <c r="J4" s="3468"/>
      <c r="K4" s="842" t="s">
        <v>520</v>
      </c>
      <c r="L4" s="2015"/>
      <c r="M4" s="2016"/>
      <c r="N4" s="2016"/>
      <c r="O4" s="2016"/>
      <c r="P4" s="3469" t="s">
        <v>521</v>
      </c>
      <c r="Q4" s="3470"/>
      <c r="R4" s="3475" t="s">
        <v>517</v>
      </c>
      <c r="S4" s="3476"/>
      <c r="T4" s="3475" t="s">
        <v>518</v>
      </c>
      <c r="U4" s="3476"/>
      <c r="V4" s="3462" t="s">
        <v>519</v>
      </c>
      <c r="W4" s="3462"/>
      <c r="X4" s="1501"/>
      <c r="Y4" s="3475" t="s">
        <v>521</v>
      </c>
      <c r="Z4" s="3476"/>
      <c r="AA4" s="3464" t="s">
        <v>517</v>
      </c>
      <c r="AB4" s="3464" t="s">
        <v>518</v>
      </c>
      <c r="AC4" s="3464" t="s">
        <v>519</v>
      </c>
    </row>
    <row r="5" spans="1:29" ht="15">
      <c r="A5" s="509"/>
      <c r="B5" s="510"/>
      <c r="C5" s="3483" t="s">
        <v>2897</v>
      </c>
      <c r="D5" s="3484"/>
      <c r="E5" s="3582" t="s">
        <v>3238</v>
      </c>
      <c r="F5" s="3504"/>
      <c r="G5" s="3581" t="s">
        <v>3239</v>
      </c>
      <c r="H5" s="3484"/>
      <c r="I5" s="3483" t="s">
        <v>2900</v>
      </c>
      <c r="J5" s="3484"/>
      <c r="K5" s="843"/>
      <c r="L5" s="2015"/>
      <c r="M5" s="2016"/>
      <c r="N5" s="2016"/>
      <c r="O5" s="2016"/>
      <c r="P5" s="3471"/>
      <c r="Q5" s="3472"/>
      <c r="R5" s="3477"/>
      <c r="S5" s="3478"/>
      <c r="T5" s="3477"/>
      <c r="U5" s="3478"/>
      <c r="V5" s="3462"/>
      <c r="W5" s="3462"/>
      <c r="X5" s="1501"/>
      <c r="Y5" s="3477"/>
      <c r="Z5" s="3478"/>
      <c r="AA5" s="3465"/>
      <c r="AB5" s="3465"/>
      <c r="AC5" s="3465"/>
    </row>
    <row r="6" spans="1:29" ht="15.75" thickBot="1">
      <c r="A6" s="511"/>
      <c r="B6" s="512"/>
      <c r="C6" s="3481" t="s">
        <v>2901</v>
      </c>
      <c r="D6" s="3482"/>
      <c r="E6" s="3499" t="s">
        <v>2901</v>
      </c>
      <c r="F6" s="3500"/>
      <c r="G6" s="3481" t="s">
        <v>2901</v>
      </c>
      <c r="H6" s="3482"/>
      <c r="I6" s="3481" t="s">
        <v>2901</v>
      </c>
      <c r="J6" s="3482"/>
      <c r="K6" s="843" t="s">
        <v>522</v>
      </c>
      <c r="L6" s="2015"/>
      <c r="M6" s="2016"/>
      <c r="N6" s="2016"/>
      <c r="O6" s="2016"/>
      <c r="P6" s="3473"/>
      <c r="Q6" s="3474"/>
      <c r="R6" s="3477"/>
      <c r="S6" s="3478"/>
      <c r="T6" s="3479"/>
      <c r="U6" s="3480"/>
      <c r="V6" s="3462"/>
      <c r="W6" s="3462"/>
      <c r="X6" s="1501"/>
      <c r="Y6" s="3479"/>
      <c r="Z6" s="3480"/>
      <c r="AA6" s="3466"/>
      <c r="AB6" s="3466"/>
      <c r="AC6" s="3466"/>
    </row>
    <row r="7" spans="1:29" s="1203" customFormat="1" ht="15.75" thickBot="1">
      <c r="A7" s="2629"/>
      <c r="B7" s="2636" t="s">
        <v>523</v>
      </c>
      <c r="C7" s="513">
        <f>'数据-取费表'!B2</f>
        <v>44265</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92" t="s">
        <v>524</v>
      </c>
      <c r="Q7" s="3494"/>
      <c r="R7" s="1502" t="s">
        <v>13</v>
      </c>
      <c r="S7" s="1503">
        <f t="shared" ref="S7:S15" si="0">F7</f>
        <v>0</v>
      </c>
      <c r="T7" s="1502" t="s">
        <v>13</v>
      </c>
      <c r="U7" s="1503">
        <f t="shared" ref="U7:U15" si="1">H7</f>
        <v>0</v>
      </c>
      <c r="V7" s="1502" t="s">
        <v>13</v>
      </c>
      <c r="W7" s="1503">
        <f t="shared" ref="W7:W15" si="2">J7</f>
        <v>0</v>
      </c>
      <c r="X7" s="1504"/>
      <c r="Y7" s="3492" t="s">
        <v>524</v>
      </c>
      <c r="Z7" s="3493"/>
      <c r="AA7" s="1505" t="e">
        <f>D7/F7</f>
        <v>#DIV/0!</v>
      </c>
      <c r="AB7" s="1505" t="e">
        <f>D7/H7</f>
        <v>#DIV/0!</v>
      </c>
      <c r="AC7" s="1505"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92" t="s">
        <v>527</v>
      </c>
      <c r="Q8" s="3493"/>
      <c r="R8" s="1502" t="s">
        <v>13</v>
      </c>
      <c r="S8" s="1503">
        <f t="shared" si="0"/>
        <v>0</v>
      </c>
      <c r="T8" s="1502" t="s">
        <v>13</v>
      </c>
      <c r="U8" s="1503">
        <f t="shared" si="1"/>
        <v>0</v>
      </c>
      <c r="V8" s="1502" t="s">
        <v>13</v>
      </c>
      <c r="W8" s="1503">
        <f t="shared" si="2"/>
        <v>0</v>
      </c>
      <c r="X8" s="1504"/>
      <c r="Y8" s="3492" t="s">
        <v>527</v>
      </c>
      <c r="Z8" s="3493"/>
      <c r="AA8" s="1505" t="e">
        <f t="shared" ref="AA8:AA46" si="3">D8/F8</f>
        <v>#DIV/0!</v>
      </c>
      <c r="AB8" s="1505" t="e">
        <f t="shared" ref="AB8:AB46" si="4">D8/H8</f>
        <v>#DIV/0!</v>
      </c>
      <c r="AC8" s="1505" t="e">
        <f t="shared" ref="AC8:AC46" si="5">D8/J8</f>
        <v>#DIV/0!</v>
      </c>
    </row>
    <row r="9" spans="1:29" s="1203" customFormat="1" ht="15">
      <c r="A9" s="2631"/>
      <c r="B9" s="2638" t="s">
        <v>2736</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61" t="s">
        <v>529</v>
      </c>
      <c r="Q9" s="1134" t="str">
        <f t="shared" ref="Q9:Q15" si="6">B9</f>
        <v>用途</v>
      </c>
      <c r="R9" s="1502" t="s">
        <v>8</v>
      </c>
      <c r="S9" s="1503">
        <f t="shared" si="0"/>
        <v>100</v>
      </c>
      <c r="T9" s="1502" t="s">
        <v>8</v>
      </c>
      <c r="U9" s="1503">
        <f t="shared" si="1"/>
        <v>100</v>
      </c>
      <c r="V9" s="1502" t="s">
        <v>8</v>
      </c>
      <c r="W9" s="1503">
        <f t="shared" si="2"/>
        <v>100</v>
      </c>
      <c r="X9" s="1504"/>
      <c r="Y9" s="3407"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61"/>
      <c r="Q10" s="1134" t="str">
        <f t="shared" si="6"/>
        <v>土地使用年限（年）</v>
      </c>
      <c r="R10" s="1502" t="s">
        <v>8</v>
      </c>
      <c r="S10" s="1503">
        <f t="shared" si="0"/>
        <v>100</v>
      </c>
      <c r="T10" s="1502" t="s">
        <v>8</v>
      </c>
      <c r="U10" s="1503">
        <f t="shared" si="1"/>
        <v>100</v>
      </c>
      <c r="V10" s="1502" t="s">
        <v>8</v>
      </c>
      <c r="W10" s="1503">
        <f t="shared" si="2"/>
        <v>100</v>
      </c>
      <c r="X10" s="1504"/>
      <c r="Y10" s="3407"/>
      <c r="Z10" s="1133" t="str">
        <f t="shared" si="7"/>
        <v>土地使用年限（年）</v>
      </c>
      <c r="AA10" s="1505">
        <f t="shared" si="3"/>
        <v>1</v>
      </c>
      <c r="AB10" s="1505">
        <f t="shared" si="4"/>
        <v>1</v>
      </c>
      <c r="AC10" s="1505">
        <f t="shared" si="5"/>
        <v>1</v>
      </c>
    </row>
    <row r="11" spans="1:29" ht="15">
      <c r="A11" s="2633"/>
      <c r="B11" s="2637"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61"/>
      <c r="Q11" s="1134" t="str">
        <f t="shared" si="6"/>
        <v>容积率</v>
      </c>
      <c r="R11" s="1502" t="s">
        <v>11</v>
      </c>
      <c r="S11" s="1503" t="e">
        <f t="shared" si="0"/>
        <v>#N/A</v>
      </c>
      <c r="T11" s="1502" t="s">
        <v>11</v>
      </c>
      <c r="U11" s="1503" t="e">
        <f t="shared" si="1"/>
        <v>#N/A</v>
      </c>
      <c r="V11" s="1502" t="s">
        <v>11</v>
      </c>
      <c r="W11" s="1503" t="e">
        <f t="shared" si="2"/>
        <v>#N/A</v>
      </c>
      <c r="X11" s="1504"/>
      <c r="Y11" s="3407"/>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61"/>
      <c r="Q12" s="1134">
        <f t="shared" si="6"/>
        <v>111</v>
      </c>
      <c r="R12" s="1502" t="s">
        <v>11</v>
      </c>
      <c r="S12" s="1503">
        <f t="shared" si="0"/>
        <v>100</v>
      </c>
      <c r="T12" s="1502" t="s">
        <v>11</v>
      </c>
      <c r="U12" s="1503">
        <f t="shared" si="1"/>
        <v>100</v>
      </c>
      <c r="V12" s="1502" t="s">
        <v>11</v>
      </c>
      <c r="W12" s="1503">
        <f t="shared" si="2"/>
        <v>100</v>
      </c>
      <c r="X12" s="1504"/>
      <c r="Y12" s="3407"/>
      <c r="Z12" s="1133">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61"/>
      <c r="Q13" s="1134">
        <f t="shared" si="6"/>
        <v>111</v>
      </c>
      <c r="R13" s="1502" t="s">
        <v>11</v>
      </c>
      <c r="S13" s="1503">
        <f t="shared" si="0"/>
        <v>100</v>
      </c>
      <c r="T13" s="1502" t="s">
        <v>11</v>
      </c>
      <c r="U13" s="1503">
        <f t="shared" si="1"/>
        <v>100</v>
      </c>
      <c r="V13" s="1502" t="s">
        <v>11</v>
      </c>
      <c r="W13" s="1503">
        <f t="shared" si="2"/>
        <v>100</v>
      </c>
      <c r="X13" s="1504"/>
      <c r="Y13" s="3407"/>
      <c r="Z13" s="1133">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61"/>
      <c r="Q14" s="1134">
        <f t="shared" si="6"/>
        <v>111</v>
      </c>
      <c r="R14" s="1502" t="s">
        <v>11</v>
      </c>
      <c r="S14" s="1503">
        <f t="shared" si="0"/>
        <v>100</v>
      </c>
      <c r="T14" s="1502" t="s">
        <v>11</v>
      </c>
      <c r="U14" s="1503">
        <f t="shared" si="1"/>
        <v>100</v>
      </c>
      <c r="V14" s="1502" t="s">
        <v>11</v>
      </c>
      <c r="W14" s="1503">
        <f t="shared" si="2"/>
        <v>100</v>
      </c>
      <c r="X14" s="1504"/>
      <c r="Y14" s="3407"/>
      <c r="Z14" s="1133">
        <f t="shared" si="7"/>
        <v>111</v>
      </c>
      <c r="AA14" s="1505">
        <f t="shared" si="3"/>
        <v>1</v>
      </c>
      <c r="AB14" s="1505">
        <f t="shared" si="4"/>
        <v>1</v>
      </c>
      <c r="AC14" s="1505">
        <f t="shared" si="5"/>
        <v>1</v>
      </c>
    </row>
    <row r="15" spans="1:29" ht="99.75">
      <c r="A15" s="2627"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95" t="s">
        <v>534</v>
      </c>
      <c r="Q15" s="1506" t="str">
        <f t="shared" si="6"/>
        <v>居住社区成熟度</v>
      </c>
      <c r="R15" s="1507" t="s">
        <v>11</v>
      </c>
      <c r="S15" s="1508">
        <f t="shared" si="0"/>
        <v>100</v>
      </c>
      <c r="T15" s="1507" t="s">
        <v>11</v>
      </c>
      <c r="U15" s="1508">
        <f t="shared" si="1"/>
        <v>100</v>
      </c>
      <c r="V15" s="1507" t="s">
        <v>11</v>
      </c>
      <c r="W15" s="1508">
        <f t="shared" si="2"/>
        <v>100</v>
      </c>
      <c r="X15" s="1501"/>
      <c r="Y15" s="3495" t="s">
        <v>534</v>
      </c>
      <c r="Z15" s="1509" t="str">
        <f t="shared" si="7"/>
        <v>居住社区成熟度</v>
      </c>
      <c r="AA15" s="1510">
        <f t="shared" si="3"/>
        <v>1</v>
      </c>
      <c r="AB15" s="1510">
        <f t="shared" si="4"/>
        <v>1</v>
      </c>
      <c r="AC15" s="1510">
        <f t="shared" si="5"/>
        <v>1</v>
      </c>
    </row>
    <row r="16" spans="1:29" ht="15">
      <c r="A16" s="526"/>
      <c r="B16" s="858"/>
      <c r="C16" s="570"/>
      <c r="D16" s="549"/>
      <c r="E16" s="550"/>
      <c r="F16" s="551"/>
      <c r="G16" s="552"/>
      <c r="H16" s="553"/>
      <c r="I16" s="550"/>
      <c r="J16" s="549"/>
      <c r="K16" s="859"/>
      <c r="L16" s="2024"/>
      <c r="M16" s="2016"/>
      <c r="N16" s="2016"/>
      <c r="O16" s="2023"/>
      <c r="P16" s="3496"/>
      <c r="Q16" s="1506"/>
      <c r="R16" s="1507"/>
      <c r="S16" s="1508"/>
      <c r="T16" s="1507"/>
      <c r="U16" s="1508"/>
      <c r="V16" s="1507"/>
      <c r="W16" s="1508"/>
      <c r="X16" s="1501"/>
      <c r="Y16" s="349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96"/>
      <c r="Q17" s="1506" t="str">
        <f>B17</f>
        <v>交通便捷度</v>
      </c>
      <c r="R17" s="1507" t="s">
        <v>11</v>
      </c>
      <c r="S17" s="1508">
        <f>F17</f>
        <v>100</v>
      </c>
      <c r="T17" s="1507" t="s">
        <v>11</v>
      </c>
      <c r="U17" s="1508">
        <f>H17</f>
        <v>100</v>
      </c>
      <c r="V17" s="1507" t="s">
        <v>11</v>
      </c>
      <c r="W17" s="1508">
        <f>J17</f>
        <v>100</v>
      </c>
      <c r="X17" s="1501"/>
      <c r="Y17" s="349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59"/>
      <c r="L18" s="2024"/>
      <c r="M18" s="2016"/>
      <c r="N18" s="2016"/>
      <c r="O18" s="2023"/>
      <c r="P18" s="3496"/>
      <c r="Q18" s="1506"/>
      <c r="R18" s="1507"/>
      <c r="S18" s="1508"/>
      <c r="T18" s="1507"/>
      <c r="U18" s="1508"/>
      <c r="V18" s="1507"/>
      <c r="W18" s="1508"/>
      <c r="X18" s="1501"/>
      <c r="Y18" s="3496"/>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96"/>
      <c r="Q19" s="1506" t="str">
        <f>B19</f>
        <v>公共配套设施</v>
      </c>
      <c r="R19" s="1507" t="s">
        <v>11</v>
      </c>
      <c r="S19" s="1508">
        <f>F19</f>
        <v>100</v>
      </c>
      <c r="T19" s="1507" t="s">
        <v>11</v>
      </c>
      <c r="U19" s="1508">
        <f>H19</f>
        <v>100</v>
      </c>
      <c r="V19" s="1507" t="s">
        <v>11</v>
      </c>
      <c r="W19" s="1508">
        <f>J19</f>
        <v>100</v>
      </c>
      <c r="X19" s="1501"/>
      <c r="Y19" s="349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59"/>
      <c r="L20" s="2024"/>
      <c r="M20" s="2016"/>
      <c r="N20" s="2016"/>
      <c r="O20" s="2023"/>
      <c r="P20" s="3496"/>
      <c r="Q20" s="1506"/>
      <c r="R20" s="1507"/>
      <c r="S20" s="1508"/>
      <c r="T20" s="1507"/>
      <c r="U20" s="1508"/>
      <c r="V20" s="1507"/>
      <c r="W20" s="1508"/>
      <c r="X20" s="1501"/>
      <c r="Y20" s="3496"/>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96"/>
      <c r="Q21" s="2429" t="str">
        <f>B21</f>
        <v>基础设施水平</v>
      </c>
      <c r="R21" s="1507" t="s">
        <v>11</v>
      </c>
      <c r="S21" s="1508">
        <f>F21</f>
        <v>100</v>
      </c>
      <c r="T21" s="1507" t="s">
        <v>11</v>
      </c>
      <c r="U21" s="1508">
        <f>H21</f>
        <v>100</v>
      </c>
      <c r="V21" s="1507" t="s">
        <v>11</v>
      </c>
      <c r="W21" s="1508">
        <f>J21</f>
        <v>100</v>
      </c>
      <c r="X21" s="2431"/>
      <c r="Y21" s="3496"/>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3"/>
      <c r="L22" s="2024"/>
      <c r="M22" s="2016"/>
      <c r="N22" s="2016"/>
      <c r="O22" s="2023"/>
      <c r="P22" s="3496"/>
      <c r="Q22" s="2429"/>
      <c r="R22" s="1507"/>
      <c r="S22" s="1508"/>
      <c r="T22" s="1507"/>
      <c r="U22" s="1508"/>
      <c r="V22" s="1507"/>
      <c r="W22" s="1508"/>
      <c r="X22" s="2431"/>
      <c r="Y22" s="3496"/>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96"/>
      <c r="Q23" s="1506" t="str">
        <f>B23</f>
        <v>自然及人文环境</v>
      </c>
      <c r="R23" s="1507" t="s">
        <v>11</v>
      </c>
      <c r="S23" s="1508">
        <f>F23</f>
        <v>100</v>
      </c>
      <c r="T23" s="1507" t="s">
        <v>11</v>
      </c>
      <c r="U23" s="1508">
        <f>H23</f>
        <v>100</v>
      </c>
      <c r="V23" s="1507" t="s">
        <v>11</v>
      </c>
      <c r="W23" s="1508">
        <f>J23</f>
        <v>100</v>
      </c>
      <c r="X23" s="1501"/>
      <c r="Y23" s="349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59"/>
      <c r="L24" s="2024"/>
      <c r="M24" s="2016"/>
      <c r="N24" s="2016"/>
      <c r="O24" s="2023"/>
      <c r="P24" s="3496"/>
      <c r="Q24" s="1506"/>
      <c r="R24" s="1507"/>
      <c r="S24" s="1508"/>
      <c r="T24" s="1507"/>
      <c r="U24" s="1508"/>
      <c r="V24" s="1507"/>
      <c r="W24" s="1508"/>
      <c r="X24" s="1501"/>
      <c r="Y24" s="3496"/>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6"/>
      <c r="Q25" s="1506" t="str">
        <f t="shared" ref="Q25:Q46" si="11">B25</f>
        <v>楼层-1</v>
      </c>
      <c r="R25" s="1507" t="s">
        <v>11</v>
      </c>
      <c r="S25" s="1508">
        <f>F25</f>
        <v>100</v>
      </c>
      <c r="T25" s="1507" t="s">
        <v>11</v>
      </c>
      <c r="U25" s="1508">
        <f>H25</f>
        <v>100</v>
      </c>
      <c r="V25" s="1507" t="s">
        <v>11</v>
      </c>
      <c r="W25" s="1508">
        <f>J25</f>
        <v>100</v>
      </c>
      <c r="X25" s="1501"/>
      <c r="Y25" s="3496"/>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6"/>
      <c r="Q26" s="1506" t="str">
        <f t="shared" si="11"/>
        <v>朝向</v>
      </c>
      <c r="R26" s="1507" t="s">
        <v>11</v>
      </c>
      <c r="S26" s="1508">
        <f>F26</f>
        <v>100</v>
      </c>
      <c r="T26" s="1507" t="s">
        <v>11</v>
      </c>
      <c r="U26" s="1508">
        <f>H26</f>
        <v>100</v>
      </c>
      <c r="V26" s="1507" t="s">
        <v>11</v>
      </c>
      <c r="W26" s="1508">
        <f>J26</f>
        <v>100</v>
      </c>
      <c r="X26" s="1501"/>
      <c r="Y26" s="3496"/>
      <c r="Z26" s="1509" t="str">
        <f>Q26</f>
        <v>朝向</v>
      </c>
      <c r="AA26" s="1510">
        <f t="shared" si="3"/>
        <v>1</v>
      </c>
      <c r="AB26" s="1510">
        <f t="shared" si="4"/>
        <v>1</v>
      </c>
      <c r="AC26" s="1510">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6"/>
      <c r="Q27" s="1134" t="str">
        <f t="shared" si="11"/>
        <v>道路级别</v>
      </c>
      <c r="R27" s="1502" t="s">
        <v>11</v>
      </c>
      <c r="S27" s="1503">
        <f>F27</f>
        <v>100</v>
      </c>
      <c r="T27" s="1502" t="s">
        <v>11</v>
      </c>
      <c r="U27" s="1503">
        <f>H27</f>
        <v>100</v>
      </c>
      <c r="V27" s="1502" t="s">
        <v>11</v>
      </c>
      <c r="W27" s="1503">
        <f>J27</f>
        <v>100</v>
      </c>
      <c r="X27" s="1504"/>
      <c r="Y27" s="3496"/>
      <c r="Z27" s="1133"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6"/>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6"/>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6"/>
      <c r="Q29" s="1506">
        <f t="shared" si="11"/>
        <v>111</v>
      </c>
      <c r="R29" s="1507" t="s">
        <v>11</v>
      </c>
      <c r="S29" s="1508">
        <f t="shared" si="12"/>
        <v>100</v>
      </c>
      <c r="T29" s="1507" t="s">
        <v>11</v>
      </c>
      <c r="U29" s="1508">
        <f t="shared" si="13"/>
        <v>100</v>
      </c>
      <c r="V29" s="1507" t="s">
        <v>11</v>
      </c>
      <c r="W29" s="1508">
        <f t="shared" si="14"/>
        <v>100</v>
      </c>
      <c r="X29" s="1501"/>
      <c r="Y29" s="349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6"/>
      <c r="Q30" s="1506">
        <f t="shared" si="11"/>
        <v>111</v>
      </c>
      <c r="R30" s="1507" t="s">
        <v>11</v>
      </c>
      <c r="S30" s="1508">
        <f t="shared" si="12"/>
        <v>100</v>
      </c>
      <c r="T30" s="1507" t="s">
        <v>11</v>
      </c>
      <c r="U30" s="1508">
        <f t="shared" si="13"/>
        <v>100</v>
      </c>
      <c r="V30" s="1507" t="s">
        <v>11</v>
      </c>
      <c r="W30" s="1508">
        <f t="shared" si="14"/>
        <v>100</v>
      </c>
      <c r="X30" s="1501"/>
      <c r="Y30" s="3496"/>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6"/>
      <c r="Q31" s="1506">
        <f t="shared" si="11"/>
        <v>111</v>
      </c>
      <c r="R31" s="1507" t="s">
        <v>11</v>
      </c>
      <c r="S31" s="1508">
        <f t="shared" si="12"/>
        <v>100</v>
      </c>
      <c r="T31" s="1507" t="s">
        <v>11</v>
      </c>
      <c r="U31" s="1508">
        <f t="shared" si="13"/>
        <v>100</v>
      </c>
      <c r="V31" s="1507" t="s">
        <v>11</v>
      </c>
      <c r="W31" s="1508">
        <f t="shared" si="14"/>
        <v>100</v>
      </c>
      <c r="X31" s="1501"/>
      <c r="Y31" s="3496"/>
      <c r="Z31" s="1509">
        <f t="shared" si="15"/>
        <v>111</v>
      </c>
      <c r="AA31" s="1510">
        <f t="shared" si="3"/>
        <v>1</v>
      </c>
      <c r="AB31" s="1510">
        <f t="shared" si="4"/>
        <v>1</v>
      </c>
      <c r="AC31" s="1510">
        <f t="shared" si="5"/>
        <v>1</v>
      </c>
    </row>
    <row r="32" spans="1:29" ht="15">
      <c r="A32" s="2624"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97" t="s">
        <v>544</v>
      </c>
      <c r="Q32" s="1506" t="str">
        <f t="shared" si="11"/>
        <v>建筑类型</v>
      </c>
      <c r="R32" s="1507" t="s">
        <v>11</v>
      </c>
      <c r="S32" s="1508">
        <f t="shared" si="12"/>
        <v>100</v>
      </c>
      <c r="T32" s="1507" t="s">
        <v>11</v>
      </c>
      <c r="U32" s="1508">
        <f t="shared" si="13"/>
        <v>100</v>
      </c>
      <c r="V32" s="1507" t="s">
        <v>11</v>
      </c>
      <c r="W32" s="1508">
        <f t="shared" si="14"/>
        <v>100</v>
      </c>
      <c r="X32" s="1501"/>
      <c r="Y32" s="3498" t="s">
        <v>544</v>
      </c>
      <c r="Z32" s="1509" t="str">
        <f t="shared" si="15"/>
        <v>建筑类型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98"/>
      <c r="Q33" s="1535" t="str">
        <f t="shared" si="11"/>
        <v>项目建筑规模</v>
      </c>
      <c r="R33" s="1511" t="s">
        <v>11</v>
      </c>
      <c r="S33" s="1512" t="e">
        <f t="shared" si="12"/>
        <v>#N/A</v>
      </c>
      <c r="T33" s="1511" t="s">
        <v>11</v>
      </c>
      <c r="U33" s="1512" t="e">
        <f t="shared" si="13"/>
        <v>#N/A</v>
      </c>
      <c r="V33" s="1511" t="s">
        <v>11</v>
      </c>
      <c r="W33" s="1512" t="e">
        <f t="shared" si="14"/>
        <v>#N/A</v>
      </c>
      <c r="X33" s="1513"/>
      <c r="Y33" s="3498"/>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98"/>
      <c r="Q34" s="1506" t="str">
        <f t="shared" si="11"/>
        <v>建筑结构</v>
      </c>
      <c r="R34" s="1507" t="s">
        <v>11</v>
      </c>
      <c r="S34" s="1508">
        <f t="shared" si="12"/>
        <v>100</v>
      </c>
      <c r="T34" s="1507" t="s">
        <v>11</v>
      </c>
      <c r="U34" s="1508">
        <f t="shared" si="13"/>
        <v>100</v>
      </c>
      <c r="V34" s="1507" t="s">
        <v>11</v>
      </c>
      <c r="W34" s="1508">
        <f t="shared" si="14"/>
        <v>100</v>
      </c>
      <c r="X34" s="1501"/>
      <c r="Y34" s="3498"/>
      <c r="Z34" s="1509" t="str">
        <f t="shared" si="15"/>
        <v>建筑结构</v>
      </c>
      <c r="AA34" s="1510">
        <f t="shared" si="3"/>
        <v>1</v>
      </c>
      <c r="AB34" s="1510">
        <f t="shared" si="4"/>
        <v>1</v>
      </c>
      <c r="AC34" s="1510">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98"/>
      <c r="Q35" s="1506" t="str">
        <f t="shared" si="11"/>
        <v>建筑品质</v>
      </c>
      <c r="R35" s="1507" t="s">
        <v>11</v>
      </c>
      <c r="S35" s="1508">
        <f t="shared" si="12"/>
        <v>100</v>
      </c>
      <c r="T35" s="1507" t="s">
        <v>11</v>
      </c>
      <c r="U35" s="1508">
        <f t="shared" si="13"/>
        <v>100</v>
      </c>
      <c r="V35" s="1507" t="s">
        <v>11</v>
      </c>
      <c r="W35" s="1508">
        <f t="shared" si="14"/>
        <v>100</v>
      </c>
      <c r="X35" s="1501"/>
      <c r="Y35" s="3498"/>
      <c r="Z35" s="1509" t="str">
        <f t="shared" si="15"/>
        <v>建筑品质</v>
      </c>
      <c r="AA35" s="1510">
        <f t="shared" si="3"/>
        <v>1</v>
      </c>
      <c r="AB35" s="1510">
        <f t="shared" si="4"/>
        <v>1</v>
      </c>
      <c r="AC35" s="1510">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98"/>
      <c r="Q36" s="1506" t="str">
        <f t="shared" si="11"/>
        <v>公共部分装修</v>
      </c>
      <c r="R36" s="1507" t="s">
        <v>11</v>
      </c>
      <c r="S36" s="1508">
        <f t="shared" si="12"/>
        <v>100</v>
      </c>
      <c r="T36" s="1507" t="s">
        <v>11</v>
      </c>
      <c r="U36" s="1508">
        <f t="shared" si="13"/>
        <v>100</v>
      </c>
      <c r="V36" s="1507" t="s">
        <v>11</v>
      </c>
      <c r="W36" s="1508">
        <f t="shared" si="14"/>
        <v>100</v>
      </c>
      <c r="X36" s="1501"/>
      <c r="Y36" s="3498"/>
      <c r="Z36" s="1509" t="str">
        <f t="shared" si="15"/>
        <v>公共部分装修</v>
      </c>
      <c r="AA36" s="1510">
        <f t="shared" si="3"/>
        <v>1</v>
      </c>
      <c r="AB36" s="1510">
        <f t="shared" si="4"/>
        <v>1</v>
      </c>
      <c r="AC36" s="1510">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98"/>
      <c r="Q37" s="1134" t="str">
        <f t="shared" si="11"/>
        <v>成新度</v>
      </c>
      <c r="R37" s="1502" t="s">
        <v>11</v>
      </c>
      <c r="S37" s="1503" t="e">
        <f t="shared" si="12"/>
        <v>#N/A</v>
      </c>
      <c r="T37" s="1502" t="s">
        <v>11</v>
      </c>
      <c r="U37" s="1503" t="e">
        <f t="shared" si="13"/>
        <v>#N/A</v>
      </c>
      <c r="V37" s="1502" t="s">
        <v>11</v>
      </c>
      <c r="W37" s="1503" t="e">
        <f t="shared" si="14"/>
        <v>#N/A</v>
      </c>
      <c r="X37" s="1504"/>
      <c r="Y37" s="3498"/>
      <c r="Z37" s="1133" t="str">
        <f t="shared" si="15"/>
        <v>成新度</v>
      </c>
      <c r="AA37" s="1505" t="e">
        <f t="shared" si="3"/>
        <v>#N/A</v>
      </c>
      <c r="AB37" s="1505" t="e">
        <f t="shared" si="4"/>
        <v>#N/A</v>
      </c>
      <c r="AC37" s="1505"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98" t="s">
        <v>544</v>
      </c>
      <c r="Q38" s="1506" t="str">
        <f t="shared" si="11"/>
        <v>物业管理</v>
      </c>
      <c r="R38" s="1507" t="s">
        <v>11</v>
      </c>
      <c r="S38" s="1508">
        <f t="shared" si="12"/>
        <v>100</v>
      </c>
      <c r="T38" s="1507" t="s">
        <v>11</v>
      </c>
      <c r="U38" s="1508">
        <f t="shared" si="13"/>
        <v>100</v>
      </c>
      <c r="V38" s="1507" t="s">
        <v>11</v>
      </c>
      <c r="W38" s="1508">
        <f t="shared" si="14"/>
        <v>100</v>
      </c>
      <c r="X38" s="1501"/>
      <c r="Y38" s="3498" t="s">
        <v>544</v>
      </c>
      <c r="Z38" s="1509" t="str">
        <f t="shared" si="15"/>
        <v>物业管理</v>
      </c>
      <c r="AA38" s="1510">
        <f t="shared" si="3"/>
        <v>1</v>
      </c>
      <c r="AB38" s="1510">
        <f t="shared" si="4"/>
        <v>1</v>
      </c>
      <c r="AC38" s="1510">
        <f t="shared" si="5"/>
        <v>1</v>
      </c>
    </row>
    <row r="39" spans="1:29" ht="15">
      <c r="A39" s="588"/>
      <c r="B39" s="1809"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98"/>
      <c r="Q39" s="1506" t="str">
        <f t="shared" si="11"/>
        <v>市政基础设施</v>
      </c>
      <c r="R39" s="1507" t="s">
        <v>11</v>
      </c>
      <c r="S39" s="1508">
        <f t="shared" si="12"/>
        <v>100</v>
      </c>
      <c r="T39" s="1507" t="s">
        <v>11</v>
      </c>
      <c r="U39" s="1508">
        <f t="shared" si="13"/>
        <v>100</v>
      </c>
      <c r="V39" s="1507" t="s">
        <v>11</v>
      </c>
      <c r="W39" s="1508">
        <f t="shared" si="14"/>
        <v>100</v>
      </c>
      <c r="X39" s="1501"/>
      <c r="Y39" s="3498"/>
      <c r="Z39" s="1509" t="str">
        <f t="shared" si="15"/>
        <v>市政基础设施</v>
      </c>
      <c r="AA39" s="1510">
        <f t="shared" si="3"/>
        <v>1</v>
      </c>
      <c r="AB39" s="1510">
        <f t="shared" si="4"/>
        <v>1</v>
      </c>
      <c r="AC39" s="15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98"/>
      <c r="Q40" s="1506" t="str">
        <f t="shared" si="11"/>
        <v>房型</v>
      </c>
      <c r="R40" s="1507" t="s">
        <v>11</v>
      </c>
      <c r="S40" s="1508">
        <f t="shared" si="12"/>
        <v>100</v>
      </c>
      <c r="T40" s="1507" t="s">
        <v>11</v>
      </c>
      <c r="U40" s="1508">
        <f t="shared" si="13"/>
        <v>100</v>
      </c>
      <c r="V40" s="1507" t="s">
        <v>11</v>
      </c>
      <c r="W40" s="1508">
        <f t="shared" si="14"/>
        <v>100</v>
      </c>
      <c r="X40" s="1501"/>
      <c r="Y40" s="3498"/>
      <c r="Z40" s="1509" t="str">
        <f t="shared" si="15"/>
        <v>房型</v>
      </c>
      <c r="AA40" s="1510">
        <f t="shared" si="3"/>
        <v>1</v>
      </c>
      <c r="AB40" s="1510">
        <f t="shared" si="4"/>
        <v>1</v>
      </c>
      <c r="AC40" s="15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98"/>
      <c r="Q41" s="1535" t="str">
        <f t="shared" si="11"/>
        <v>单套/主力户型建筑面积</v>
      </c>
      <c r="R41" s="1511" t="s">
        <v>11</v>
      </c>
      <c r="S41" s="1512">
        <f t="shared" si="12"/>
        <v>100</v>
      </c>
      <c r="T41" s="1511" t="s">
        <v>11</v>
      </c>
      <c r="U41" s="1512">
        <f t="shared" si="13"/>
        <v>100</v>
      </c>
      <c r="V41" s="1511" t="s">
        <v>11</v>
      </c>
      <c r="W41" s="1512">
        <f t="shared" si="14"/>
        <v>100</v>
      </c>
      <c r="X41" s="1513"/>
      <c r="Y41" s="3498"/>
      <c r="Z41" s="1514" t="str">
        <f t="shared" si="15"/>
        <v>单套/主力户型建筑面积</v>
      </c>
      <c r="AA41" s="1510">
        <f t="shared" si="3"/>
        <v>1</v>
      </c>
      <c r="AB41" s="1510">
        <f t="shared" si="4"/>
        <v>1</v>
      </c>
      <c r="AC41" s="1510">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98"/>
      <c r="Q42" s="1506" t="str">
        <f t="shared" si="11"/>
        <v>内部装修</v>
      </c>
      <c r="R42" s="1507" t="s">
        <v>11</v>
      </c>
      <c r="S42" s="1508">
        <f t="shared" si="12"/>
        <v>100</v>
      </c>
      <c r="T42" s="1507" t="s">
        <v>11</v>
      </c>
      <c r="U42" s="1508">
        <f t="shared" si="13"/>
        <v>100</v>
      </c>
      <c r="V42" s="1507" t="s">
        <v>11</v>
      </c>
      <c r="W42" s="1508">
        <f t="shared" si="14"/>
        <v>100</v>
      </c>
      <c r="X42" s="1501"/>
      <c r="Y42" s="3498"/>
      <c r="Z42" s="1509" t="str">
        <f t="shared" si="15"/>
        <v>内部装修</v>
      </c>
      <c r="AA42" s="1510">
        <f t="shared" si="3"/>
        <v>1</v>
      </c>
      <c r="AB42" s="1510">
        <f t="shared" si="4"/>
        <v>1</v>
      </c>
      <c r="AC42" s="1510">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98"/>
      <c r="Q43" s="1506" t="str">
        <f t="shared" si="11"/>
        <v>内部装修维护情况</v>
      </c>
      <c r="R43" s="1507" t="s">
        <v>11</v>
      </c>
      <c r="S43" s="1508">
        <f t="shared" si="12"/>
        <v>100</v>
      </c>
      <c r="T43" s="1507" t="s">
        <v>11</v>
      </c>
      <c r="U43" s="1508">
        <f t="shared" si="13"/>
        <v>100</v>
      </c>
      <c r="V43" s="1507" t="s">
        <v>11</v>
      </c>
      <c r="W43" s="1508">
        <f t="shared" si="14"/>
        <v>100</v>
      </c>
      <c r="X43" s="1501"/>
      <c r="Y43" s="3498"/>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98"/>
      <c r="Q44" s="1134">
        <f t="shared" si="11"/>
        <v>111</v>
      </c>
      <c r="R44" s="1502" t="s">
        <v>11</v>
      </c>
      <c r="S44" s="1503">
        <f t="shared" si="12"/>
        <v>100</v>
      </c>
      <c r="T44" s="1502" t="s">
        <v>11</v>
      </c>
      <c r="U44" s="1503">
        <f t="shared" si="13"/>
        <v>100</v>
      </c>
      <c r="V44" s="1502" t="s">
        <v>11</v>
      </c>
      <c r="W44" s="1503">
        <f t="shared" si="14"/>
        <v>100</v>
      </c>
      <c r="X44" s="1504"/>
      <c r="Y44" s="3498"/>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8"/>
      <c r="Q45" s="1506">
        <f t="shared" si="11"/>
        <v>111</v>
      </c>
      <c r="R45" s="1507" t="s">
        <v>11</v>
      </c>
      <c r="S45" s="1508">
        <f t="shared" si="12"/>
        <v>100</v>
      </c>
      <c r="T45" s="1507" t="s">
        <v>11</v>
      </c>
      <c r="U45" s="1508">
        <f t="shared" si="13"/>
        <v>100</v>
      </c>
      <c r="V45" s="1507" t="s">
        <v>11</v>
      </c>
      <c r="W45" s="1508">
        <f t="shared" si="14"/>
        <v>100</v>
      </c>
      <c r="X45" s="1501"/>
      <c r="Y45" s="3498"/>
      <c r="Z45" s="1509">
        <f t="shared" si="15"/>
        <v>111</v>
      </c>
      <c r="AA45" s="1510">
        <f t="shared" si="3"/>
        <v>1</v>
      </c>
      <c r="AB45" s="1510">
        <f t="shared" si="4"/>
        <v>1</v>
      </c>
      <c r="AC45" s="1510">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80"/>
      <c r="Q46" s="1506">
        <f t="shared" si="11"/>
        <v>111</v>
      </c>
      <c r="R46" s="1507" t="s">
        <v>10</v>
      </c>
      <c r="S46" s="1508">
        <f t="shared" si="12"/>
        <v>100</v>
      </c>
      <c r="T46" s="1507" t="s">
        <v>10</v>
      </c>
      <c r="U46" s="1508">
        <f t="shared" si="13"/>
        <v>100</v>
      </c>
      <c r="V46" s="1507" t="s">
        <v>10</v>
      </c>
      <c r="W46" s="1508">
        <f t="shared" si="14"/>
        <v>100</v>
      </c>
      <c r="X46" s="1501"/>
      <c r="Y46" s="3580"/>
      <c r="Z46" s="1509">
        <f t="shared" si="15"/>
        <v>111</v>
      </c>
      <c r="AA46" s="1510">
        <f t="shared" si="3"/>
        <v>1</v>
      </c>
      <c r="AB46" s="1510">
        <f t="shared" si="4"/>
        <v>1</v>
      </c>
      <c r="AC46" s="1510">
        <f t="shared" si="5"/>
        <v>1</v>
      </c>
    </row>
    <row r="47" spans="1:29" ht="15">
      <c r="A47" s="601" t="s">
        <v>730</v>
      </c>
      <c r="B47" s="876"/>
      <c r="C47" s="2470" t="s">
        <v>9</v>
      </c>
      <c r="D47" s="2471"/>
      <c r="E47" s="2472">
        <v>75000</v>
      </c>
      <c r="F47" s="2473"/>
      <c r="G47" s="2474">
        <v>86000</v>
      </c>
      <c r="H47" s="2475"/>
      <c r="I47" s="2472">
        <v>97000</v>
      </c>
      <c r="J47" s="2475"/>
      <c r="K47" s="1536"/>
      <c r="L47" s="2026"/>
      <c r="M47" s="2027"/>
      <c r="N47" s="2016"/>
      <c r="O47" s="2027"/>
      <c r="P47" s="3461" t="str">
        <f>A47</f>
        <v>成交单价（元/平方米）</v>
      </c>
      <c r="Q47" s="3461"/>
      <c r="R47" s="3579">
        <f>E47</f>
        <v>75000</v>
      </c>
      <c r="S47" s="3579"/>
      <c r="T47" s="3579">
        <f>G47</f>
        <v>86000</v>
      </c>
      <c r="U47" s="3579"/>
      <c r="V47" s="3579">
        <f>I47</f>
        <v>97000</v>
      </c>
      <c r="W47" s="3579"/>
      <c r="X47" s="1496"/>
      <c r="Y47" s="1515"/>
      <c r="Z47" s="1496"/>
      <c r="AA47" s="1496"/>
      <c r="AB47" s="1496"/>
      <c r="AC47" s="1496"/>
    </row>
    <row r="48" spans="1:29" ht="15.75" thickBot="1">
      <c r="A48" s="609" t="s">
        <v>2740</v>
      </c>
      <c r="B48" s="877"/>
      <c r="C48" s="2476" t="e">
        <f>R49</f>
        <v>#DIV/0!</v>
      </c>
      <c r="D48" s="3014" t="s">
        <v>2971</v>
      </c>
      <c r="E48" s="2477" t="e">
        <f>R48</f>
        <v>#DIV/0!</v>
      </c>
      <c r="F48" s="3015"/>
      <c r="G48" s="2476" t="e">
        <f>T48</f>
        <v>#DIV/0!</v>
      </c>
      <c r="H48" s="3015"/>
      <c r="I48" s="2477" t="e">
        <f>V48</f>
        <v>#DIV/0!</v>
      </c>
      <c r="J48" s="3015"/>
      <c r="K48" s="3023">
        <f>F48+H48+J48</f>
        <v>0</v>
      </c>
      <c r="L48" s="2026"/>
      <c r="M48" s="2027"/>
      <c r="N48" s="2027"/>
      <c r="O48" s="2027"/>
      <c r="P48" s="3461" t="str">
        <f>A48</f>
        <v>比较价格（元/平方米）</v>
      </c>
      <c r="Q48" s="3461"/>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6"/>
      <c r="Y48" s="1496"/>
      <c r="Z48" s="1496"/>
      <c r="AA48" s="1496"/>
      <c r="AB48" s="1496"/>
      <c r="AC48" s="1496"/>
    </row>
    <row r="49" spans="1:29" ht="15.75" thickBot="1">
      <c r="A49" s="613" t="s">
        <v>2903</v>
      </c>
      <c r="B49" s="614"/>
      <c r="C49" s="2478" t="e">
        <f>R49</f>
        <v>#DIV/0!</v>
      </c>
      <c r="D49" s="2478"/>
      <c r="E49" s="2478"/>
      <c r="F49" s="2478"/>
      <c r="G49" s="2478"/>
      <c r="H49" s="2478"/>
      <c r="I49" s="2478"/>
      <c r="J49" s="2478"/>
      <c r="K49" s="1537"/>
      <c r="L49" s="2026"/>
      <c r="M49" s="2027"/>
      <c r="N49" s="2027"/>
      <c r="O49" s="2027"/>
      <c r="P49" s="3458" t="str">
        <f>A49</f>
        <v>估价对象XX用房的比较价格（楼面单价，元/平方米）</v>
      </c>
      <c r="Q49" s="3459"/>
      <c r="R49" s="3578" t="e">
        <f>IF(F1="售价",ROUND(IF(D48="简单平均",AVERAGE(R48:V48),R48*F48+T48*H48+V48*J48),0),ROUND(IF(D48="简单平均",AVERAGE(R48:V48),R48*F48+T48*H48+V48*J48),1))</f>
        <v>#DIV/0!</v>
      </c>
      <c r="S49" s="3578"/>
      <c r="T49" s="3578"/>
      <c r="U49" s="3578"/>
      <c r="V49" s="3578"/>
      <c r="W49" s="3578"/>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f>IF(E47&lt;G47,G47/E47-1,E47/G47-1)</f>
        <v>0.14666666666666672</v>
      </c>
      <c r="F54" s="619" t="str">
        <f>IF(OR(E54&gt;=0.3,E54&lt;=-0.3),"超过30%","")</f>
        <v/>
      </c>
      <c r="G54" s="618">
        <f>IF(G47&lt;I47,I47/G47-1,G47/I47-1)</f>
        <v>0.12790697674418605</v>
      </c>
      <c r="H54" s="619" t="str">
        <f>IF(OR(G54&gt;=0.3,G54&lt;=-0.3),"超过30%","")</f>
        <v/>
      </c>
      <c r="I54" s="618">
        <f>IF(I47&lt;E47,E47/I47-1,I47/E47-1)</f>
        <v>0.29333333333333322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67" t="s">
        <v>516</v>
      </c>
      <c r="D4" s="3468"/>
      <c r="E4" s="3501" t="s">
        <v>517</v>
      </c>
      <c r="F4" s="3502"/>
      <c r="G4" s="3467" t="s">
        <v>518</v>
      </c>
      <c r="H4" s="3468"/>
      <c r="I4" s="3467" t="s">
        <v>519</v>
      </c>
      <c r="J4" s="3468"/>
      <c r="K4" s="508" t="s">
        <v>520</v>
      </c>
      <c r="L4" s="2015"/>
      <c r="M4" s="2016"/>
      <c r="N4" s="2016"/>
      <c r="O4" s="2016"/>
      <c r="P4" s="3469" t="s">
        <v>521</v>
      </c>
      <c r="Q4" s="3470"/>
      <c r="R4" s="3475" t="s">
        <v>517</v>
      </c>
      <c r="S4" s="3476"/>
      <c r="T4" s="3475" t="s">
        <v>518</v>
      </c>
      <c r="U4" s="3476"/>
      <c r="V4" s="3462" t="s">
        <v>519</v>
      </c>
      <c r="W4" s="3462"/>
      <c r="X4" s="1501"/>
      <c r="Y4" s="3475" t="s">
        <v>521</v>
      </c>
      <c r="Z4" s="3476"/>
      <c r="AA4" s="3464" t="s">
        <v>517</v>
      </c>
      <c r="AB4" s="3462" t="s">
        <v>518</v>
      </c>
      <c r="AC4" s="3464" t="s">
        <v>519</v>
      </c>
    </row>
    <row r="5" spans="1:29" ht="15">
      <c r="A5" s="509"/>
      <c r="B5" s="510"/>
      <c r="C5" s="3483" t="s">
        <v>2897</v>
      </c>
      <c r="D5" s="3484"/>
      <c r="E5" s="3503" t="s">
        <v>2898</v>
      </c>
      <c r="F5" s="3504"/>
      <c r="G5" s="3483" t="s">
        <v>2899</v>
      </c>
      <c r="H5" s="3484"/>
      <c r="I5" s="3483" t="s">
        <v>2900</v>
      </c>
      <c r="J5" s="3484"/>
      <c r="K5" s="508"/>
      <c r="L5" s="2015"/>
      <c r="M5" s="2016"/>
      <c r="N5" s="2016"/>
      <c r="O5" s="2016"/>
      <c r="P5" s="3471"/>
      <c r="Q5" s="3472"/>
      <c r="R5" s="3477"/>
      <c r="S5" s="3478"/>
      <c r="T5" s="3477"/>
      <c r="U5" s="3478"/>
      <c r="V5" s="3462"/>
      <c r="W5" s="3462"/>
      <c r="X5" s="1501"/>
      <c r="Y5" s="3477"/>
      <c r="Z5" s="3478"/>
      <c r="AA5" s="3465"/>
      <c r="AB5" s="3462"/>
      <c r="AC5" s="3465"/>
    </row>
    <row r="6" spans="1:29" ht="15.75" thickBot="1">
      <c r="A6" s="511"/>
      <c r="B6" s="512"/>
      <c r="C6" s="3481" t="s">
        <v>2901</v>
      </c>
      <c r="D6" s="3482"/>
      <c r="E6" s="3499" t="s">
        <v>2901</v>
      </c>
      <c r="F6" s="3500"/>
      <c r="G6" s="3481" t="s">
        <v>2901</v>
      </c>
      <c r="H6" s="3482"/>
      <c r="I6" s="3481" t="s">
        <v>2901</v>
      </c>
      <c r="J6" s="3482"/>
      <c r="K6" s="508" t="s">
        <v>522</v>
      </c>
      <c r="L6" s="2015"/>
      <c r="M6" s="2016"/>
      <c r="N6" s="2016"/>
      <c r="O6" s="2016"/>
      <c r="P6" s="3473"/>
      <c r="Q6" s="3474"/>
      <c r="R6" s="3477"/>
      <c r="S6" s="3478"/>
      <c r="T6" s="3479"/>
      <c r="U6" s="3480"/>
      <c r="V6" s="3462"/>
      <c r="W6" s="3462"/>
      <c r="X6" s="1501"/>
      <c r="Y6" s="3479"/>
      <c r="Z6" s="3480"/>
      <c r="AA6" s="3466"/>
      <c r="AB6" s="3462"/>
      <c r="AC6" s="3466"/>
    </row>
    <row r="7" spans="1:29" s="1203" customFormat="1" ht="15.75" thickBot="1">
      <c r="A7" s="2629"/>
      <c r="B7" s="2636" t="s">
        <v>523</v>
      </c>
      <c r="C7" s="513">
        <f>'数据-取费表'!B2</f>
        <v>44265</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92" t="s">
        <v>524</v>
      </c>
      <c r="Q7" s="3494"/>
      <c r="R7" s="1502" t="s">
        <v>8</v>
      </c>
      <c r="S7" s="1503">
        <f t="shared" ref="S7:S15" si="0">F7</f>
        <v>0</v>
      </c>
      <c r="T7" s="1502" t="s">
        <v>8</v>
      </c>
      <c r="U7" s="1503">
        <f t="shared" ref="U7:U15" si="1">H7</f>
        <v>0</v>
      </c>
      <c r="V7" s="1502" t="s">
        <v>8</v>
      </c>
      <c r="W7" s="1503">
        <f t="shared" ref="W7:W15" si="2">J7</f>
        <v>0</v>
      </c>
      <c r="X7" s="1504"/>
      <c r="Y7" s="3492" t="s">
        <v>524</v>
      </c>
      <c r="Z7" s="3493"/>
      <c r="AA7" s="1505" t="e">
        <f>D7/F7</f>
        <v>#DIV/0!</v>
      </c>
      <c r="AB7" s="1505" t="e">
        <f>D7/H7</f>
        <v>#DIV/0!</v>
      </c>
      <c r="AC7" s="1505"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92" t="s">
        <v>527</v>
      </c>
      <c r="Q8" s="3493"/>
      <c r="R8" s="1502" t="s">
        <v>8</v>
      </c>
      <c r="S8" s="1503">
        <f t="shared" si="0"/>
        <v>0</v>
      </c>
      <c r="T8" s="1502" t="s">
        <v>8</v>
      </c>
      <c r="U8" s="1503">
        <f t="shared" si="1"/>
        <v>0</v>
      </c>
      <c r="V8" s="1502" t="s">
        <v>8</v>
      </c>
      <c r="W8" s="1503">
        <f t="shared" si="2"/>
        <v>0</v>
      </c>
      <c r="X8" s="1504"/>
      <c r="Y8" s="3492" t="s">
        <v>527</v>
      </c>
      <c r="Z8" s="3493"/>
      <c r="AA8" s="1505" t="e">
        <f t="shared" ref="AA8:AA46" si="3">D8/F8</f>
        <v>#DIV/0!</v>
      </c>
      <c r="AB8" s="1505" t="e">
        <f t="shared" ref="AB8:AB46" si="4">D8/H8</f>
        <v>#DIV/0!</v>
      </c>
      <c r="AC8" s="1505" t="e">
        <f t="shared" ref="AC8:AC46" si="5">D8/J8</f>
        <v>#DIV/0!</v>
      </c>
    </row>
    <row r="9" spans="1:29" s="1203"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61" t="s">
        <v>529</v>
      </c>
      <c r="Q9" s="1134" t="str">
        <f t="shared" ref="Q9:Q15" si="6">B9</f>
        <v>用途</v>
      </c>
      <c r="R9" s="1502" t="s">
        <v>8</v>
      </c>
      <c r="S9" s="1503">
        <f t="shared" si="0"/>
        <v>100</v>
      </c>
      <c r="T9" s="1502" t="s">
        <v>8</v>
      </c>
      <c r="U9" s="1503">
        <f t="shared" si="1"/>
        <v>100</v>
      </c>
      <c r="V9" s="1502" t="s">
        <v>8</v>
      </c>
      <c r="W9" s="1503">
        <f t="shared" si="2"/>
        <v>100</v>
      </c>
      <c r="X9" s="1504"/>
      <c r="Y9" s="3407"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61"/>
      <c r="Q10" s="1134" t="str">
        <f t="shared" si="6"/>
        <v>土地使用年限（年）</v>
      </c>
      <c r="R10" s="1502" t="s">
        <v>8</v>
      </c>
      <c r="S10" s="1503">
        <f t="shared" si="0"/>
        <v>100</v>
      </c>
      <c r="T10" s="1502" t="s">
        <v>8</v>
      </c>
      <c r="U10" s="1503">
        <f t="shared" si="1"/>
        <v>100</v>
      </c>
      <c r="V10" s="1502" t="s">
        <v>8</v>
      </c>
      <c r="W10" s="1503">
        <f t="shared" si="2"/>
        <v>100</v>
      </c>
      <c r="X10" s="1504"/>
      <c r="Y10" s="3407"/>
      <c r="Z10" s="1133"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61"/>
      <c r="Q11" s="1134" t="str">
        <f t="shared" si="6"/>
        <v>容积率</v>
      </c>
      <c r="R11" s="1502" t="s">
        <v>8</v>
      </c>
      <c r="S11" s="1503" t="e">
        <f t="shared" si="0"/>
        <v>#N/A</v>
      </c>
      <c r="T11" s="1502" t="s">
        <v>8</v>
      </c>
      <c r="U11" s="1503" t="e">
        <f t="shared" si="1"/>
        <v>#N/A</v>
      </c>
      <c r="V11" s="1502" t="s">
        <v>8</v>
      </c>
      <c r="W11" s="1503" t="e">
        <f t="shared" si="2"/>
        <v>#N/A</v>
      </c>
      <c r="X11" s="1504"/>
      <c r="Y11" s="3407"/>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61"/>
      <c r="Q12" s="1134">
        <f t="shared" si="6"/>
        <v>111</v>
      </c>
      <c r="R12" s="1502" t="s">
        <v>8</v>
      </c>
      <c r="S12" s="1503">
        <f t="shared" si="0"/>
        <v>100</v>
      </c>
      <c r="T12" s="1502" t="s">
        <v>8</v>
      </c>
      <c r="U12" s="1503">
        <f t="shared" si="1"/>
        <v>100</v>
      </c>
      <c r="V12" s="1502" t="s">
        <v>8</v>
      </c>
      <c r="W12" s="1503">
        <f t="shared" si="2"/>
        <v>100</v>
      </c>
      <c r="X12" s="1504"/>
      <c r="Y12" s="3407"/>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61"/>
      <c r="Q13" s="1134">
        <f t="shared" si="6"/>
        <v>111</v>
      </c>
      <c r="R13" s="1502" t="s">
        <v>8</v>
      </c>
      <c r="S13" s="1503">
        <f t="shared" si="0"/>
        <v>100</v>
      </c>
      <c r="T13" s="1502" t="s">
        <v>8</v>
      </c>
      <c r="U13" s="1503">
        <f t="shared" si="1"/>
        <v>100</v>
      </c>
      <c r="V13" s="1502" t="s">
        <v>8</v>
      </c>
      <c r="W13" s="1503">
        <f t="shared" si="2"/>
        <v>100</v>
      </c>
      <c r="X13" s="1504"/>
      <c r="Y13" s="3407"/>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61"/>
      <c r="Q14" s="1134">
        <f t="shared" si="6"/>
        <v>111</v>
      </c>
      <c r="R14" s="1502" t="s">
        <v>8</v>
      </c>
      <c r="S14" s="1503">
        <f t="shared" si="0"/>
        <v>100</v>
      </c>
      <c r="T14" s="1502" t="s">
        <v>8</v>
      </c>
      <c r="U14" s="1503">
        <f t="shared" si="1"/>
        <v>100</v>
      </c>
      <c r="V14" s="1502" t="s">
        <v>8</v>
      </c>
      <c r="W14" s="1503">
        <f t="shared" si="2"/>
        <v>100</v>
      </c>
      <c r="X14" s="1504"/>
      <c r="Y14" s="3407"/>
      <c r="Z14" s="1133">
        <f t="shared" si="7"/>
        <v>111</v>
      </c>
      <c r="AA14" s="1505">
        <f t="shared" si="3"/>
        <v>1</v>
      </c>
      <c r="AB14" s="1505">
        <f t="shared" si="4"/>
        <v>1</v>
      </c>
      <c r="AC14" s="1505">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95" t="s">
        <v>534</v>
      </c>
      <c r="Q15" s="1506" t="str">
        <f t="shared" si="6"/>
        <v>商业繁华度</v>
      </c>
      <c r="R15" s="1507" t="s">
        <v>8</v>
      </c>
      <c r="S15" s="1508">
        <f t="shared" si="0"/>
        <v>100</v>
      </c>
      <c r="T15" s="1507" t="s">
        <v>8</v>
      </c>
      <c r="U15" s="1508">
        <f t="shared" si="1"/>
        <v>100</v>
      </c>
      <c r="V15" s="1507" t="s">
        <v>8</v>
      </c>
      <c r="W15" s="1508">
        <f t="shared" si="2"/>
        <v>100</v>
      </c>
      <c r="X15" s="1501"/>
      <c r="Y15" s="349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96"/>
      <c r="Q16" s="1506"/>
      <c r="R16" s="1507"/>
      <c r="S16" s="1508"/>
      <c r="T16" s="1507"/>
      <c r="U16" s="1508"/>
      <c r="V16" s="1507"/>
      <c r="W16" s="1508"/>
      <c r="X16" s="1501"/>
      <c r="Y16" s="3496"/>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96"/>
      <c r="Q17" s="1506" t="str">
        <f>B17</f>
        <v>交通便捷度</v>
      </c>
      <c r="R17" s="1507" t="s">
        <v>8</v>
      </c>
      <c r="S17" s="1508">
        <f>F17</f>
        <v>100</v>
      </c>
      <c r="T17" s="1507" t="s">
        <v>8</v>
      </c>
      <c r="U17" s="1508">
        <f>H17</f>
        <v>100</v>
      </c>
      <c r="V17" s="1507" t="s">
        <v>8</v>
      </c>
      <c r="W17" s="1508">
        <f>J17</f>
        <v>100</v>
      </c>
      <c r="X17" s="1501"/>
      <c r="Y17" s="349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96"/>
      <c r="Q18" s="1506"/>
      <c r="R18" s="1507"/>
      <c r="S18" s="1508"/>
      <c r="T18" s="1507"/>
      <c r="U18" s="1508"/>
      <c r="V18" s="1507"/>
      <c r="W18" s="1508"/>
      <c r="X18" s="1501"/>
      <c r="Y18" s="3496"/>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96"/>
      <c r="Q19" s="1506" t="str">
        <f>B19</f>
        <v>公共配套设施</v>
      </c>
      <c r="R19" s="1507" t="s">
        <v>8</v>
      </c>
      <c r="S19" s="1508">
        <f>F19</f>
        <v>100</v>
      </c>
      <c r="T19" s="1507" t="s">
        <v>8</v>
      </c>
      <c r="U19" s="1508">
        <f>H19</f>
        <v>100</v>
      </c>
      <c r="V19" s="1507" t="s">
        <v>8</v>
      </c>
      <c r="W19" s="1508">
        <f>J19</f>
        <v>100</v>
      </c>
      <c r="X19" s="1501"/>
      <c r="Y19" s="349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496"/>
      <c r="Q20" s="1506"/>
      <c r="R20" s="1507"/>
      <c r="S20" s="1508"/>
      <c r="T20" s="1507"/>
      <c r="U20" s="1508"/>
      <c r="V20" s="1507"/>
      <c r="W20" s="1508"/>
      <c r="X20" s="1501"/>
      <c r="Y20" s="3496"/>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96"/>
      <c r="Q21" s="2429" t="str">
        <f>B21</f>
        <v>基础设施水平</v>
      </c>
      <c r="R21" s="1507" t="s">
        <v>8</v>
      </c>
      <c r="S21" s="1508">
        <f>F21</f>
        <v>100</v>
      </c>
      <c r="T21" s="1507" t="s">
        <v>8</v>
      </c>
      <c r="U21" s="1508">
        <f>H21</f>
        <v>100</v>
      </c>
      <c r="V21" s="1507" t="s">
        <v>8</v>
      </c>
      <c r="W21" s="1508">
        <f>J21</f>
        <v>100</v>
      </c>
      <c r="X21" s="2431"/>
      <c r="Y21" s="3496"/>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496"/>
      <c r="Q22" s="2429"/>
      <c r="R22" s="1507"/>
      <c r="S22" s="1508"/>
      <c r="T22" s="1507"/>
      <c r="U22" s="1508"/>
      <c r="V22" s="1507"/>
      <c r="W22" s="1508"/>
      <c r="X22" s="2431"/>
      <c r="Y22" s="3496"/>
      <c r="Z22" s="2430"/>
      <c r="AA22" s="1510">
        <v>1</v>
      </c>
      <c r="AB22" s="1510">
        <v>1</v>
      </c>
      <c r="AC22" s="1510">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96"/>
      <c r="Q23" s="1506" t="str">
        <f>B23</f>
        <v>自然及人文环境</v>
      </c>
      <c r="R23" s="1507" t="s">
        <v>8</v>
      </c>
      <c r="S23" s="1508">
        <f>F23</f>
        <v>100</v>
      </c>
      <c r="T23" s="1507" t="s">
        <v>8</v>
      </c>
      <c r="U23" s="1508">
        <f>H23</f>
        <v>100</v>
      </c>
      <c r="V23" s="1507" t="s">
        <v>8</v>
      </c>
      <c r="W23" s="1508">
        <f>J23</f>
        <v>100</v>
      </c>
      <c r="X23" s="1501"/>
      <c r="Y23" s="349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496"/>
      <c r="Q24" s="1506"/>
      <c r="R24" s="1507"/>
      <c r="S24" s="1508"/>
      <c r="T24" s="1507"/>
      <c r="U24" s="1508"/>
      <c r="V24" s="1507"/>
      <c r="W24" s="1508"/>
      <c r="X24" s="1501"/>
      <c r="Y24" s="349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6"/>
      <c r="Q25" s="1506" t="str">
        <f t="shared" ref="Q25:Q46" si="11">B25</f>
        <v>临街状况</v>
      </c>
      <c r="R25" s="1507" t="s">
        <v>8</v>
      </c>
      <c r="S25" s="1508">
        <f>F25</f>
        <v>100</v>
      </c>
      <c r="T25" s="1507" t="s">
        <v>8</v>
      </c>
      <c r="U25" s="1508">
        <f>H25</f>
        <v>100</v>
      </c>
      <c r="V25" s="1507" t="s">
        <v>8</v>
      </c>
      <c r="W25" s="1508">
        <f>J25</f>
        <v>100</v>
      </c>
      <c r="X25" s="1501"/>
      <c r="Y25" s="349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6"/>
      <c r="Q26" s="1506" t="str">
        <f t="shared" si="11"/>
        <v>平面位置/可视性</v>
      </c>
      <c r="R26" s="1507" t="s">
        <v>8</v>
      </c>
      <c r="S26" s="1508">
        <f>F26</f>
        <v>100</v>
      </c>
      <c r="T26" s="1507" t="s">
        <v>8</v>
      </c>
      <c r="U26" s="1508">
        <f>H26</f>
        <v>100</v>
      </c>
      <c r="V26" s="1507" t="s">
        <v>8</v>
      </c>
      <c r="W26" s="1508">
        <f>J26</f>
        <v>100</v>
      </c>
      <c r="X26" s="1501"/>
      <c r="Y26" s="3496"/>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96"/>
      <c r="Q27" s="1134" t="str">
        <f t="shared" si="11"/>
        <v>人流量</v>
      </c>
      <c r="R27" s="1502" t="s">
        <v>8</v>
      </c>
      <c r="S27" s="1503">
        <f>F27</f>
        <v>100</v>
      </c>
      <c r="T27" s="1502" t="s">
        <v>8</v>
      </c>
      <c r="U27" s="1503">
        <f>H27</f>
        <v>100</v>
      </c>
      <c r="V27" s="1502" t="s">
        <v>8</v>
      </c>
      <c r="W27" s="1503">
        <f>J27</f>
        <v>100</v>
      </c>
      <c r="X27" s="1504"/>
      <c r="Y27" s="3496"/>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6"/>
      <c r="Q29" s="1506">
        <f t="shared" si="11"/>
        <v>111</v>
      </c>
      <c r="R29" s="1507" t="s">
        <v>8</v>
      </c>
      <c r="S29" s="1508">
        <f t="shared" si="12"/>
        <v>100</v>
      </c>
      <c r="T29" s="1507" t="s">
        <v>8</v>
      </c>
      <c r="U29" s="1508">
        <f t="shared" si="13"/>
        <v>100</v>
      </c>
      <c r="V29" s="1507" t="s">
        <v>8</v>
      </c>
      <c r="W29" s="1508">
        <f t="shared" si="14"/>
        <v>100</v>
      </c>
      <c r="X29" s="1501"/>
      <c r="Y29" s="349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6"/>
      <c r="Q30" s="1506">
        <f t="shared" si="11"/>
        <v>111</v>
      </c>
      <c r="R30" s="1507" t="s">
        <v>8</v>
      </c>
      <c r="S30" s="1508">
        <f t="shared" si="12"/>
        <v>100</v>
      </c>
      <c r="T30" s="1507" t="s">
        <v>8</v>
      </c>
      <c r="U30" s="1508">
        <f t="shared" si="13"/>
        <v>100</v>
      </c>
      <c r="V30" s="1507" t="s">
        <v>8</v>
      </c>
      <c r="W30" s="1508">
        <f t="shared" si="14"/>
        <v>100</v>
      </c>
      <c r="X30" s="1501"/>
      <c r="Y30" s="3496"/>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6"/>
      <c r="Q31" s="1506">
        <f t="shared" si="11"/>
        <v>111</v>
      </c>
      <c r="R31" s="1507" t="s">
        <v>8</v>
      </c>
      <c r="S31" s="1508">
        <f t="shared" si="12"/>
        <v>100</v>
      </c>
      <c r="T31" s="1507" t="s">
        <v>8</v>
      </c>
      <c r="U31" s="1508">
        <f t="shared" si="13"/>
        <v>100</v>
      </c>
      <c r="V31" s="1507" t="s">
        <v>8</v>
      </c>
      <c r="W31" s="1508">
        <f t="shared" si="14"/>
        <v>100</v>
      </c>
      <c r="X31" s="1501"/>
      <c r="Y31" s="3496"/>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7" t="s">
        <v>544</v>
      </c>
      <c r="Q32" s="1506" t="str">
        <f t="shared" si="11"/>
        <v>商业类型</v>
      </c>
      <c r="R32" s="1507" t="s">
        <v>8</v>
      </c>
      <c r="S32" s="1508">
        <f t="shared" si="12"/>
        <v>100</v>
      </c>
      <c r="T32" s="1507" t="s">
        <v>8</v>
      </c>
      <c r="U32" s="1508">
        <f t="shared" si="13"/>
        <v>100</v>
      </c>
      <c r="V32" s="1507" t="s">
        <v>8</v>
      </c>
      <c r="W32" s="1508">
        <f t="shared" si="14"/>
        <v>100</v>
      </c>
      <c r="X32" s="1501"/>
      <c r="Y32" s="3498"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8"/>
      <c r="Q33" s="1535" t="str">
        <f t="shared" si="11"/>
        <v>项目建筑规模</v>
      </c>
      <c r="R33" s="1511" t="s">
        <v>8</v>
      </c>
      <c r="S33" s="1512" t="e">
        <f t="shared" si="12"/>
        <v>#N/A</v>
      </c>
      <c r="T33" s="1511" t="s">
        <v>8</v>
      </c>
      <c r="U33" s="1512" t="e">
        <f t="shared" si="13"/>
        <v>#N/A</v>
      </c>
      <c r="V33" s="1511" t="s">
        <v>8</v>
      </c>
      <c r="W33" s="1512" t="e">
        <f t="shared" si="14"/>
        <v>#N/A</v>
      </c>
      <c r="X33" s="1513"/>
      <c r="Y33" s="3498"/>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98"/>
      <c r="Q34" s="1506" t="str">
        <f t="shared" si="11"/>
        <v>建筑结构</v>
      </c>
      <c r="R34" s="1507" t="s">
        <v>8</v>
      </c>
      <c r="S34" s="1508">
        <f t="shared" si="12"/>
        <v>100</v>
      </c>
      <c r="T34" s="1507" t="s">
        <v>8</v>
      </c>
      <c r="U34" s="1508">
        <f t="shared" si="13"/>
        <v>100</v>
      </c>
      <c r="V34" s="1507" t="s">
        <v>8</v>
      </c>
      <c r="W34" s="1508">
        <f t="shared" si="14"/>
        <v>100</v>
      </c>
      <c r="X34" s="1501"/>
      <c r="Y34" s="349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8"/>
      <c r="Q35" s="1506" t="str">
        <f t="shared" si="11"/>
        <v>公共部分装修</v>
      </c>
      <c r="R35" s="1507" t="s">
        <v>8</v>
      </c>
      <c r="S35" s="1508">
        <f t="shared" si="12"/>
        <v>100</v>
      </c>
      <c r="T35" s="1507" t="s">
        <v>8</v>
      </c>
      <c r="U35" s="1508">
        <f t="shared" si="13"/>
        <v>100</v>
      </c>
      <c r="V35" s="1507" t="s">
        <v>8</v>
      </c>
      <c r="W35" s="1508">
        <f t="shared" si="14"/>
        <v>100</v>
      </c>
      <c r="X35" s="1501"/>
      <c r="Y35" s="3498"/>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98"/>
      <c r="Q36" s="1506" t="str">
        <f t="shared" si="11"/>
        <v>成新度</v>
      </c>
      <c r="R36" s="1507" t="s">
        <v>8</v>
      </c>
      <c r="S36" s="1508" t="e">
        <f t="shared" si="12"/>
        <v>#N/A</v>
      </c>
      <c r="T36" s="1507" t="s">
        <v>8</v>
      </c>
      <c r="U36" s="1508" t="e">
        <f t="shared" si="13"/>
        <v>#N/A</v>
      </c>
      <c r="V36" s="1507" t="s">
        <v>8</v>
      </c>
      <c r="W36" s="1508" t="e">
        <f t="shared" si="14"/>
        <v>#N/A</v>
      </c>
      <c r="X36" s="1501"/>
      <c r="Y36" s="3498"/>
      <c r="Z36" s="1509" t="str">
        <f t="shared" si="15"/>
        <v>成新度</v>
      </c>
      <c r="AA36" s="1510" t="e">
        <f t="shared" si="3"/>
        <v>#N/A</v>
      </c>
      <c r="AB36" s="1510" t="e">
        <f t="shared" si="4"/>
        <v>#N/A</v>
      </c>
      <c r="AC36" s="1510" t="e">
        <f t="shared" si="5"/>
        <v>#N/A</v>
      </c>
    </row>
    <row r="37" spans="1:29" s="1203"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8"/>
      <c r="Q37" s="1134" t="str">
        <f t="shared" si="11"/>
        <v>市政基础设施</v>
      </c>
      <c r="R37" s="1502" t="s">
        <v>8</v>
      </c>
      <c r="S37" s="1503">
        <f t="shared" si="12"/>
        <v>100</v>
      </c>
      <c r="T37" s="1502" t="s">
        <v>8</v>
      </c>
      <c r="U37" s="1503">
        <f t="shared" si="13"/>
        <v>100</v>
      </c>
      <c r="V37" s="1502" t="s">
        <v>8</v>
      </c>
      <c r="W37" s="1503">
        <f t="shared" si="14"/>
        <v>100</v>
      </c>
      <c r="X37" s="1504"/>
      <c r="Y37" s="3498"/>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8" t="s">
        <v>760</v>
      </c>
      <c r="Q38" s="1506" t="str">
        <f t="shared" si="11"/>
        <v>业态</v>
      </c>
      <c r="R38" s="1507" t="s">
        <v>8</v>
      </c>
      <c r="S38" s="1508">
        <f t="shared" si="12"/>
        <v>100</v>
      </c>
      <c r="T38" s="1507" t="s">
        <v>8</v>
      </c>
      <c r="U38" s="1508">
        <f t="shared" si="13"/>
        <v>100</v>
      </c>
      <c r="V38" s="1507" t="s">
        <v>8</v>
      </c>
      <c r="W38" s="1508">
        <f t="shared" si="14"/>
        <v>100</v>
      </c>
      <c r="X38" s="1501"/>
      <c r="Y38" s="349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8"/>
      <c r="Q39" s="1506" t="str">
        <f t="shared" si="11"/>
        <v>层高</v>
      </c>
      <c r="R39" s="1507" t="s">
        <v>8</v>
      </c>
      <c r="S39" s="1508">
        <f t="shared" si="12"/>
        <v>100</v>
      </c>
      <c r="T39" s="1507" t="s">
        <v>8</v>
      </c>
      <c r="U39" s="1508">
        <f t="shared" si="13"/>
        <v>100</v>
      </c>
      <c r="V39" s="1507" t="s">
        <v>8</v>
      </c>
      <c r="W39" s="1508">
        <f t="shared" si="14"/>
        <v>100</v>
      </c>
      <c r="X39" s="1501"/>
      <c r="Y39" s="3498"/>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98"/>
      <c r="Q40" s="1506" t="str">
        <f t="shared" si="11"/>
        <v>单套建筑面积</v>
      </c>
      <c r="R40" s="1507" t="s">
        <v>8</v>
      </c>
      <c r="S40" s="1508">
        <f t="shared" si="12"/>
        <v>100</v>
      </c>
      <c r="T40" s="1507" t="s">
        <v>8</v>
      </c>
      <c r="U40" s="1508">
        <f t="shared" si="13"/>
        <v>100</v>
      </c>
      <c r="V40" s="1507" t="s">
        <v>8</v>
      </c>
      <c r="W40" s="1508">
        <f t="shared" si="14"/>
        <v>100</v>
      </c>
      <c r="X40" s="1501"/>
      <c r="Y40" s="3498"/>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8"/>
      <c r="Q41" s="1535" t="str">
        <f t="shared" si="11"/>
        <v>进深比</v>
      </c>
      <c r="R41" s="1511" t="s">
        <v>8</v>
      </c>
      <c r="S41" s="1512">
        <f t="shared" si="12"/>
        <v>100</v>
      </c>
      <c r="T41" s="1511" t="s">
        <v>8</v>
      </c>
      <c r="U41" s="1512">
        <f t="shared" si="13"/>
        <v>100</v>
      </c>
      <c r="V41" s="1511" t="s">
        <v>8</v>
      </c>
      <c r="W41" s="1512">
        <f t="shared" si="14"/>
        <v>100</v>
      </c>
      <c r="X41" s="1513"/>
      <c r="Y41" s="349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8"/>
      <c r="Q42" s="1506" t="str">
        <f t="shared" si="11"/>
        <v>内部装修</v>
      </c>
      <c r="R42" s="1507" t="s">
        <v>8</v>
      </c>
      <c r="S42" s="1508">
        <f t="shared" si="12"/>
        <v>100</v>
      </c>
      <c r="T42" s="1507" t="s">
        <v>8</v>
      </c>
      <c r="U42" s="1508">
        <f t="shared" si="13"/>
        <v>100</v>
      </c>
      <c r="V42" s="1507" t="s">
        <v>8</v>
      </c>
      <c r="W42" s="1508">
        <f t="shared" si="14"/>
        <v>100</v>
      </c>
      <c r="X42" s="1501"/>
      <c r="Y42" s="3498"/>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8"/>
      <c r="Q43" s="1506" t="str">
        <f t="shared" si="11"/>
        <v>内部装修维护情况</v>
      </c>
      <c r="R43" s="1507" t="s">
        <v>8</v>
      </c>
      <c r="S43" s="1508">
        <f t="shared" si="12"/>
        <v>100</v>
      </c>
      <c r="T43" s="1507" t="s">
        <v>8</v>
      </c>
      <c r="U43" s="1508">
        <f t="shared" si="13"/>
        <v>100</v>
      </c>
      <c r="V43" s="1507" t="s">
        <v>8</v>
      </c>
      <c r="W43" s="1508">
        <f t="shared" si="14"/>
        <v>100</v>
      </c>
      <c r="X43" s="1501"/>
      <c r="Y43" s="3498"/>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8"/>
      <c r="Q44" s="1134">
        <f t="shared" si="11"/>
        <v>111</v>
      </c>
      <c r="R44" s="1502" t="s">
        <v>8</v>
      </c>
      <c r="S44" s="1503">
        <f t="shared" si="12"/>
        <v>100</v>
      </c>
      <c r="T44" s="1502" t="s">
        <v>8</v>
      </c>
      <c r="U44" s="1503">
        <f t="shared" si="13"/>
        <v>100</v>
      </c>
      <c r="V44" s="1502" t="s">
        <v>8</v>
      </c>
      <c r="W44" s="1503">
        <f t="shared" si="14"/>
        <v>100</v>
      </c>
      <c r="X44" s="1504"/>
      <c r="Y44" s="3498"/>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8"/>
      <c r="Q45" s="1506">
        <f t="shared" si="11"/>
        <v>111</v>
      </c>
      <c r="R45" s="1507" t="s">
        <v>8</v>
      </c>
      <c r="S45" s="1508">
        <f t="shared" si="12"/>
        <v>100</v>
      </c>
      <c r="T45" s="1507" t="s">
        <v>8</v>
      </c>
      <c r="U45" s="1508">
        <f t="shared" si="13"/>
        <v>100</v>
      </c>
      <c r="V45" s="1507" t="s">
        <v>8</v>
      </c>
      <c r="W45" s="1508">
        <f t="shared" si="14"/>
        <v>100</v>
      </c>
      <c r="X45" s="1501"/>
      <c r="Y45" s="3498"/>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80"/>
      <c r="Q46" s="1506">
        <f t="shared" si="11"/>
        <v>111</v>
      </c>
      <c r="R46" s="1507" t="s">
        <v>8</v>
      </c>
      <c r="S46" s="1508">
        <f t="shared" si="12"/>
        <v>100</v>
      </c>
      <c r="T46" s="1507" t="s">
        <v>8</v>
      </c>
      <c r="U46" s="1508">
        <f t="shared" si="13"/>
        <v>100</v>
      </c>
      <c r="V46" s="1507" t="s">
        <v>8</v>
      </c>
      <c r="W46" s="1508">
        <f t="shared" si="14"/>
        <v>100</v>
      </c>
      <c r="X46" s="1501"/>
      <c r="Y46" s="3580"/>
      <c r="Z46" s="1509">
        <f t="shared" si="15"/>
        <v>111</v>
      </c>
      <c r="AA46" s="1510">
        <f t="shared" si="3"/>
        <v>1</v>
      </c>
      <c r="AB46" s="1510">
        <f t="shared" si="4"/>
        <v>1</v>
      </c>
      <c r="AC46" s="1510">
        <f t="shared" si="5"/>
        <v>1</v>
      </c>
    </row>
    <row r="47" spans="1:29" ht="15">
      <c r="A47" s="601" t="s">
        <v>730</v>
      </c>
      <c r="B47" s="876"/>
      <c r="C47" s="2470" t="s">
        <v>1</v>
      </c>
      <c r="D47" s="2471"/>
      <c r="E47" s="2472"/>
      <c r="F47" s="2473"/>
      <c r="G47" s="2474"/>
      <c r="H47" s="2475"/>
      <c r="I47" s="2472"/>
      <c r="J47" s="2475"/>
      <c r="K47" s="1540"/>
      <c r="L47" s="2026"/>
      <c r="M47" s="2027"/>
      <c r="N47" s="2016"/>
      <c r="O47" s="2027"/>
      <c r="P47" s="3461" t="str">
        <f>A47</f>
        <v>成交单价（元/平方米）</v>
      </c>
      <c r="Q47" s="3461"/>
      <c r="R47" s="3579">
        <f>E47</f>
        <v>0</v>
      </c>
      <c r="S47" s="3579"/>
      <c r="T47" s="3579">
        <f>G47</f>
        <v>0</v>
      </c>
      <c r="U47" s="3579"/>
      <c r="V47" s="3579">
        <f>I47</f>
        <v>0</v>
      </c>
      <c r="W47" s="3579"/>
      <c r="X47" s="1496"/>
      <c r="Y47" s="1515"/>
      <c r="Z47" s="1496"/>
      <c r="AA47" s="1496"/>
      <c r="AB47" s="1496"/>
      <c r="AC47" s="1496"/>
    </row>
    <row r="48" spans="1:29" ht="15.75" thickBot="1">
      <c r="A48" s="609" t="s">
        <v>2740</v>
      </c>
      <c r="B48" s="877"/>
      <c r="C48" s="2476" t="e">
        <f>R49</f>
        <v>#DIV/0!</v>
      </c>
      <c r="D48" s="3014" t="s">
        <v>2971</v>
      </c>
      <c r="E48" s="2477" t="e">
        <f>R48</f>
        <v>#DIV/0!</v>
      </c>
      <c r="F48" s="3015"/>
      <c r="G48" s="2476" t="e">
        <f>T48</f>
        <v>#DIV/0!</v>
      </c>
      <c r="H48" s="3015"/>
      <c r="I48" s="2477" t="e">
        <f>V48</f>
        <v>#DIV/0!</v>
      </c>
      <c r="J48" s="3015"/>
      <c r="K48" s="3023">
        <f>F48+H48+J48</f>
        <v>0</v>
      </c>
      <c r="L48" s="2026"/>
      <c r="M48" s="2027"/>
      <c r="N48" s="2016"/>
      <c r="O48" s="2027"/>
      <c r="P48" s="3461" t="str">
        <f>A48</f>
        <v>比较价格（元/平方米）</v>
      </c>
      <c r="Q48" s="3461"/>
      <c r="R48" s="3579" t="e">
        <f>IF(F1="售价",ROUND(PRODUCT(R47,AA7:AA46),0),ROUND(PRODUCT(R47,AA7:AA46),1))</f>
        <v>#DIV/0!</v>
      </c>
      <c r="S48" s="3579"/>
      <c r="T48" s="3579" t="e">
        <f>IF(F1="售价",ROUND(PRODUCT(T47,AB7:AB46),0),ROUND(PRODUCT(T47,AB7:AB46),1))</f>
        <v>#DIV/0!</v>
      </c>
      <c r="U48" s="3579"/>
      <c r="V48" s="3579" t="e">
        <f>IF(F1="售价",ROUND(PRODUCT(V47,AC7:AC46),0),ROUND(PRODUCT(V47,AC7:AC46),1))</f>
        <v>#DIV/0!</v>
      </c>
      <c r="W48" s="3579"/>
      <c r="X48" s="1496"/>
      <c r="Y48" s="1496"/>
      <c r="Z48" s="1496"/>
      <c r="AA48" s="1496"/>
      <c r="AB48" s="1496"/>
      <c r="AC48" s="1496"/>
    </row>
    <row r="49" spans="1:29" ht="15.75" thickBot="1">
      <c r="A49" s="613" t="s">
        <v>2903</v>
      </c>
      <c r="B49" s="614"/>
      <c r="C49" s="2478" t="e">
        <f>R49</f>
        <v>#DIV/0!</v>
      </c>
      <c r="D49" s="2478"/>
      <c r="E49" s="2478"/>
      <c r="F49" s="2478"/>
      <c r="G49" s="2478"/>
      <c r="H49" s="2478"/>
      <c r="I49" s="2478"/>
      <c r="J49" s="2478"/>
      <c r="K49" s="1541"/>
      <c r="L49" s="2026"/>
      <c r="M49" s="2027"/>
      <c r="N49" s="2016"/>
      <c r="O49" s="2027"/>
      <c r="P49" s="3458" t="str">
        <f>A49</f>
        <v>估价对象XX用房的比较价格（楼面单价，元/平方米）</v>
      </c>
      <c r="Q49" s="3459"/>
      <c r="R49" s="3578" t="e">
        <f>IF(F1="售价",ROUND(IF(D48="简单平均",AVERAGE(R48:V48),R48*F48+T48*H48+V48*J48),0),ROUND(IF(D48="简单平均",AVERAGE(R48:V48),R48*F48+T48*H48+V48*J48),1))</f>
        <v>#DIV/0!</v>
      </c>
      <c r="S49" s="3578"/>
      <c r="T49" s="3578"/>
      <c r="U49" s="3578"/>
      <c r="V49" s="3578"/>
      <c r="W49" s="3578"/>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4" sqref="C24:C52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67" t="s">
        <v>516</v>
      </c>
      <c r="D4" s="3468"/>
      <c r="E4" s="3501" t="s">
        <v>517</v>
      </c>
      <c r="F4" s="3502"/>
      <c r="G4" s="3467" t="s">
        <v>518</v>
      </c>
      <c r="H4" s="3468"/>
      <c r="I4" s="3467" t="s">
        <v>519</v>
      </c>
      <c r="J4" s="3468"/>
      <c r="K4" s="508" t="s">
        <v>520</v>
      </c>
      <c r="L4" s="2015"/>
      <c r="M4" s="2016"/>
      <c r="N4" s="2016"/>
      <c r="O4" s="2016"/>
      <c r="P4" s="3584" t="s">
        <v>521</v>
      </c>
      <c r="Q4" s="3470"/>
      <c r="R4" s="3475" t="s">
        <v>517</v>
      </c>
      <c r="S4" s="3476"/>
      <c r="T4" s="3475" t="s">
        <v>518</v>
      </c>
      <c r="U4" s="3476"/>
      <c r="V4" s="3462" t="s">
        <v>519</v>
      </c>
      <c r="W4" s="3462"/>
      <c r="X4" s="1501"/>
      <c r="Y4" s="3475" t="s">
        <v>521</v>
      </c>
      <c r="Z4" s="3476"/>
      <c r="AA4" s="3464" t="s">
        <v>517</v>
      </c>
      <c r="AB4" s="3464" t="s">
        <v>518</v>
      </c>
      <c r="AC4" s="3464" t="s">
        <v>519</v>
      </c>
    </row>
    <row r="5" spans="1:29" ht="15">
      <c r="A5" s="509"/>
      <c r="B5" s="510"/>
      <c r="C5" s="3483" t="s">
        <v>2897</v>
      </c>
      <c r="D5" s="3484"/>
      <c r="E5" s="3503" t="s">
        <v>2898</v>
      </c>
      <c r="F5" s="3504"/>
      <c r="G5" s="3483" t="s">
        <v>2899</v>
      </c>
      <c r="H5" s="3484"/>
      <c r="I5" s="3483" t="s">
        <v>2900</v>
      </c>
      <c r="J5" s="3484"/>
      <c r="K5" s="508"/>
      <c r="L5" s="2015"/>
      <c r="M5" s="2016"/>
      <c r="N5" s="2016"/>
      <c r="O5" s="2016"/>
      <c r="P5" s="3585"/>
      <c r="Q5" s="3472"/>
      <c r="R5" s="3477"/>
      <c r="S5" s="3478"/>
      <c r="T5" s="3477"/>
      <c r="U5" s="3478"/>
      <c r="V5" s="3462"/>
      <c r="W5" s="3462"/>
      <c r="X5" s="1501"/>
      <c r="Y5" s="3477"/>
      <c r="Z5" s="3478"/>
      <c r="AA5" s="3465"/>
      <c r="AB5" s="3465"/>
      <c r="AC5" s="3465"/>
    </row>
    <row r="6" spans="1:29" ht="15.75" thickBot="1">
      <c r="A6" s="511"/>
      <c r="B6" s="512"/>
      <c r="C6" s="3481" t="s">
        <v>2901</v>
      </c>
      <c r="D6" s="3482"/>
      <c r="E6" s="3499" t="s">
        <v>2901</v>
      </c>
      <c r="F6" s="3500"/>
      <c r="G6" s="3481" t="s">
        <v>2901</v>
      </c>
      <c r="H6" s="3482"/>
      <c r="I6" s="3481" t="s">
        <v>2901</v>
      </c>
      <c r="J6" s="3482"/>
      <c r="K6" s="508" t="s">
        <v>522</v>
      </c>
      <c r="L6" s="2015"/>
      <c r="M6" s="2016"/>
      <c r="N6" s="2016"/>
      <c r="O6" s="2016"/>
      <c r="P6" s="3586"/>
      <c r="Q6" s="3474"/>
      <c r="R6" s="3477"/>
      <c r="S6" s="3478"/>
      <c r="T6" s="3479"/>
      <c r="U6" s="3480"/>
      <c r="V6" s="3462"/>
      <c r="W6" s="3462"/>
      <c r="X6" s="1501"/>
      <c r="Y6" s="3479"/>
      <c r="Z6" s="3480"/>
      <c r="AA6" s="3466"/>
      <c r="AB6" s="3466"/>
      <c r="AC6" s="3466"/>
    </row>
    <row r="7" spans="1:29" s="1203" customFormat="1" ht="15.75" thickBot="1">
      <c r="A7" s="2629"/>
      <c r="B7" s="2636" t="s">
        <v>523</v>
      </c>
      <c r="C7" s="513">
        <f>'数据-取费表'!B2</f>
        <v>44265</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4" t="s">
        <v>524</v>
      </c>
      <c r="Q7" s="3494"/>
      <c r="R7" s="1502" t="s">
        <v>8</v>
      </c>
      <c r="S7" s="1503">
        <f t="shared" ref="S7:S15" si="0">F7</f>
        <v>0</v>
      </c>
      <c r="T7" s="1502" t="s">
        <v>8</v>
      </c>
      <c r="U7" s="1503">
        <f t="shared" ref="U7:U15" si="1">H7</f>
        <v>0</v>
      </c>
      <c r="V7" s="1502" t="s">
        <v>8</v>
      </c>
      <c r="W7" s="1503">
        <f t="shared" ref="W7:W15" si="2">J7</f>
        <v>0</v>
      </c>
      <c r="X7" s="1504"/>
      <c r="Y7" s="3492" t="s">
        <v>524</v>
      </c>
      <c r="Z7" s="3493"/>
      <c r="AA7" s="1505" t="e">
        <f>D7/F7</f>
        <v>#DIV/0!</v>
      </c>
      <c r="AB7" s="1505" t="e">
        <f>D7/H7</f>
        <v>#DIV/0!</v>
      </c>
      <c r="AC7" s="1505"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4" t="s">
        <v>527</v>
      </c>
      <c r="Q8" s="3493"/>
      <c r="R8" s="1502" t="s">
        <v>8</v>
      </c>
      <c r="S8" s="1503">
        <f t="shared" si="0"/>
        <v>0</v>
      </c>
      <c r="T8" s="1502" t="s">
        <v>8</v>
      </c>
      <c r="U8" s="1503">
        <f t="shared" si="1"/>
        <v>0</v>
      </c>
      <c r="V8" s="1502" t="s">
        <v>8</v>
      </c>
      <c r="W8" s="1503">
        <f t="shared" si="2"/>
        <v>0</v>
      </c>
      <c r="X8" s="1504"/>
      <c r="Y8" s="3492" t="s">
        <v>527</v>
      </c>
      <c r="Z8" s="3493"/>
      <c r="AA8" s="1505" t="e">
        <f t="shared" ref="AA8:AA47" si="3">D8/F8</f>
        <v>#DIV/0!</v>
      </c>
      <c r="AB8" s="1505" t="e">
        <f t="shared" ref="AB8:AB47" si="4">D8/H8</f>
        <v>#DIV/0!</v>
      </c>
      <c r="AC8" s="1505" t="e">
        <f t="shared" ref="AC8:AC47" si="5">D8/J8</f>
        <v>#DIV/0!</v>
      </c>
    </row>
    <row r="9" spans="1:29" s="1203"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61" t="s">
        <v>529</v>
      </c>
      <c r="Q9" s="1134" t="str">
        <f t="shared" ref="Q9:Q15" si="6">B9</f>
        <v>用途</v>
      </c>
      <c r="R9" s="1502" t="s">
        <v>8</v>
      </c>
      <c r="S9" s="1503">
        <f t="shared" si="0"/>
        <v>100</v>
      </c>
      <c r="T9" s="1502" t="s">
        <v>8</v>
      </c>
      <c r="U9" s="1503">
        <f t="shared" si="1"/>
        <v>100</v>
      </c>
      <c r="V9" s="1502" t="s">
        <v>8</v>
      </c>
      <c r="W9" s="1503">
        <f t="shared" si="2"/>
        <v>100</v>
      </c>
      <c r="X9" s="1504"/>
      <c r="Y9" s="3407"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61"/>
      <c r="Q10" s="1134" t="str">
        <f t="shared" si="6"/>
        <v>土地使用年限（年）</v>
      </c>
      <c r="R10" s="1502" t="s">
        <v>8</v>
      </c>
      <c r="S10" s="1503">
        <f t="shared" si="0"/>
        <v>100</v>
      </c>
      <c r="T10" s="1502" t="s">
        <v>8</v>
      </c>
      <c r="U10" s="1503">
        <f t="shared" si="1"/>
        <v>100</v>
      </c>
      <c r="V10" s="1502" t="s">
        <v>8</v>
      </c>
      <c r="W10" s="1503">
        <f t="shared" si="2"/>
        <v>100</v>
      </c>
      <c r="X10" s="1504"/>
      <c r="Y10" s="3407"/>
      <c r="Z10" s="1133"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61"/>
      <c r="Q11" s="1134" t="str">
        <f t="shared" si="6"/>
        <v>容积率</v>
      </c>
      <c r="R11" s="1502" t="s">
        <v>8</v>
      </c>
      <c r="S11" s="1503" t="e">
        <f t="shared" si="0"/>
        <v>#N/A</v>
      </c>
      <c r="T11" s="1502" t="s">
        <v>8</v>
      </c>
      <c r="U11" s="1503" t="e">
        <f t="shared" si="1"/>
        <v>#N/A</v>
      </c>
      <c r="V11" s="1502" t="s">
        <v>8</v>
      </c>
      <c r="W11" s="1503" t="e">
        <f t="shared" si="2"/>
        <v>#N/A</v>
      </c>
      <c r="X11" s="1504"/>
      <c r="Y11" s="3407"/>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61"/>
      <c r="Q12" s="1134">
        <f t="shared" si="6"/>
        <v>111</v>
      </c>
      <c r="R12" s="1502" t="s">
        <v>8</v>
      </c>
      <c r="S12" s="1503">
        <f t="shared" si="0"/>
        <v>100</v>
      </c>
      <c r="T12" s="1502" t="s">
        <v>8</v>
      </c>
      <c r="U12" s="1503">
        <f t="shared" si="1"/>
        <v>100</v>
      </c>
      <c r="V12" s="1502" t="s">
        <v>8</v>
      </c>
      <c r="W12" s="1503">
        <f t="shared" si="2"/>
        <v>100</v>
      </c>
      <c r="X12" s="1504"/>
      <c r="Y12" s="3407"/>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61"/>
      <c r="Q13" s="1134">
        <f t="shared" si="6"/>
        <v>111</v>
      </c>
      <c r="R13" s="1502" t="s">
        <v>8</v>
      </c>
      <c r="S13" s="1503">
        <f t="shared" si="0"/>
        <v>100</v>
      </c>
      <c r="T13" s="1502" t="s">
        <v>8</v>
      </c>
      <c r="U13" s="1503">
        <f t="shared" si="1"/>
        <v>100</v>
      </c>
      <c r="V13" s="1502" t="s">
        <v>8</v>
      </c>
      <c r="W13" s="1503">
        <f t="shared" si="2"/>
        <v>100</v>
      </c>
      <c r="X13" s="1504"/>
      <c r="Y13" s="3407"/>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61"/>
      <c r="Q14" s="1134">
        <f t="shared" si="6"/>
        <v>111</v>
      </c>
      <c r="R14" s="1502" t="s">
        <v>8</v>
      </c>
      <c r="S14" s="1503">
        <f t="shared" si="0"/>
        <v>100</v>
      </c>
      <c r="T14" s="1502" t="s">
        <v>8</v>
      </c>
      <c r="U14" s="1503">
        <f t="shared" si="1"/>
        <v>100</v>
      </c>
      <c r="V14" s="1502" t="s">
        <v>8</v>
      </c>
      <c r="W14" s="1503">
        <f t="shared" si="2"/>
        <v>100</v>
      </c>
      <c r="X14" s="1504"/>
      <c r="Y14" s="3407"/>
      <c r="Z14" s="1133">
        <f t="shared" si="7"/>
        <v>111</v>
      </c>
      <c r="AA14" s="1505">
        <f t="shared" si="3"/>
        <v>1</v>
      </c>
      <c r="AB14" s="1505">
        <f t="shared" si="4"/>
        <v>1</v>
      </c>
      <c r="AC14" s="1505">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95" t="s">
        <v>534</v>
      </c>
      <c r="Q15" s="1506" t="str">
        <f t="shared" si="6"/>
        <v>办公集聚程度</v>
      </c>
      <c r="R15" s="1507" t="s">
        <v>8</v>
      </c>
      <c r="S15" s="1508">
        <f t="shared" si="0"/>
        <v>100</v>
      </c>
      <c r="T15" s="1507" t="s">
        <v>8</v>
      </c>
      <c r="U15" s="1508">
        <f t="shared" si="1"/>
        <v>100</v>
      </c>
      <c r="V15" s="1507" t="s">
        <v>8</v>
      </c>
      <c r="W15" s="1508">
        <f t="shared" si="2"/>
        <v>100</v>
      </c>
      <c r="X15" s="1501"/>
      <c r="Y15" s="349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496"/>
      <c r="Q16" s="1506"/>
      <c r="R16" s="1507"/>
      <c r="S16" s="1508"/>
      <c r="T16" s="1507"/>
      <c r="U16" s="1508"/>
      <c r="V16" s="1507"/>
      <c r="W16" s="1508"/>
      <c r="X16" s="1501"/>
      <c r="Y16" s="3496"/>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96"/>
      <c r="Q17" s="1506" t="str">
        <f>B17</f>
        <v>交通便捷度</v>
      </c>
      <c r="R17" s="1507" t="s">
        <v>8</v>
      </c>
      <c r="S17" s="1508">
        <f>F17</f>
        <v>100</v>
      </c>
      <c r="T17" s="1507" t="s">
        <v>8</v>
      </c>
      <c r="U17" s="1508">
        <f>H17</f>
        <v>100</v>
      </c>
      <c r="V17" s="1507" t="s">
        <v>8</v>
      </c>
      <c r="W17" s="1508">
        <f>J17</f>
        <v>100</v>
      </c>
      <c r="X17" s="1501"/>
      <c r="Y17" s="349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496"/>
      <c r="Q18" s="1506"/>
      <c r="R18" s="1507"/>
      <c r="S18" s="1508"/>
      <c r="T18" s="1507"/>
      <c r="U18" s="1508"/>
      <c r="V18" s="1507"/>
      <c r="W18" s="1508"/>
      <c r="X18" s="1501"/>
      <c r="Y18" s="3496"/>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96"/>
      <c r="Q19" s="1506" t="str">
        <f>B19</f>
        <v>公共配套设施</v>
      </c>
      <c r="R19" s="1507" t="s">
        <v>8</v>
      </c>
      <c r="S19" s="1508">
        <f>F19</f>
        <v>100</v>
      </c>
      <c r="T19" s="1507" t="s">
        <v>8</v>
      </c>
      <c r="U19" s="1508">
        <f>H19</f>
        <v>100</v>
      </c>
      <c r="V19" s="1507" t="s">
        <v>8</v>
      </c>
      <c r="W19" s="1508">
        <f>J19</f>
        <v>100</v>
      </c>
      <c r="X19" s="1501"/>
      <c r="Y19" s="349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496"/>
      <c r="Q20" s="1506"/>
      <c r="R20" s="1507"/>
      <c r="S20" s="1508"/>
      <c r="T20" s="1507"/>
      <c r="U20" s="1508"/>
      <c r="V20" s="1507"/>
      <c r="W20" s="1508"/>
      <c r="X20" s="1501"/>
      <c r="Y20" s="3496"/>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96"/>
      <c r="Q21" s="2429" t="str">
        <f>B21</f>
        <v>基础设施水平</v>
      </c>
      <c r="R21" s="1507" t="s">
        <v>8</v>
      </c>
      <c r="S21" s="1508">
        <f>F21</f>
        <v>100</v>
      </c>
      <c r="T21" s="1507" t="s">
        <v>8</v>
      </c>
      <c r="U21" s="1508">
        <f>H21</f>
        <v>100</v>
      </c>
      <c r="V21" s="1507" t="s">
        <v>8</v>
      </c>
      <c r="W21" s="1508">
        <f>J21</f>
        <v>100</v>
      </c>
      <c r="X21" s="2431"/>
      <c r="Y21" s="3496"/>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96"/>
      <c r="Q22" s="2429"/>
      <c r="R22" s="1507"/>
      <c r="S22" s="1508"/>
      <c r="T22" s="1507"/>
      <c r="U22" s="1508"/>
      <c r="V22" s="1507"/>
      <c r="W22" s="1508"/>
      <c r="X22" s="2431"/>
      <c r="Y22" s="3496"/>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96"/>
      <c r="Q23" s="1506" t="str">
        <f>B23</f>
        <v>环境质量</v>
      </c>
      <c r="R23" s="1507" t="s">
        <v>8</v>
      </c>
      <c r="S23" s="1508">
        <f>F23</f>
        <v>100</v>
      </c>
      <c r="T23" s="1507" t="s">
        <v>8</v>
      </c>
      <c r="U23" s="1508">
        <f>H23</f>
        <v>100</v>
      </c>
      <c r="V23" s="1507" t="s">
        <v>8</v>
      </c>
      <c r="W23" s="1508">
        <f>J23</f>
        <v>100</v>
      </c>
      <c r="X23" s="1501"/>
      <c r="Y23" s="349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496"/>
      <c r="Q24" s="1506"/>
      <c r="R24" s="1507"/>
      <c r="S24" s="1508"/>
      <c r="T24" s="1507"/>
      <c r="U24" s="1508"/>
      <c r="V24" s="1507"/>
      <c r="W24" s="1508"/>
      <c r="X24" s="1501"/>
      <c r="Y24" s="3496"/>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96"/>
      <c r="Q25" s="1506" t="str">
        <f>B25</f>
        <v>毗邻道路的类型与等级</v>
      </c>
      <c r="R25" s="1507" t="s">
        <v>8</v>
      </c>
      <c r="S25" s="1508">
        <f>F25</f>
        <v>100</v>
      </c>
      <c r="T25" s="1507" t="s">
        <v>8</v>
      </c>
      <c r="U25" s="1508">
        <f>H25</f>
        <v>100</v>
      </c>
      <c r="V25" s="1507" t="s">
        <v>8</v>
      </c>
      <c r="W25" s="1508">
        <f>J25</f>
        <v>100</v>
      </c>
      <c r="X25" s="1501"/>
      <c r="Y25" s="349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496"/>
      <c r="Q26" s="1506"/>
      <c r="R26" s="1507"/>
      <c r="S26" s="1508"/>
      <c r="T26" s="1507"/>
      <c r="U26" s="1508"/>
      <c r="V26" s="1507"/>
      <c r="W26" s="1508"/>
      <c r="X26" s="1501"/>
      <c r="Y26" s="349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6"/>
      <c r="Q27" s="1506" t="str">
        <f t="shared" ref="Q27:Q47" si="11">B27</f>
        <v>楼层</v>
      </c>
      <c r="R27" s="1507" t="s">
        <v>8</v>
      </c>
      <c r="S27" s="1508">
        <f>F27</f>
        <v>100</v>
      </c>
      <c r="T27" s="1507" t="s">
        <v>8</v>
      </c>
      <c r="U27" s="1508">
        <f>H27</f>
        <v>100</v>
      </c>
      <c r="V27" s="1507" t="s">
        <v>8</v>
      </c>
      <c r="W27" s="1508">
        <f>J27</f>
        <v>100</v>
      </c>
      <c r="X27" s="1501"/>
      <c r="Y27" s="3496"/>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96"/>
      <c r="Q28" s="1134" t="str">
        <f t="shared" si="11"/>
        <v>朝向</v>
      </c>
      <c r="R28" s="1502" t="s">
        <v>8</v>
      </c>
      <c r="S28" s="1503">
        <f>F28</f>
        <v>100</v>
      </c>
      <c r="T28" s="1502" t="s">
        <v>8</v>
      </c>
      <c r="U28" s="1503">
        <f>H28</f>
        <v>100</v>
      </c>
      <c r="V28" s="1502" t="s">
        <v>8</v>
      </c>
      <c r="W28" s="1503">
        <f>J28</f>
        <v>100</v>
      </c>
      <c r="X28" s="1504"/>
      <c r="Y28" s="3496"/>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96"/>
      <c r="Q29" s="1506">
        <f t="shared" si="11"/>
        <v>111</v>
      </c>
      <c r="R29" s="1507" t="s">
        <v>8</v>
      </c>
      <c r="S29" s="1508">
        <f t="shared" ref="S29:S47" si="12">F29</f>
        <v>100</v>
      </c>
      <c r="T29" s="1507" t="s">
        <v>8</v>
      </c>
      <c r="U29" s="1508">
        <f t="shared" ref="U29:U47" si="13">H29</f>
        <v>100</v>
      </c>
      <c r="V29" s="1507" t="s">
        <v>8</v>
      </c>
      <c r="W29" s="1508">
        <f t="shared" ref="W29:W47" si="14">J29</f>
        <v>100</v>
      </c>
      <c r="X29" s="1501"/>
      <c r="Y29" s="3496"/>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96"/>
      <c r="Q30" s="1506">
        <f t="shared" si="11"/>
        <v>111</v>
      </c>
      <c r="R30" s="1507" t="s">
        <v>8</v>
      </c>
      <c r="S30" s="1508">
        <f t="shared" si="12"/>
        <v>100</v>
      </c>
      <c r="T30" s="1507" t="s">
        <v>8</v>
      </c>
      <c r="U30" s="1508">
        <f t="shared" si="13"/>
        <v>100</v>
      </c>
      <c r="V30" s="1507" t="s">
        <v>8</v>
      </c>
      <c r="W30" s="1508">
        <f t="shared" si="14"/>
        <v>100</v>
      </c>
      <c r="X30" s="1501"/>
      <c r="Y30" s="3496"/>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96"/>
      <c r="Q31" s="1506">
        <f t="shared" si="11"/>
        <v>111</v>
      </c>
      <c r="R31" s="1507" t="s">
        <v>8</v>
      </c>
      <c r="S31" s="1508">
        <f t="shared" si="12"/>
        <v>100</v>
      </c>
      <c r="T31" s="1507" t="s">
        <v>8</v>
      </c>
      <c r="U31" s="1508">
        <f t="shared" si="13"/>
        <v>100</v>
      </c>
      <c r="V31" s="1507" t="s">
        <v>8</v>
      </c>
      <c r="W31" s="1508">
        <f t="shared" si="14"/>
        <v>100</v>
      </c>
      <c r="X31" s="1501"/>
      <c r="Y31" s="3496"/>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96"/>
      <c r="Q32" s="1506">
        <f t="shared" si="11"/>
        <v>111</v>
      </c>
      <c r="R32" s="1507" t="s">
        <v>8</v>
      </c>
      <c r="S32" s="1508">
        <f t="shared" si="12"/>
        <v>100</v>
      </c>
      <c r="T32" s="1507" t="s">
        <v>8</v>
      </c>
      <c r="U32" s="1508">
        <f t="shared" si="13"/>
        <v>100</v>
      </c>
      <c r="V32" s="1507" t="s">
        <v>8</v>
      </c>
      <c r="W32" s="1508">
        <f t="shared" si="14"/>
        <v>100</v>
      </c>
      <c r="X32" s="1501"/>
      <c r="Y32" s="3496"/>
      <c r="Z32" s="1509">
        <f t="shared" si="15"/>
        <v>111</v>
      </c>
      <c r="AA32" s="1510">
        <f t="shared" si="3"/>
        <v>1</v>
      </c>
      <c r="AB32" s="1510">
        <f t="shared" si="4"/>
        <v>1</v>
      </c>
      <c r="AC32" s="1510">
        <f t="shared" si="5"/>
        <v>1</v>
      </c>
    </row>
    <row r="33" spans="1:29" ht="15">
      <c r="A33" s="2624"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97" t="s">
        <v>544</v>
      </c>
      <c r="Q33" s="1506" t="str">
        <f t="shared" si="11"/>
        <v>建筑类型</v>
      </c>
      <c r="R33" s="1507" t="s">
        <v>8</v>
      </c>
      <c r="S33" s="1508">
        <f t="shared" si="12"/>
        <v>100</v>
      </c>
      <c r="T33" s="1507" t="s">
        <v>8</v>
      </c>
      <c r="U33" s="1508">
        <f t="shared" si="13"/>
        <v>100</v>
      </c>
      <c r="V33" s="1507" t="s">
        <v>8</v>
      </c>
      <c r="W33" s="1508">
        <f t="shared" si="14"/>
        <v>100</v>
      </c>
      <c r="X33" s="1501"/>
      <c r="Y33" s="3498"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8"/>
      <c r="Q34" s="1535" t="str">
        <f t="shared" si="11"/>
        <v>项目建筑规模</v>
      </c>
      <c r="R34" s="1511" t="s">
        <v>8</v>
      </c>
      <c r="S34" s="1512" t="e">
        <f t="shared" si="12"/>
        <v>#N/A</v>
      </c>
      <c r="T34" s="1511" t="s">
        <v>8</v>
      </c>
      <c r="U34" s="1512" t="e">
        <f t="shared" si="13"/>
        <v>#N/A</v>
      </c>
      <c r="V34" s="1511" t="s">
        <v>8</v>
      </c>
      <c r="W34" s="1512" t="e">
        <f t="shared" si="14"/>
        <v>#N/A</v>
      </c>
      <c r="X34" s="1513"/>
      <c r="Y34" s="349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8"/>
      <c r="Q35" s="1506" t="str">
        <f t="shared" si="11"/>
        <v>建筑结构</v>
      </c>
      <c r="R35" s="1507" t="s">
        <v>8</v>
      </c>
      <c r="S35" s="1508">
        <f t="shared" si="12"/>
        <v>100</v>
      </c>
      <c r="T35" s="1507" t="s">
        <v>8</v>
      </c>
      <c r="U35" s="1508">
        <f t="shared" si="13"/>
        <v>100</v>
      </c>
      <c r="V35" s="1507" t="s">
        <v>8</v>
      </c>
      <c r="W35" s="1508">
        <f t="shared" si="14"/>
        <v>100</v>
      </c>
      <c r="X35" s="1501"/>
      <c r="Y35" s="349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8"/>
      <c r="Q36" s="1506" t="str">
        <f t="shared" si="11"/>
        <v>公共部分装修</v>
      </c>
      <c r="R36" s="1507" t="s">
        <v>8</v>
      </c>
      <c r="S36" s="1508">
        <f t="shared" si="12"/>
        <v>100</v>
      </c>
      <c r="T36" s="1507" t="s">
        <v>8</v>
      </c>
      <c r="U36" s="1508">
        <f t="shared" si="13"/>
        <v>100</v>
      </c>
      <c r="V36" s="1507" t="s">
        <v>8</v>
      </c>
      <c r="W36" s="1508">
        <f t="shared" si="14"/>
        <v>100</v>
      </c>
      <c r="X36" s="1501"/>
      <c r="Y36" s="3498"/>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98"/>
      <c r="Q37" s="1506" t="str">
        <f t="shared" si="11"/>
        <v>成新度</v>
      </c>
      <c r="R37" s="1507" t="s">
        <v>8</v>
      </c>
      <c r="S37" s="1508" t="e">
        <f t="shared" si="12"/>
        <v>#N/A</v>
      </c>
      <c r="T37" s="1507" t="s">
        <v>8</v>
      </c>
      <c r="U37" s="1508" t="e">
        <f t="shared" si="13"/>
        <v>#N/A</v>
      </c>
      <c r="V37" s="1507" t="s">
        <v>8</v>
      </c>
      <c r="W37" s="1508" t="e">
        <f t="shared" si="14"/>
        <v>#N/A</v>
      </c>
      <c r="X37" s="1501"/>
      <c r="Y37" s="3498"/>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8"/>
      <c r="Q38" s="1134" t="str">
        <f t="shared" si="11"/>
        <v>写字楼等级</v>
      </c>
      <c r="R38" s="1502" t="s">
        <v>8</v>
      </c>
      <c r="S38" s="1503">
        <f t="shared" si="12"/>
        <v>100</v>
      </c>
      <c r="T38" s="1502" t="s">
        <v>8</v>
      </c>
      <c r="U38" s="1503">
        <f t="shared" si="13"/>
        <v>100</v>
      </c>
      <c r="V38" s="1502" t="s">
        <v>8</v>
      </c>
      <c r="W38" s="1503">
        <f t="shared" si="14"/>
        <v>100</v>
      </c>
      <c r="X38" s="1504"/>
      <c r="Y38" s="3498"/>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8" t="s">
        <v>544</v>
      </c>
      <c r="Q39" s="1506" t="str">
        <f t="shared" si="11"/>
        <v>物业管理</v>
      </c>
      <c r="R39" s="1507" t="s">
        <v>8</v>
      </c>
      <c r="S39" s="1508">
        <f t="shared" si="12"/>
        <v>100</v>
      </c>
      <c r="T39" s="1507" t="s">
        <v>8</v>
      </c>
      <c r="U39" s="1508">
        <f t="shared" si="13"/>
        <v>100</v>
      </c>
      <c r="V39" s="1507" t="s">
        <v>8</v>
      </c>
      <c r="W39" s="1508">
        <f t="shared" si="14"/>
        <v>100</v>
      </c>
      <c r="X39" s="1501"/>
      <c r="Y39" s="3498"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8"/>
      <c r="Q40" s="1506" t="str">
        <f t="shared" si="11"/>
        <v>市政基础设施</v>
      </c>
      <c r="R40" s="1507" t="s">
        <v>8</v>
      </c>
      <c r="S40" s="1508">
        <f t="shared" si="12"/>
        <v>100</v>
      </c>
      <c r="T40" s="1507" t="s">
        <v>8</v>
      </c>
      <c r="U40" s="1508">
        <f t="shared" si="13"/>
        <v>100</v>
      </c>
      <c r="V40" s="1507" t="s">
        <v>8</v>
      </c>
      <c r="W40" s="1508">
        <f t="shared" si="14"/>
        <v>100</v>
      </c>
      <c r="X40" s="1501"/>
      <c r="Y40" s="349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8"/>
      <c r="Q41" s="1506" t="str">
        <f t="shared" si="11"/>
        <v>层高</v>
      </c>
      <c r="R41" s="1507" t="s">
        <v>8</v>
      </c>
      <c r="S41" s="1508">
        <f t="shared" si="12"/>
        <v>100</v>
      </c>
      <c r="T41" s="1507" t="s">
        <v>8</v>
      </c>
      <c r="U41" s="1508">
        <f t="shared" si="13"/>
        <v>100</v>
      </c>
      <c r="V41" s="1507" t="s">
        <v>8</v>
      </c>
      <c r="W41" s="1508">
        <f t="shared" si="14"/>
        <v>100</v>
      </c>
      <c r="X41" s="1501"/>
      <c r="Y41" s="3498"/>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8"/>
      <c r="Q42" s="1535" t="str">
        <f t="shared" si="11"/>
        <v>单套建筑面积</v>
      </c>
      <c r="R42" s="1511" t="s">
        <v>8</v>
      </c>
      <c r="S42" s="1512">
        <f t="shared" si="12"/>
        <v>100</v>
      </c>
      <c r="T42" s="1511" t="s">
        <v>8</v>
      </c>
      <c r="U42" s="1512">
        <f t="shared" si="13"/>
        <v>100</v>
      </c>
      <c r="V42" s="1511" t="s">
        <v>8</v>
      </c>
      <c r="W42" s="1512">
        <f t="shared" si="14"/>
        <v>100</v>
      </c>
      <c r="X42" s="1513"/>
      <c r="Y42" s="349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8"/>
      <c r="Q43" s="1506" t="str">
        <f t="shared" si="11"/>
        <v>内部装修</v>
      </c>
      <c r="R43" s="1507" t="s">
        <v>8</v>
      </c>
      <c r="S43" s="1508">
        <f t="shared" si="12"/>
        <v>100</v>
      </c>
      <c r="T43" s="1507" t="s">
        <v>8</v>
      </c>
      <c r="U43" s="1508">
        <f t="shared" si="13"/>
        <v>100</v>
      </c>
      <c r="V43" s="1507" t="s">
        <v>8</v>
      </c>
      <c r="W43" s="1508">
        <f t="shared" si="14"/>
        <v>100</v>
      </c>
      <c r="X43" s="1501"/>
      <c r="Y43" s="3498"/>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8"/>
      <c r="Q44" s="1506" t="str">
        <f t="shared" si="11"/>
        <v>内部装修维护情况</v>
      </c>
      <c r="R44" s="1507" t="s">
        <v>8</v>
      </c>
      <c r="S44" s="1508">
        <f t="shared" si="12"/>
        <v>100</v>
      </c>
      <c r="T44" s="1507" t="s">
        <v>8</v>
      </c>
      <c r="U44" s="1508">
        <f t="shared" si="13"/>
        <v>100</v>
      </c>
      <c r="V44" s="1507" t="s">
        <v>8</v>
      </c>
      <c r="W44" s="1508">
        <f t="shared" si="14"/>
        <v>100</v>
      </c>
      <c r="X44" s="1501"/>
      <c r="Y44" s="3498"/>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8"/>
      <c r="Q45" s="1134">
        <f t="shared" si="11"/>
        <v>111</v>
      </c>
      <c r="R45" s="1502" t="s">
        <v>8</v>
      </c>
      <c r="S45" s="1503">
        <f t="shared" si="12"/>
        <v>100</v>
      </c>
      <c r="T45" s="1502" t="s">
        <v>8</v>
      </c>
      <c r="U45" s="1503">
        <f t="shared" si="13"/>
        <v>100</v>
      </c>
      <c r="V45" s="1502" t="s">
        <v>8</v>
      </c>
      <c r="W45" s="1503">
        <f t="shared" si="14"/>
        <v>100</v>
      </c>
      <c r="X45" s="1504"/>
      <c r="Y45" s="3498"/>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8"/>
      <c r="Q46" s="1506">
        <f t="shared" si="11"/>
        <v>111</v>
      </c>
      <c r="R46" s="1507" t="s">
        <v>8</v>
      </c>
      <c r="S46" s="1508">
        <f t="shared" si="12"/>
        <v>100</v>
      </c>
      <c r="T46" s="1507" t="s">
        <v>8</v>
      </c>
      <c r="U46" s="1508">
        <f t="shared" si="13"/>
        <v>100</v>
      </c>
      <c r="V46" s="1507" t="s">
        <v>8</v>
      </c>
      <c r="W46" s="1508">
        <f t="shared" si="14"/>
        <v>100</v>
      </c>
      <c r="X46" s="1501"/>
      <c r="Y46" s="3498"/>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80"/>
      <c r="Q47" s="1506">
        <f t="shared" si="11"/>
        <v>111</v>
      </c>
      <c r="R47" s="1507" t="s">
        <v>8</v>
      </c>
      <c r="S47" s="1508">
        <f t="shared" si="12"/>
        <v>100</v>
      </c>
      <c r="T47" s="1507" t="s">
        <v>8</v>
      </c>
      <c r="U47" s="1508">
        <f t="shared" si="13"/>
        <v>100</v>
      </c>
      <c r="V47" s="1507" t="s">
        <v>8</v>
      </c>
      <c r="W47" s="1508">
        <f t="shared" si="14"/>
        <v>100</v>
      </c>
      <c r="X47" s="1501"/>
      <c r="Y47" s="3580"/>
      <c r="Z47" s="1509">
        <f t="shared" si="15"/>
        <v>111</v>
      </c>
      <c r="AA47" s="1510">
        <f t="shared" si="3"/>
        <v>1</v>
      </c>
      <c r="AB47" s="1510">
        <f t="shared" si="4"/>
        <v>1</v>
      </c>
      <c r="AC47" s="1510">
        <f t="shared" si="5"/>
        <v>1</v>
      </c>
    </row>
    <row r="48" spans="1:29" ht="15">
      <c r="A48" s="601" t="s">
        <v>730</v>
      </c>
      <c r="B48" s="876"/>
      <c r="C48" s="2470" t="s">
        <v>1</v>
      </c>
      <c r="D48" s="2471"/>
      <c r="E48" s="2472"/>
      <c r="F48" s="2473"/>
      <c r="G48" s="2474"/>
      <c r="H48" s="2475"/>
      <c r="I48" s="2472"/>
      <c r="J48" s="2475"/>
      <c r="K48" s="1540"/>
      <c r="L48" s="2026"/>
      <c r="M48" s="2016"/>
      <c r="N48" s="2016"/>
      <c r="O48" s="2016"/>
      <c r="P48" s="3459" t="str">
        <f>A48</f>
        <v>成交单价（元/平方米）</v>
      </c>
      <c r="Q48" s="3461"/>
      <c r="R48" s="3579">
        <f>E48</f>
        <v>0</v>
      </c>
      <c r="S48" s="3579"/>
      <c r="T48" s="3579">
        <f>G48</f>
        <v>0</v>
      </c>
      <c r="U48" s="3579"/>
      <c r="V48" s="3579">
        <f>I48</f>
        <v>0</v>
      </c>
      <c r="W48" s="3579"/>
      <c r="X48" s="1496"/>
      <c r="Y48" s="1515"/>
      <c r="Z48" s="1496"/>
      <c r="AA48" s="1496"/>
      <c r="AB48" s="1496"/>
      <c r="AC48" s="1496"/>
    </row>
    <row r="49" spans="1:29" ht="15.75" thickBot="1">
      <c r="A49" s="609" t="s">
        <v>2740</v>
      </c>
      <c r="B49" s="877"/>
      <c r="C49" s="2476" t="e">
        <f>R50</f>
        <v>#DIV/0!</v>
      </c>
      <c r="D49" s="3014" t="s">
        <v>2971</v>
      </c>
      <c r="E49" s="2477" t="e">
        <f>R49</f>
        <v>#DIV/0!</v>
      </c>
      <c r="F49" s="3015"/>
      <c r="G49" s="2476" t="e">
        <f>T49</f>
        <v>#DIV/0!</v>
      </c>
      <c r="H49" s="3015"/>
      <c r="I49" s="2477" t="e">
        <f>V49</f>
        <v>#DIV/0!</v>
      </c>
      <c r="J49" s="3015"/>
      <c r="K49" s="3023">
        <f>F49+H49+J49</f>
        <v>0</v>
      </c>
      <c r="L49" s="2026"/>
      <c r="M49" s="2016"/>
      <c r="N49" s="2016"/>
      <c r="O49" s="2016"/>
      <c r="P49" s="3459" t="str">
        <f>A49</f>
        <v>比较价格（元/平方米）</v>
      </c>
      <c r="Q49" s="3461"/>
      <c r="R49" s="3579" t="e">
        <f>IF(F1="售价",ROUND(PRODUCT(R48,AA7:AA47),0),ROUND(PRODUCT(R48,AA7:AA47),1))</f>
        <v>#DIV/0!</v>
      </c>
      <c r="S49" s="3579"/>
      <c r="T49" s="3579" t="e">
        <f>IF(F1="售价",ROUND(PRODUCT(T48,AB7:AB47),0),ROUND(PRODUCT(T48,AB7:AB47),1))</f>
        <v>#DIV/0!</v>
      </c>
      <c r="U49" s="3579"/>
      <c r="V49" s="3579" t="e">
        <f>IF(F1="售价",ROUND(PRODUCT(V48,AC7:AC47),0),ROUND(PRODUCT(V48,AC7:AC47),1))</f>
        <v>#DIV/0!</v>
      </c>
      <c r="W49" s="3579"/>
      <c r="X49" s="1496"/>
      <c r="Y49" s="1496"/>
      <c r="Z49" s="1496"/>
      <c r="AA49" s="1496"/>
      <c r="AB49" s="1496"/>
      <c r="AC49" s="1496"/>
    </row>
    <row r="50" spans="1:29" ht="15.75" thickBot="1">
      <c r="A50" s="613" t="s">
        <v>2903</v>
      </c>
      <c r="B50" s="614"/>
      <c r="C50" s="2478" t="e">
        <f>R50</f>
        <v>#DIV/0!</v>
      </c>
      <c r="D50" s="2478"/>
      <c r="E50" s="2478"/>
      <c r="F50" s="2478"/>
      <c r="G50" s="2478"/>
      <c r="H50" s="2478"/>
      <c r="I50" s="2478"/>
      <c r="J50" s="2478"/>
      <c r="K50" s="1541"/>
      <c r="L50" s="2026"/>
      <c r="M50" s="2016"/>
      <c r="N50" s="2016"/>
      <c r="O50" s="2016"/>
      <c r="P50" s="3583" t="str">
        <f>A50</f>
        <v>估价对象XX用房的比较价格（楼面单价，元/平方米）</v>
      </c>
      <c r="Q50" s="3459"/>
      <c r="R50" s="3578" t="e">
        <f>IF(F1="售价",ROUND(IF(D49="简单平均",AVERAGE(R49:V49),R49*F49+T49*H49+V49*J49),0),ROUND(IF(D49="简单平均",AVERAGE(R49:V49),R49*F49+T49*H49+V49*J49),1))</f>
        <v>#DIV/0!</v>
      </c>
      <c r="S50" s="3578"/>
      <c r="T50" s="3578"/>
      <c r="U50" s="3578"/>
      <c r="V50" s="3578"/>
      <c r="W50" s="3578"/>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C24" sqref="C24:C52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67" t="s">
        <v>516</v>
      </c>
      <c r="D4" s="3468"/>
      <c r="E4" s="3501" t="s">
        <v>517</v>
      </c>
      <c r="F4" s="3502"/>
      <c r="G4" s="3467" t="s">
        <v>518</v>
      </c>
      <c r="H4" s="3468"/>
      <c r="I4" s="3467" t="s">
        <v>519</v>
      </c>
      <c r="J4" s="3468"/>
      <c r="K4" s="508" t="s">
        <v>520</v>
      </c>
      <c r="L4" s="2015"/>
      <c r="M4" s="2016"/>
      <c r="N4" s="2016"/>
      <c r="O4" s="2016"/>
      <c r="P4" s="3469" t="s">
        <v>521</v>
      </c>
      <c r="Q4" s="3470"/>
      <c r="R4" s="3475" t="s">
        <v>517</v>
      </c>
      <c r="S4" s="3476"/>
      <c r="T4" s="3475" t="s">
        <v>518</v>
      </c>
      <c r="U4" s="3476"/>
      <c r="V4" s="3462" t="s">
        <v>519</v>
      </c>
      <c r="W4" s="3462"/>
      <c r="X4" s="1501"/>
      <c r="Y4" s="3475" t="s">
        <v>521</v>
      </c>
      <c r="Z4" s="3476"/>
      <c r="AA4" s="3464" t="s">
        <v>517</v>
      </c>
      <c r="AB4" s="3465" t="s">
        <v>518</v>
      </c>
      <c r="AC4" s="3464" t="s">
        <v>519</v>
      </c>
    </row>
    <row r="5" spans="1:29" ht="15">
      <c r="A5" s="509"/>
      <c r="B5" s="510"/>
      <c r="C5" s="3483" t="s">
        <v>2897</v>
      </c>
      <c r="D5" s="3484"/>
      <c r="E5" s="3503" t="s">
        <v>2898</v>
      </c>
      <c r="F5" s="3504"/>
      <c r="G5" s="3483" t="s">
        <v>2899</v>
      </c>
      <c r="H5" s="3484"/>
      <c r="I5" s="3483" t="s">
        <v>2900</v>
      </c>
      <c r="J5" s="3484"/>
      <c r="K5" s="508"/>
      <c r="L5" s="2015"/>
      <c r="M5" s="2016"/>
      <c r="N5" s="2016"/>
      <c r="O5" s="2016"/>
      <c r="P5" s="3471"/>
      <c r="Q5" s="3472"/>
      <c r="R5" s="3477"/>
      <c r="S5" s="3478"/>
      <c r="T5" s="3477"/>
      <c r="U5" s="3478"/>
      <c r="V5" s="3462"/>
      <c r="W5" s="3462"/>
      <c r="X5" s="1501"/>
      <c r="Y5" s="3477"/>
      <c r="Z5" s="3478"/>
      <c r="AA5" s="3465"/>
      <c r="AB5" s="3465"/>
      <c r="AC5" s="3465"/>
    </row>
    <row r="6" spans="1:29" ht="15.75" thickBot="1">
      <c r="A6" s="511"/>
      <c r="B6" s="512"/>
      <c r="C6" s="3481" t="s">
        <v>2901</v>
      </c>
      <c r="D6" s="3482"/>
      <c r="E6" s="3499" t="s">
        <v>2901</v>
      </c>
      <c r="F6" s="3500"/>
      <c r="G6" s="3481" t="s">
        <v>2901</v>
      </c>
      <c r="H6" s="3482"/>
      <c r="I6" s="3481" t="s">
        <v>2901</v>
      </c>
      <c r="J6" s="3482"/>
      <c r="K6" s="508" t="s">
        <v>522</v>
      </c>
      <c r="L6" s="2015"/>
      <c r="M6" s="2016"/>
      <c r="N6" s="2016"/>
      <c r="O6" s="2016"/>
      <c r="P6" s="3473"/>
      <c r="Q6" s="3474"/>
      <c r="R6" s="3477"/>
      <c r="S6" s="3478"/>
      <c r="T6" s="3479"/>
      <c r="U6" s="3480"/>
      <c r="V6" s="3462"/>
      <c r="W6" s="3462"/>
      <c r="X6" s="1501"/>
      <c r="Y6" s="3479"/>
      <c r="Z6" s="3480"/>
      <c r="AA6" s="3466"/>
      <c r="AB6" s="3466"/>
      <c r="AC6" s="3466"/>
    </row>
    <row r="7" spans="1:29" s="1203" customFormat="1" ht="15.75" thickBot="1">
      <c r="A7" s="2629"/>
      <c r="B7" s="2636" t="s">
        <v>523</v>
      </c>
      <c r="C7" s="513">
        <f>'数据-取费表'!B2</f>
        <v>44265</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92" t="s">
        <v>524</v>
      </c>
      <c r="Q7" s="3494"/>
      <c r="R7" s="1502" t="s">
        <v>8</v>
      </c>
      <c r="S7" s="1503">
        <f t="shared" ref="S7:S15" si="0">F7</f>
        <v>0</v>
      </c>
      <c r="T7" s="1502" t="s">
        <v>8</v>
      </c>
      <c r="U7" s="1503">
        <f t="shared" ref="U7:U15" si="1">H7</f>
        <v>0</v>
      </c>
      <c r="V7" s="1502" t="s">
        <v>8</v>
      </c>
      <c r="W7" s="1503">
        <f t="shared" ref="W7:W15" si="2">J7</f>
        <v>0</v>
      </c>
      <c r="X7" s="1504"/>
      <c r="Y7" s="3492" t="s">
        <v>524</v>
      </c>
      <c r="Z7" s="3493"/>
      <c r="AA7" s="1505" t="e">
        <f>D7/F7</f>
        <v>#DIV/0!</v>
      </c>
      <c r="AB7" s="1505" t="e">
        <f>D7/H7</f>
        <v>#DIV/0!</v>
      </c>
      <c r="AC7" s="1505"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92" t="s">
        <v>527</v>
      </c>
      <c r="Q8" s="3493"/>
      <c r="R8" s="1502" t="s">
        <v>8</v>
      </c>
      <c r="S8" s="1503">
        <f t="shared" si="0"/>
        <v>0</v>
      </c>
      <c r="T8" s="1502" t="s">
        <v>8</v>
      </c>
      <c r="U8" s="1503">
        <f t="shared" si="1"/>
        <v>0</v>
      </c>
      <c r="V8" s="1502" t="s">
        <v>8</v>
      </c>
      <c r="W8" s="1503">
        <f t="shared" si="2"/>
        <v>0</v>
      </c>
      <c r="X8" s="1504"/>
      <c r="Y8" s="3492" t="s">
        <v>527</v>
      </c>
      <c r="Z8" s="3493"/>
      <c r="AA8" s="1505" t="e">
        <f t="shared" ref="AA8:AA40" si="3">D8/F8</f>
        <v>#DIV/0!</v>
      </c>
      <c r="AB8" s="1505" t="e">
        <f t="shared" ref="AB8:AB40" si="4">D8/H8</f>
        <v>#DIV/0!</v>
      </c>
      <c r="AC8" s="1505" t="e">
        <f t="shared" ref="AC8:AC40" si="5">D8/J8</f>
        <v>#DIV/0!</v>
      </c>
    </row>
    <row r="9" spans="1:29" s="1203"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61" t="s">
        <v>529</v>
      </c>
      <c r="Q9" s="1134" t="str">
        <f t="shared" ref="Q9:Q15" si="6">B9</f>
        <v>用途</v>
      </c>
      <c r="R9" s="1502" t="s">
        <v>8</v>
      </c>
      <c r="S9" s="1503">
        <f t="shared" si="0"/>
        <v>100</v>
      </c>
      <c r="T9" s="1502" t="s">
        <v>8</v>
      </c>
      <c r="U9" s="1503">
        <f t="shared" si="1"/>
        <v>100</v>
      </c>
      <c r="V9" s="1502" t="s">
        <v>8</v>
      </c>
      <c r="W9" s="1503">
        <f t="shared" si="2"/>
        <v>100</v>
      </c>
      <c r="X9" s="1504"/>
      <c r="Y9" s="3407" t="s">
        <v>530</v>
      </c>
      <c r="Z9" s="1133" t="str">
        <f t="shared" ref="Z9:Z15" si="7">Q9</f>
        <v>用途</v>
      </c>
      <c r="AA9" s="1505">
        <f t="shared" si="3"/>
        <v>1</v>
      </c>
      <c r="AB9" s="1505">
        <f t="shared" si="4"/>
        <v>1</v>
      </c>
      <c r="AC9" s="1505">
        <f t="shared" si="5"/>
        <v>1</v>
      </c>
    </row>
    <row r="10" spans="1:29" s="1292"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61"/>
      <c r="Q10" s="1134" t="str">
        <f t="shared" si="6"/>
        <v>土地使用年限（年）</v>
      </c>
      <c r="R10" s="1502" t="s">
        <v>8</v>
      </c>
      <c r="S10" s="1503">
        <f t="shared" si="0"/>
        <v>100</v>
      </c>
      <c r="T10" s="1502" t="s">
        <v>8</v>
      </c>
      <c r="U10" s="1503">
        <f t="shared" si="1"/>
        <v>100</v>
      </c>
      <c r="V10" s="1502" t="s">
        <v>8</v>
      </c>
      <c r="W10" s="1503">
        <f t="shared" si="2"/>
        <v>100</v>
      </c>
      <c r="X10" s="1504"/>
      <c r="Y10" s="3407"/>
      <c r="Z10" s="1133"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61"/>
      <c r="Q11" s="1134" t="str">
        <f t="shared" si="6"/>
        <v>容积率</v>
      </c>
      <c r="R11" s="1502" t="s">
        <v>8</v>
      </c>
      <c r="S11" s="1503" t="e">
        <f t="shared" si="0"/>
        <v>#N/A</v>
      </c>
      <c r="T11" s="1502" t="s">
        <v>8</v>
      </c>
      <c r="U11" s="1503" t="e">
        <f t="shared" si="1"/>
        <v>#N/A</v>
      </c>
      <c r="V11" s="1502" t="s">
        <v>8</v>
      </c>
      <c r="W11" s="1503" t="e">
        <f t="shared" si="2"/>
        <v>#N/A</v>
      </c>
      <c r="X11" s="1504"/>
      <c r="Y11" s="3407"/>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61"/>
      <c r="Q12" s="1134">
        <f t="shared" si="6"/>
        <v>111</v>
      </c>
      <c r="R12" s="1502" t="s">
        <v>8</v>
      </c>
      <c r="S12" s="1503">
        <f t="shared" si="0"/>
        <v>100</v>
      </c>
      <c r="T12" s="1502" t="s">
        <v>8</v>
      </c>
      <c r="U12" s="1503">
        <f t="shared" si="1"/>
        <v>100</v>
      </c>
      <c r="V12" s="1502" t="s">
        <v>8</v>
      </c>
      <c r="W12" s="1503">
        <f t="shared" si="2"/>
        <v>100</v>
      </c>
      <c r="X12" s="1504"/>
      <c r="Y12" s="3407"/>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61"/>
      <c r="Q13" s="1134">
        <f t="shared" si="6"/>
        <v>111</v>
      </c>
      <c r="R13" s="1502" t="s">
        <v>8</v>
      </c>
      <c r="S13" s="1503">
        <f t="shared" si="0"/>
        <v>100</v>
      </c>
      <c r="T13" s="1502" t="s">
        <v>8</v>
      </c>
      <c r="U13" s="1503">
        <f t="shared" si="1"/>
        <v>100</v>
      </c>
      <c r="V13" s="1502" t="s">
        <v>8</v>
      </c>
      <c r="W13" s="1503">
        <f t="shared" si="2"/>
        <v>100</v>
      </c>
      <c r="X13" s="1504"/>
      <c r="Y13" s="3407"/>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61"/>
      <c r="Q14" s="1134">
        <f t="shared" si="6"/>
        <v>111</v>
      </c>
      <c r="R14" s="1502" t="s">
        <v>8</v>
      </c>
      <c r="S14" s="1503">
        <f t="shared" si="0"/>
        <v>100</v>
      </c>
      <c r="T14" s="1502" t="s">
        <v>8</v>
      </c>
      <c r="U14" s="1503">
        <f t="shared" si="1"/>
        <v>100</v>
      </c>
      <c r="V14" s="1502" t="s">
        <v>8</v>
      </c>
      <c r="W14" s="1503">
        <f t="shared" si="2"/>
        <v>100</v>
      </c>
      <c r="X14" s="1504"/>
      <c r="Y14" s="3407"/>
      <c r="Z14" s="1133">
        <f t="shared" si="7"/>
        <v>111</v>
      </c>
      <c r="AA14" s="1505">
        <f t="shared" si="3"/>
        <v>1</v>
      </c>
      <c r="AB14" s="1505">
        <f t="shared" si="4"/>
        <v>1</v>
      </c>
      <c r="AC14" s="1505">
        <f t="shared" si="5"/>
        <v>1</v>
      </c>
    </row>
    <row r="15" spans="1:29" ht="57">
      <c r="A15" s="2627"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95" t="s">
        <v>534</v>
      </c>
      <c r="Q15" s="1506" t="str">
        <f t="shared" si="6"/>
        <v>产业集聚程度</v>
      </c>
      <c r="R15" s="1507" t="s">
        <v>8</v>
      </c>
      <c r="S15" s="1508">
        <f t="shared" si="0"/>
        <v>100</v>
      </c>
      <c r="T15" s="1507" t="s">
        <v>8</v>
      </c>
      <c r="U15" s="1508">
        <f t="shared" si="1"/>
        <v>100</v>
      </c>
      <c r="V15" s="1507" t="s">
        <v>8</v>
      </c>
      <c r="W15" s="1508">
        <f t="shared" si="2"/>
        <v>100</v>
      </c>
      <c r="X15" s="1501"/>
      <c r="Y15" s="349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496"/>
      <c r="Q16" s="1506"/>
      <c r="R16" s="1507"/>
      <c r="S16" s="1508"/>
      <c r="T16" s="1507"/>
      <c r="U16" s="1508"/>
      <c r="V16" s="1507"/>
      <c r="W16" s="1508"/>
      <c r="X16" s="1501"/>
      <c r="Y16" s="3496"/>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96"/>
      <c r="Q17" s="1506" t="str">
        <f>B17</f>
        <v>交通便捷度</v>
      </c>
      <c r="R17" s="1507" t="s">
        <v>8</v>
      </c>
      <c r="S17" s="1508">
        <f>F17</f>
        <v>100</v>
      </c>
      <c r="T17" s="1507" t="s">
        <v>8</v>
      </c>
      <c r="U17" s="1508">
        <f>H17</f>
        <v>100</v>
      </c>
      <c r="V17" s="1507" t="s">
        <v>8</v>
      </c>
      <c r="W17" s="1508">
        <f>J17</f>
        <v>100</v>
      </c>
      <c r="X17" s="1501"/>
      <c r="Y17" s="349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496"/>
      <c r="Q18" s="1506"/>
      <c r="R18" s="1507"/>
      <c r="S18" s="1508"/>
      <c r="T18" s="1507"/>
      <c r="U18" s="1508"/>
      <c r="V18" s="1507"/>
      <c r="W18" s="1508"/>
      <c r="X18" s="1501"/>
      <c r="Y18" s="3496"/>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96"/>
      <c r="Q19" s="1506" t="str">
        <f>B19</f>
        <v>公共配套设施</v>
      </c>
      <c r="R19" s="1507" t="s">
        <v>8</v>
      </c>
      <c r="S19" s="1508">
        <f>F19</f>
        <v>100</v>
      </c>
      <c r="T19" s="1507" t="s">
        <v>8</v>
      </c>
      <c r="U19" s="1508">
        <f>H19</f>
        <v>100</v>
      </c>
      <c r="V19" s="1507" t="s">
        <v>8</v>
      </c>
      <c r="W19" s="1508">
        <f>J19</f>
        <v>100</v>
      </c>
      <c r="X19" s="1501"/>
      <c r="Y19" s="349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496"/>
      <c r="Q20" s="1506"/>
      <c r="R20" s="1507"/>
      <c r="S20" s="1508"/>
      <c r="T20" s="1507"/>
      <c r="U20" s="1508"/>
      <c r="V20" s="1507"/>
      <c r="W20" s="1508"/>
      <c r="X20" s="1501"/>
      <c r="Y20" s="3496"/>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96"/>
      <c r="Q21" s="2429" t="str">
        <f>B21</f>
        <v>基础设施水平</v>
      </c>
      <c r="R21" s="1507" t="s">
        <v>8</v>
      </c>
      <c r="S21" s="1508">
        <f>F21</f>
        <v>100</v>
      </c>
      <c r="T21" s="1507" t="s">
        <v>8</v>
      </c>
      <c r="U21" s="1508">
        <f>H21</f>
        <v>100</v>
      </c>
      <c r="V21" s="1507" t="s">
        <v>8</v>
      </c>
      <c r="W21" s="1508">
        <f>J21</f>
        <v>100</v>
      </c>
      <c r="X21" s="2431"/>
      <c r="Y21" s="3496"/>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96"/>
      <c r="Q22" s="2429"/>
      <c r="R22" s="1507"/>
      <c r="S22" s="1508"/>
      <c r="T22" s="1507"/>
      <c r="U22" s="1508"/>
      <c r="V22" s="1507"/>
      <c r="W22" s="1508"/>
      <c r="X22" s="2431"/>
      <c r="Y22" s="3496"/>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96"/>
      <c r="Q23" s="1506" t="str">
        <f>B23</f>
        <v>环境质量</v>
      </c>
      <c r="R23" s="1507" t="s">
        <v>8</v>
      </c>
      <c r="S23" s="1508">
        <f>F23</f>
        <v>100</v>
      </c>
      <c r="T23" s="1507" t="s">
        <v>8</v>
      </c>
      <c r="U23" s="1508">
        <f>H23</f>
        <v>100</v>
      </c>
      <c r="V23" s="1507" t="s">
        <v>8</v>
      </c>
      <c r="W23" s="1508">
        <f>J23</f>
        <v>100</v>
      </c>
      <c r="X23" s="1501"/>
      <c r="Y23" s="3496"/>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496"/>
      <c r="Q24" s="1506"/>
      <c r="R24" s="1507"/>
      <c r="S24" s="1508"/>
      <c r="T24" s="1507"/>
      <c r="U24" s="1508"/>
      <c r="V24" s="1507"/>
      <c r="W24" s="1508"/>
      <c r="X24" s="1501"/>
      <c r="Y24" s="349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6"/>
      <c r="Q25" s="1506">
        <f>B25</f>
        <v>111</v>
      </c>
      <c r="R25" s="1507" t="s">
        <v>8</v>
      </c>
      <c r="S25" s="1508">
        <f>F25</f>
        <v>100</v>
      </c>
      <c r="T25" s="1507" t="s">
        <v>8</v>
      </c>
      <c r="U25" s="1508">
        <f>H25</f>
        <v>100</v>
      </c>
      <c r="V25" s="1507" t="s">
        <v>8</v>
      </c>
      <c r="W25" s="1508">
        <f>J25</f>
        <v>100</v>
      </c>
      <c r="X25" s="1501"/>
      <c r="Y25" s="349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6"/>
      <c r="Q26" s="1506">
        <f t="shared" ref="Q26:Q40" si="11">B26</f>
        <v>111</v>
      </c>
      <c r="R26" s="1507" t="s">
        <v>8</v>
      </c>
      <c r="S26" s="1508">
        <f>F26</f>
        <v>100</v>
      </c>
      <c r="T26" s="1507" t="s">
        <v>8</v>
      </c>
      <c r="U26" s="1508">
        <f>H26</f>
        <v>100</v>
      </c>
      <c r="V26" s="1507" t="s">
        <v>8</v>
      </c>
      <c r="W26" s="1508">
        <f>J26</f>
        <v>100</v>
      </c>
      <c r="X26" s="1501"/>
      <c r="Y26" s="3496"/>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6"/>
      <c r="Q27" s="1134">
        <f t="shared" si="11"/>
        <v>111</v>
      </c>
      <c r="R27" s="1502" t="s">
        <v>8</v>
      </c>
      <c r="S27" s="1503">
        <f>F27</f>
        <v>100</v>
      </c>
      <c r="T27" s="1502" t="s">
        <v>8</v>
      </c>
      <c r="U27" s="1503">
        <f>H27</f>
        <v>100</v>
      </c>
      <c r="V27" s="1502" t="s">
        <v>8</v>
      </c>
      <c r="W27" s="1503">
        <f>J27</f>
        <v>100</v>
      </c>
      <c r="X27" s="1504"/>
      <c r="Y27" s="3496"/>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96"/>
      <c r="Q28" s="1506">
        <f t="shared" si="11"/>
        <v>111</v>
      </c>
      <c r="R28" s="1507" t="s">
        <v>8</v>
      </c>
      <c r="S28" s="1508">
        <f t="shared" ref="S28:S40" si="12">F28</f>
        <v>100</v>
      </c>
      <c r="T28" s="1507" t="s">
        <v>8</v>
      </c>
      <c r="U28" s="1508">
        <f t="shared" ref="U28:U40" si="13">H28</f>
        <v>100</v>
      </c>
      <c r="V28" s="1507" t="s">
        <v>8</v>
      </c>
      <c r="W28" s="1508">
        <f t="shared" ref="W28:W40" si="14">J28</f>
        <v>100</v>
      </c>
      <c r="X28" s="1501"/>
      <c r="Y28" s="3496"/>
      <c r="Z28" s="1509">
        <f t="shared" ref="Z28:Z40" si="15">Q28</f>
        <v>111</v>
      </c>
      <c r="AA28" s="1510">
        <f t="shared" si="3"/>
        <v>1</v>
      </c>
      <c r="AB28" s="1510">
        <f t="shared" si="4"/>
        <v>1</v>
      </c>
      <c r="AC28" s="1510">
        <f t="shared" si="5"/>
        <v>1</v>
      </c>
    </row>
    <row r="29" spans="1:29" ht="15">
      <c r="A29" s="2624"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97" t="s">
        <v>544</v>
      </c>
      <c r="Q29" s="1506" t="str">
        <f t="shared" si="11"/>
        <v>建筑类型</v>
      </c>
      <c r="R29" s="1507" t="s">
        <v>8</v>
      </c>
      <c r="S29" s="1508">
        <f t="shared" si="12"/>
        <v>100</v>
      </c>
      <c r="T29" s="1507" t="s">
        <v>8</v>
      </c>
      <c r="U29" s="1508">
        <f t="shared" si="13"/>
        <v>100</v>
      </c>
      <c r="V29" s="1507" t="s">
        <v>8</v>
      </c>
      <c r="W29" s="1508">
        <f t="shared" si="14"/>
        <v>100</v>
      </c>
      <c r="X29" s="1501"/>
      <c r="Y29" s="3498"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8"/>
      <c r="Q30" s="1535" t="str">
        <f t="shared" si="11"/>
        <v>项目建筑规模</v>
      </c>
      <c r="R30" s="1511" t="s">
        <v>8</v>
      </c>
      <c r="S30" s="1512" t="e">
        <f t="shared" si="12"/>
        <v>#N/A</v>
      </c>
      <c r="T30" s="1511" t="s">
        <v>8</v>
      </c>
      <c r="U30" s="1512" t="e">
        <f t="shared" si="13"/>
        <v>#N/A</v>
      </c>
      <c r="V30" s="1511" t="s">
        <v>8</v>
      </c>
      <c r="W30" s="1512" t="e">
        <f t="shared" si="14"/>
        <v>#N/A</v>
      </c>
      <c r="X30" s="1513"/>
      <c r="Y30" s="349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8"/>
      <c r="Q31" s="1506" t="str">
        <f t="shared" si="11"/>
        <v>建筑结构</v>
      </c>
      <c r="R31" s="1507" t="s">
        <v>8</v>
      </c>
      <c r="S31" s="1508">
        <f t="shared" si="12"/>
        <v>100</v>
      </c>
      <c r="T31" s="1507" t="s">
        <v>8</v>
      </c>
      <c r="U31" s="1508">
        <f t="shared" si="13"/>
        <v>100</v>
      </c>
      <c r="V31" s="1507" t="s">
        <v>8</v>
      </c>
      <c r="W31" s="1508">
        <f t="shared" si="14"/>
        <v>100</v>
      </c>
      <c r="X31" s="1501"/>
      <c r="Y31" s="349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8"/>
      <c r="Q32" s="1506" t="str">
        <f t="shared" si="11"/>
        <v>公共部分装修</v>
      </c>
      <c r="R32" s="1507" t="s">
        <v>8</v>
      </c>
      <c r="S32" s="1508">
        <f t="shared" si="12"/>
        <v>100</v>
      </c>
      <c r="T32" s="1507" t="s">
        <v>8</v>
      </c>
      <c r="U32" s="1508">
        <f t="shared" si="13"/>
        <v>100</v>
      </c>
      <c r="V32" s="1507" t="s">
        <v>8</v>
      </c>
      <c r="W32" s="1508">
        <f t="shared" si="14"/>
        <v>100</v>
      </c>
      <c r="X32" s="1501"/>
      <c r="Y32" s="3498"/>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98"/>
      <c r="Q33" s="1506" t="str">
        <f t="shared" si="11"/>
        <v>成新度</v>
      </c>
      <c r="R33" s="1507" t="s">
        <v>8</v>
      </c>
      <c r="S33" s="1508" t="e">
        <f t="shared" si="12"/>
        <v>#N/A</v>
      </c>
      <c r="T33" s="1507" t="s">
        <v>8</v>
      </c>
      <c r="U33" s="1508" t="e">
        <f t="shared" si="13"/>
        <v>#N/A</v>
      </c>
      <c r="V33" s="1507" t="s">
        <v>8</v>
      </c>
      <c r="W33" s="1508" t="e">
        <f t="shared" si="14"/>
        <v>#N/A</v>
      </c>
      <c r="X33" s="1501"/>
      <c r="Y33" s="3498"/>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8"/>
      <c r="Q34" s="1134" t="str">
        <f t="shared" si="11"/>
        <v>物业管理</v>
      </c>
      <c r="R34" s="1502" t="s">
        <v>8</v>
      </c>
      <c r="S34" s="1503">
        <f t="shared" si="12"/>
        <v>100</v>
      </c>
      <c r="T34" s="1502" t="s">
        <v>8</v>
      </c>
      <c r="U34" s="1503">
        <f t="shared" si="13"/>
        <v>100</v>
      </c>
      <c r="V34" s="1502" t="s">
        <v>8</v>
      </c>
      <c r="W34" s="1503">
        <f t="shared" si="14"/>
        <v>100</v>
      </c>
      <c r="X34" s="1504"/>
      <c r="Y34" s="3498"/>
      <c r="Z34" s="1133"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8" t="s">
        <v>544</v>
      </c>
      <c r="Q35" s="1506" t="str">
        <f t="shared" si="11"/>
        <v>市政基础设施</v>
      </c>
      <c r="R35" s="1507" t="s">
        <v>8</v>
      </c>
      <c r="S35" s="1508">
        <f t="shared" si="12"/>
        <v>100</v>
      </c>
      <c r="T35" s="1507" t="s">
        <v>8</v>
      </c>
      <c r="U35" s="1508">
        <f t="shared" si="13"/>
        <v>100</v>
      </c>
      <c r="V35" s="1507" t="s">
        <v>8</v>
      </c>
      <c r="W35" s="1508">
        <f t="shared" si="14"/>
        <v>100</v>
      </c>
      <c r="X35" s="1501"/>
      <c r="Y35" s="349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8"/>
      <c r="Q36" s="1506" t="str">
        <f t="shared" si="11"/>
        <v>内部装修</v>
      </c>
      <c r="R36" s="1507" t="s">
        <v>8</v>
      </c>
      <c r="S36" s="1508">
        <f t="shared" si="12"/>
        <v>100</v>
      </c>
      <c r="T36" s="1507" t="s">
        <v>8</v>
      </c>
      <c r="U36" s="1508">
        <f t="shared" si="13"/>
        <v>100</v>
      </c>
      <c r="V36" s="1507" t="s">
        <v>8</v>
      </c>
      <c r="W36" s="1508">
        <f t="shared" si="14"/>
        <v>100</v>
      </c>
      <c r="X36" s="1501"/>
      <c r="Y36" s="349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8"/>
      <c r="Q37" s="1506" t="str">
        <f t="shared" si="11"/>
        <v>内部装修状况</v>
      </c>
      <c r="R37" s="1507" t="s">
        <v>8</v>
      </c>
      <c r="S37" s="1508">
        <f t="shared" si="12"/>
        <v>100</v>
      </c>
      <c r="T37" s="1507" t="s">
        <v>8</v>
      </c>
      <c r="U37" s="1508">
        <f t="shared" si="13"/>
        <v>100</v>
      </c>
      <c r="V37" s="1507" t="s">
        <v>8</v>
      </c>
      <c r="W37" s="1508">
        <f t="shared" si="14"/>
        <v>100</v>
      </c>
      <c r="X37" s="1501"/>
      <c r="Y37" s="3498"/>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98"/>
      <c r="Q38" s="1535">
        <f t="shared" si="11"/>
        <v>111</v>
      </c>
      <c r="R38" s="1511" t="s">
        <v>8</v>
      </c>
      <c r="S38" s="1512">
        <f t="shared" si="12"/>
        <v>100</v>
      </c>
      <c r="T38" s="1511" t="s">
        <v>8</v>
      </c>
      <c r="U38" s="1512">
        <f t="shared" si="13"/>
        <v>100</v>
      </c>
      <c r="V38" s="1511" t="s">
        <v>8</v>
      </c>
      <c r="W38" s="1512">
        <f t="shared" si="14"/>
        <v>100</v>
      </c>
      <c r="X38" s="1513"/>
      <c r="Y38" s="3498"/>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98"/>
      <c r="Q39" s="1506">
        <f t="shared" si="11"/>
        <v>111</v>
      </c>
      <c r="R39" s="1507" t="s">
        <v>8</v>
      </c>
      <c r="S39" s="1508">
        <f t="shared" si="12"/>
        <v>100</v>
      </c>
      <c r="T39" s="1507" t="s">
        <v>8</v>
      </c>
      <c r="U39" s="1508">
        <f t="shared" si="13"/>
        <v>100</v>
      </c>
      <c r="V39" s="1507" t="s">
        <v>8</v>
      </c>
      <c r="W39" s="1508">
        <f t="shared" si="14"/>
        <v>100</v>
      </c>
      <c r="X39" s="1501"/>
      <c r="Y39" s="3498"/>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80"/>
      <c r="Q40" s="1506">
        <f t="shared" si="11"/>
        <v>111</v>
      </c>
      <c r="R40" s="1507" t="s">
        <v>8</v>
      </c>
      <c r="S40" s="1508">
        <f t="shared" si="12"/>
        <v>100</v>
      </c>
      <c r="T40" s="1507" t="s">
        <v>8</v>
      </c>
      <c r="U40" s="1508">
        <f t="shared" si="13"/>
        <v>100</v>
      </c>
      <c r="V40" s="1507" t="s">
        <v>8</v>
      </c>
      <c r="W40" s="1508">
        <f t="shared" si="14"/>
        <v>100</v>
      </c>
      <c r="X40" s="1501"/>
      <c r="Y40" s="3580"/>
      <c r="Z40" s="1509">
        <f t="shared" si="15"/>
        <v>111</v>
      </c>
      <c r="AA40" s="1510">
        <f t="shared" si="3"/>
        <v>1</v>
      </c>
      <c r="AB40" s="1510">
        <f t="shared" si="4"/>
        <v>1</v>
      </c>
      <c r="AC40" s="1510">
        <f t="shared" si="5"/>
        <v>1</v>
      </c>
    </row>
    <row r="41" spans="1:29" ht="15">
      <c r="A41" s="601" t="s">
        <v>730</v>
      </c>
      <c r="B41" s="876"/>
      <c r="C41" s="2470" t="s">
        <v>1</v>
      </c>
      <c r="D41" s="2471"/>
      <c r="E41" s="2472"/>
      <c r="F41" s="2473"/>
      <c r="G41" s="2474"/>
      <c r="H41" s="2475"/>
      <c r="I41" s="2472"/>
      <c r="J41" s="2475"/>
      <c r="K41" s="1540"/>
      <c r="L41" s="2026"/>
      <c r="M41" s="2027"/>
      <c r="N41" s="2016"/>
      <c r="O41" s="2027"/>
      <c r="P41" s="3461" t="str">
        <f>A41</f>
        <v>成交单价（元/平方米）</v>
      </c>
      <c r="Q41" s="3461"/>
      <c r="R41" s="3579">
        <f>E41</f>
        <v>0</v>
      </c>
      <c r="S41" s="3579"/>
      <c r="T41" s="3579">
        <f>G41</f>
        <v>0</v>
      </c>
      <c r="U41" s="3579"/>
      <c r="V41" s="3579">
        <f>I41</f>
        <v>0</v>
      </c>
      <c r="W41" s="3579"/>
      <c r="X41" s="1496"/>
      <c r="Y41" s="1515"/>
      <c r="Z41" s="1496"/>
      <c r="AA41" s="1496"/>
      <c r="AB41" s="1496"/>
      <c r="AC41" s="1496"/>
    </row>
    <row r="42" spans="1:29" ht="15.75" thickBot="1">
      <c r="A42" s="609" t="s">
        <v>2740</v>
      </c>
      <c r="B42" s="877"/>
      <c r="C42" s="2476" t="e">
        <f>R43</f>
        <v>#DIV/0!</v>
      </c>
      <c r="D42" s="3014" t="s">
        <v>2971</v>
      </c>
      <c r="E42" s="2477" t="e">
        <f>R42</f>
        <v>#DIV/0!</v>
      </c>
      <c r="F42" s="3015"/>
      <c r="G42" s="2476" t="e">
        <f>T42</f>
        <v>#DIV/0!</v>
      </c>
      <c r="H42" s="3015"/>
      <c r="I42" s="2477" t="e">
        <f>V42</f>
        <v>#DIV/0!</v>
      </c>
      <c r="J42" s="3015"/>
      <c r="K42" s="3023">
        <f>F42+H42+J42</f>
        <v>0</v>
      </c>
      <c r="L42" s="2026"/>
      <c r="M42" s="2027"/>
      <c r="N42" s="2016"/>
      <c r="O42" s="2027"/>
      <c r="P42" s="3461" t="str">
        <f>A42</f>
        <v>比较价格（元/平方米）</v>
      </c>
      <c r="Q42" s="3461"/>
      <c r="R42" s="3579" t="e">
        <f>IF(F1="售价",ROUND(PRODUCT(R41,AA7:AA40),0),ROUND(PRODUCT(R41,AA7:AA40),1))</f>
        <v>#DIV/0!</v>
      </c>
      <c r="S42" s="3579"/>
      <c r="T42" s="3579" t="e">
        <f>IF(F1="售价",ROUND(PRODUCT(T41,AB7:AB40),0),ROUND(PRODUCT(T41,AB7:AB40),1))</f>
        <v>#DIV/0!</v>
      </c>
      <c r="U42" s="3579"/>
      <c r="V42" s="3579" t="e">
        <f>IF(F1="售价",ROUND(PRODUCT(V41,AC7:AC40),0),ROUND(PRODUCT(V41,AC7:AC40),1))</f>
        <v>#DIV/0!</v>
      </c>
      <c r="W42" s="3579"/>
      <c r="X42" s="1496"/>
      <c r="Y42" s="1496"/>
      <c r="Z42" s="1496"/>
      <c r="AA42" s="1496"/>
      <c r="AB42" s="1496"/>
      <c r="AC42" s="1496"/>
    </row>
    <row r="43" spans="1:29" ht="15.75" thickBot="1">
      <c r="A43" s="613" t="s">
        <v>2903</v>
      </c>
      <c r="B43" s="614"/>
      <c r="C43" s="2478" t="e">
        <f>R43</f>
        <v>#DIV/0!</v>
      </c>
      <c r="D43" s="2478"/>
      <c r="E43" s="2478"/>
      <c r="F43" s="2478"/>
      <c r="G43" s="2478"/>
      <c r="H43" s="2478"/>
      <c r="I43" s="2478"/>
      <c r="J43" s="2478"/>
      <c r="K43" s="1541"/>
      <c r="L43" s="2026"/>
      <c r="M43" s="2027"/>
      <c r="N43" s="2027"/>
      <c r="O43" s="2027"/>
      <c r="P43" s="3458" t="str">
        <f>A43</f>
        <v>估价对象XX用房的比较价格（楼面单价，元/平方米）</v>
      </c>
      <c r="Q43" s="3459"/>
      <c r="R43" s="3578" t="e">
        <f>IF(F1="售价",ROUND(IF(D42="简单平均",AVERAGE(R42:V42),R42*F42+T42*H42+V42*J42),0),ROUND(IF(D42="简单平均",AVERAGE(R42:V42),R42*F42+T42*H42+V42*J42),1))</f>
        <v>#DIV/0!</v>
      </c>
      <c r="S43" s="3578"/>
      <c r="T43" s="3578"/>
      <c r="U43" s="3578"/>
      <c r="V43" s="3578"/>
      <c r="W43" s="3578"/>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6" sqref="W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t="s">
        <v>3016</v>
      </c>
      <c r="C1" s="498" t="s">
        <v>786</v>
      </c>
      <c r="D1" s="838" t="s">
        <v>3016</v>
      </c>
      <c r="E1" s="500"/>
      <c r="F1" s="2524" t="s">
        <v>3235</v>
      </c>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18688</v>
      </c>
      <c r="E3" s="1762" t="s">
        <v>2065</v>
      </c>
      <c r="F3" s="840">
        <f>SUMIF('数据-取费表'!A5:A15,D1,'数据-取费表'!AH5:AH15)</f>
        <v>492</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7" t="s">
        <v>792</v>
      </c>
      <c r="D4" s="3468"/>
      <c r="E4" s="3467" t="s">
        <v>793</v>
      </c>
      <c r="F4" s="3468"/>
      <c r="G4" s="3467" t="s">
        <v>794</v>
      </c>
      <c r="H4" s="3468"/>
      <c r="I4" s="3467" t="s">
        <v>795</v>
      </c>
      <c r="J4" s="3468"/>
      <c r="K4" s="508" t="s">
        <v>796</v>
      </c>
      <c r="L4" s="2015"/>
      <c r="M4" s="2016"/>
      <c r="N4" s="2016"/>
      <c r="O4" s="2016"/>
      <c r="P4" s="3469" t="s">
        <v>797</v>
      </c>
      <c r="Q4" s="3470"/>
      <c r="R4" s="3475" t="s">
        <v>793</v>
      </c>
      <c r="S4" s="3476"/>
      <c r="T4" s="3475" t="s">
        <v>794</v>
      </c>
      <c r="U4" s="3476"/>
      <c r="V4" s="3462" t="s">
        <v>795</v>
      </c>
      <c r="W4" s="3462"/>
      <c r="X4" s="1501"/>
      <c r="Y4" s="3475" t="s">
        <v>797</v>
      </c>
      <c r="Z4" s="3476"/>
      <c r="AA4" s="3464" t="s">
        <v>793</v>
      </c>
      <c r="AB4" s="3465" t="s">
        <v>794</v>
      </c>
      <c r="AC4" s="3464" t="s">
        <v>795</v>
      </c>
    </row>
    <row r="5" spans="1:29" ht="15">
      <c r="A5" s="509"/>
      <c r="B5" s="510"/>
      <c r="C5" s="3483" t="s">
        <v>2897</v>
      </c>
      <c r="D5" s="3484"/>
      <c r="E5" s="3581" t="s">
        <v>3236</v>
      </c>
      <c r="F5" s="3484"/>
      <c r="G5" s="3581" t="s">
        <v>3237</v>
      </c>
      <c r="H5" s="3484"/>
      <c r="I5" s="3483" t="s">
        <v>2900</v>
      </c>
      <c r="J5" s="3484"/>
      <c r="K5" s="508"/>
      <c r="L5" s="2015"/>
      <c r="M5" s="2016"/>
      <c r="N5" s="2016"/>
      <c r="O5" s="2016"/>
      <c r="P5" s="3471"/>
      <c r="Q5" s="3472"/>
      <c r="R5" s="3477"/>
      <c r="S5" s="3478"/>
      <c r="T5" s="3477"/>
      <c r="U5" s="3478"/>
      <c r="V5" s="3462"/>
      <c r="W5" s="3462"/>
      <c r="X5" s="1501"/>
      <c r="Y5" s="3477"/>
      <c r="Z5" s="3478"/>
      <c r="AA5" s="3465"/>
      <c r="AB5" s="3465"/>
      <c r="AC5" s="3465"/>
    </row>
    <row r="6" spans="1:29" ht="15.75" thickBot="1">
      <c r="A6" s="511"/>
      <c r="B6" s="512"/>
      <c r="C6" s="3481" t="s">
        <v>2901</v>
      </c>
      <c r="D6" s="3482"/>
      <c r="E6" s="3485" t="s">
        <v>2901</v>
      </c>
      <c r="F6" s="3486"/>
      <c r="G6" s="3481" t="s">
        <v>2901</v>
      </c>
      <c r="H6" s="3482"/>
      <c r="I6" s="3481" t="s">
        <v>2901</v>
      </c>
      <c r="J6" s="3482"/>
      <c r="K6" s="508" t="s">
        <v>522</v>
      </c>
      <c r="L6" s="2015"/>
      <c r="M6" s="2016"/>
      <c r="N6" s="2016"/>
      <c r="O6" s="2016"/>
      <c r="P6" s="3473"/>
      <c r="Q6" s="3474"/>
      <c r="R6" s="3477"/>
      <c r="S6" s="3478"/>
      <c r="T6" s="3479"/>
      <c r="U6" s="3480"/>
      <c r="V6" s="3462"/>
      <c r="W6" s="3462"/>
      <c r="X6" s="1501"/>
      <c r="Y6" s="3479"/>
      <c r="Z6" s="3480"/>
      <c r="AA6" s="3466"/>
      <c r="AB6" s="3466"/>
      <c r="AC6" s="3466"/>
    </row>
    <row r="7" spans="1:29" s="1203" customFormat="1" ht="15.75" thickBot="1">
      <c r="A7" s="2629"/>
      <c r="B7" s="2636" t="s">
        <v>523</v>
      </c>
      <c r="C7" s="513">
        <f>'数据-取费表'!B2</f>
        <v>44265</v>
      </c>
      <c r="D7" s="514">
        <v>100</v>
      </c>
      <c r="E7" s="515">
        <v>44197</v>
      </c>
      <c r="F7" s="516">
        <f>SUMIF(48:48,YEAR(E7)&amp;"-"&amp;MONTH(E7),49:49)</f>
        <v>100</v>
      </c>
      <c r="G7" s="517">
        <v>44197</v>
      </c>
      <c r="H7" s="514">
        <f>SUMIF(48:48,YEAR(G7)&amp;"-"&amp;MONTH(G7),49:49)</f>
        <v>100</v>
      </c>
      <c r="I7" s="517">
        <v>44197</v>
      </c>
      <c r="J7" s="514">
        <f>SUMIF(48:48,YEAR(I7)&amp;"-"&amp;MONTH(I7),49:49)</f>
        <v>100</v>
      </c>
      <c r="K7" s="518"/>
      <c r="L7" s="2017"/>
      <c r="M7" s="2018"/>
      <c r="N7" s="2018"/>
      <c r="O7" s="2018"/>
      <c r="P7" s="3492" t="s">
        <v>524</v>
      </c>
      <c r="Q7" s="3494"/>
      <c r="R7" s="1502" t="s">
        <v>8</v>
      </c>
      <c r="S7" s="1503">
        <f t="shared" ref="S7:S14" si="0">F7</f>
        <v>100</v>
      </c>
      <c r="T7" s="1502" t="s">
        <v>8</v>
      </c>
      <c r="U7" s="1503">
        <f t="shared" ref="U7:U14" si="1">H7</f>
        <v>100</v>
      </c>
      <c r="V7" s="1502" t="s">
        <v>8</v>
      </c>
      <c r="W7" s="1503">
        <f t="shared" ref="W7:W14" si="2">J7</f>
        <v>100</v>
      </c>
      <c r="X7" s="1504"/>
      <c r="Y7" s="3492" t="s">
        <v>524</v>
      </c>
      <c r="Z7" s="3493"/>
      <c r="AA7" s="1505">
        <f>D7/F7</f>
        <v>1</v>
      </c>
      <c r="AB7" s="1505">
        <f>D7/H7</f>
        <v>1</v>
      </c>
      <c r="AC7" s="1505">
        <f>D7/J7</f>
        <v>1</v>
      </c>
    </row>
    <row r="8" spans="1:29" s="1203" customFormat="1" ht="15.75" thickBot="1">
      <c r="A8" s="2630"/>
      <c r="B8" s="2637" t="s">
        <v>525</v>
      </c>
      <c r="C8" s="519" t="s">
        <v>570</v>
      </c>
      <c r="D8" s="514">
        <v>100</v>
      </c>
      <c r="E8" s="519" t="s">
        <v>3231</v>
      </c>
      <c r="F8" s="516">
        <f>SUMIF(51:51,E8,52:52)-SUMIF(51:51,C8,52:52)+100</f>
        <v>100</v>
      </c>
      <c r="G8" s="519" t="s">
        <v>3231</v>
      </c>
      <c r="H8" s="514">
        <f>SUMIF(51:51,G8,52:52)-SUMIF(51:51,C8,52:52)+100</f>
        <v>100</v>
      </c>
      <c r="I8" s="519" t="s">
        <v>3231</v>
      </c>
      <c r="J8" s="514">
        <f>SUMIF(51:51,I8,52:52)-SUMIF(51:51,C8,52:52)+100</f>
        <v>100</v>
      </c>
      <c r="K8" s="518"/>
      <c r="L8" s="2017"/>
      <c r="M8" s="2018"/>
      <c r="N8" s="2018"/>
      <c r="O8" s="2018"/>
      <c r="P8" s="3492" t="s">
        <v>527</v>
      </c>
      <c r="Q8" s="3493"/>
      <c r="R8" s="1502" t="s">
        <v>8</v>
      </c>
      <c r="S8" s="1503">
        <f t="shared" si="0"/>
        <v>100</v>
      </c>
      <c r="T8" s="1502" t="s">
        <v>8</v>
      </c>
      <c r="U8" s="1503">
        <f t="shared" si="1"/>
        <v>100</v>
      </c>
      <c r="V8" s="1502" t="s">
        <v>8</v>
      </c>
      <c r="W8" s="1503">
        <f t="shared" si="2"/>
        <v>100</v>
      </c>
      <c r="X8" s="1504"/>
      <c r="Y8" s="3492" t="s">
        <v>527</v>
      </c>
      <c r="Z8" s="3493"/>
      <c r="AA8" s="1505">
        <f t="shared" ref="AA8:AA36" si="3">D8/F8</f>
        <v>1</v>
      </c>
      <c r="AB8" s="1505">
        <f t="shared" ref="AB8:AB36" si="4">D8/H8</f>
        <v>1</v>
      </c>
      <c r="AC8" s="1505">
        <f t="shared" ref="AC8:AC36" si="5">D8/J8</f>
        <v>1</v>
      </c>
    </row>
    <row r="9" spans="1:29" s="1203"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61" t="s">
        <v>529</v>
      </c>
      <c r="Q9" s="1134" t="str">
        <f t="shared" ref="Q9:Q14" si="6">B9</f>
        <v>用途</v>
      </c>
      <c r="R9" s="1502" t="s">
        <v>8</v>
      </c>
      <c r="S9" s="1503">
        <f t="shared" si="0"/>
        <v>100</v>
      </c>
      <c r="T9" s="1502" t="s">
        <v>8</v>
      </c>
      <c r="U9" s="1503">
        <f t="shared" si="1"/>
        <v>100</v>
      </c>
      <c r="V9" s="1502" t="s">
        <v>8</v>
      </c>
      <c r="W9" s="1503">
        <f t="shared" si="2"/>
        <v>100</v>
      </c>
      <c r="X9" s="1504"/>
      <c r="Y9" s="3407" t="s">
        <v>530</v>
      </c>
      <c r="Z9" s="1133" t="str">
        <f t="shared" ref="Z9:Z14" si="7">Q9</f>
        <v>用途</v>
      </c>
      <c r="AA9" s="1505">
        <f t="shared" si="3"/>
        <v>1</v>
      </c>
      <c r="AB9" s="1505">
        <f t="shared" si="4"/>
        <v>1</v>
      </c>
      <c r="AC9" s="1505">
        <f t="shared" si="5"/>
        <v>1</v>
      </c>
    </row>
    <row r="10" spans="1:29" s="1292"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61"/>
      <c r="Q10" s="1134" t="str">
        <f t="shared" si="6"/>
        <v>土地使用年限（年）</v>
      </c>
      <c r="R10" s="1502" t="s">
        <v>8</v>
      </c>
      <c r="S10" s="1503">
        <f t="shared" si="0"/>
        <v>100</v>
      </c>
      <c r="T10" s="1502" t="s">
        <v>8</v>
      </c>
      <c r="U10" s="1503">
        <f t="shared" si="1"/>
        <v>100</v>
      </c>
      <c r="V10" s="1502" t="s">
        <v>8</v>
      </c>
      <c r="W10" s="1503">
        <f t="shared" si="2"/>
        <v>100</v>
      </c>
      <c r="X10" s="1504"/>
      <c r="Y10" s="3407"/>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61"/>
      <c r="Q11" s="1134">
        <f t="shared" si="6"/>
        <v>111</v>
      </c>
      <c r="R11" s="1502" t="s">
        <v>8</v>
      </c>
      <c r="S11" s="1503">
        <f t="shared" si="0"/>
        <v>100</v>
      </c>
      <c r="T11" s="1502" t="s">
        <v>8</v>
      </c>
      <c r="U11" s="1503">
        <f t="shared" si="1"/>
        <v>100</v>
      </c>
      <c r="V11" s="1502" t="s">
        <v>8</v>
      </c>
      <c r="W11" s="1503">
        <f t="shared" si="2"/>
        <v>100</v>
      </c>
      <c r="X11" s="1504"/>
      <c r="Y11" s="3407"/>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61"/>
      <c r="Q12" s="1134">
        <f t="shared" si="6"/>
        <v>111</v>
      </c>
      <c r="R12" s="1502" t="s">
        <v>8</v>
      </c>
      <c r="S12" s="1503">
        <f t="shared" si="0"/>
        <v>100</v>
      </c>
      <c r="T12" s="1502" t="s">
        <v>8</v>
      </c>
      <c r="U12" s="1503">
        <f t="shared" si="1"/>
        <v>100</v>
      </c>
      <c r="V12" s="1502" t="s">
        <v>8</v>
      </c>
      <c r="W12" s="1503">
        <f t="shared" si="2"/>
        <v>100</v>
      </c>
      <c r="X12" s="1504"/>
      <c r="Y12" s="3407"/>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61"/>
      <c r="Q13" s="1134">
        <f t="shared" si="6"/>
        <v>111</v>
      </c>
      <c r="R13" s="1502" t="s">
        <v>8</v>
      </c>
      <c r="S13" s="1503">
        <f t="shared" si="0"/>
        <v>100</v>
      </c>
      <c r="T13" s="1502" t="s">
        <v>8</v>
      </c>
      <c r="U13" s="1503">
        <f t="shared" si="1"/>
        <v>100</v>
      </c>
      <c r="V13" s="1502" t="s">
        <v>8</v>
      </c>
      <c r="W13" s="1503">
        <f t="shared" si="2"/>
        <v>100</v>
      </c>
      <c r="X13" s="1504"/>
      <c r="Y13" s="3407"/>
      <c r="Z13" s="1133">
        <f t="shared" si="7"/>
        <v>111</v>
      </c>
      <c r="AA13" s="1505">
        <f t="shared" si="3"/>
        <v>1</v>
      </c>
      <c r="AB13" s="1505">
        <f t="shared" si="4"/>
        <v>1</v>
      </c>
      <c r="AC13" s="1505">
        <f t="shared" si="5"/>
        <v>1</v>
      </c>
    </row>
    <row r="14" spans="1:29" ht="85.5">
      <c r="A14" s="2627"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95" t="s">
        <v>534</v>
      </c>
      <c r="Q14" s="1506" t="str">
        <f t="shared" si="6"/>
        <v>交通便捷度</v>
      </c>
      <c r="R14" s="1507" t="s">
        <v>8</v>
      </c>
      <c r="S14" s="1508">
        <f t="shared" si="0"/>
        <v>100</v>
      </c>
      <c r="T14" s="1507" t="s">
        <v>8</v>
      </c>
      <c r="U14" s="1508">
        <f t="shared" si="1"/>
        <v>100</v>
      </c>
      <c r="V14" s="1507" t="s">
        <v>8</v>
      </c>
      <c r="W14" s="1508">
        <f t="shared" si="2"/>
        <v>100</v>
      </c>
      <c r="X14" s="1501"/>
      <c r="Y14" s="3495"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496"/>
      <c r="Q15" s="1506"/>
      <c r="R15" s="1507"/>
      <c r="S15" s="1508"/>
      <c r="T15" s="1507"/>
      <c r="U15" s="1508"/>
      <c r="V15" s="1507"/>
      <c r="W15" s="1508"/>
      <c r="X15" s="1501"/>
      <c r="Y15" s="3496"/>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96"/>
      <c r="Q16" s="1506" t="str">
        <f>B16</f>
        <v>公共配套设施</v>
      </c>
      <c r="R16" s="1507" t="s">
        <v>8</v>
      </c>
      <c r="S16" s="1508">
        <f>F16</f>
        <v>100</v>
      </c>
      <c r="T16" s="1507" t="s">
        <v>8</v>
      </c>
      <c r="U16" s="1508">
        <f>H16</f>
        <v>100</v>
      </c>
      <c r="V16" s="1507" t="s">
        <v>8</v>
      </c>
      <c r="W16" s="1508">
        <f>J16</f>
        <v>100</v>
      </c>
      <c r="X16" s="1501"/>
      <c r="Y16" s="349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496"/>
      <c r="Q17" s="1506"/>
      <c r="R17" s="1507"/>
      <c r="S17" s="1508"/>
      <c r="T17" s="1507"/>
      <c r="U17" s="1508"/>
      <c r="V17" s="1507"/>
      <c r="W17" s="1508"/>
      <c r="X17" s="1501"/>
      <c r="Y17" s="3496"/>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96"/>
      <c r="Q18" s="2429" t="str">
        <f>B18</f>
        <v>基础设施水平</v>
      </c>
      <c r="R18" s="1507" t="s">
        <v>8</v>
      </c>
      <c r="S18" s="1508">
        <f>F18</f>
        <v>100</v>
      </c>
      <c r="T18" s="1507" t="s">
        <v>8</v>
      </c>
      <c r="U18" s="1508">
        <f>H18</f>
        <v>100</v>
      </c>
      <c r="V18" s="1507" t="s">
        <v>8</v>
      </c>
      <c r="W18" s="1508">
        <f>J18</f>
        <v>100</v>
      </c>
      <c r="X18" s="2431"/>
      <c r="Y18" s="3496"/>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96"/>
      <c r="Q19" s="2429"/>
      <c r="R19" s="1507"/>
      <c r="S19" s="1508"/>
      <c r="T19" s="1507"/>
      <c r="U19" s="1508"/>
      <c r="V19" s="1507"/>
      <c r="W19" s="1508"/>
      <c r="X19" s="2431"/>
      <c r="Y19" s="3496"/>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96"/>
      <c r="Q20" s="1506" t="str">
        <f>B20</f>
        <v>自然及人文环境</v>
      </c>
      <c r="R20" s="1507" t="s">
        <v>8</v>
      </c>
      <c r="S20" s="1508">
        <f>F20</f>
        <v>100</v>
      </c>
      <c r="T20" s="1507" t="s">
        <v>8</v>
      </c>
      <c r="U20" s="1508">
        <f>H20</f>
        <v>100</v>
      </c>
      <c r="V20" s="1507" t="s">
        <v>8</v>
      </c>
      <c r="W20" s="1508">
        <f>J20</f>
        <v>100</v>
      </c>
      <c r="X20" s="1501"/>
      <c r="Y20" s="349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496"/>
      <c r="Q21" s="1506"/>
      <c r="R21" s="1507"/>
      <c r="S21" s="1508"/>
      <c r="T21" s="1507"/>
      <c r="U21" s="1508"/>
      <c r="V21" s="1507"/>
      <c r="W21" s="1508"/>
      <c r="X21" s="1501"/>
      <c r="Y21" s="349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6"/>
      <c r="Q22" s="1506" t="str">
        <f>B22</f>
        <v>楼层</v>
      </c>
      <c r="R22" s="1507" t="s">
        <v>8</v>
      </c>
      <c r="S22" s="1508">
        <f>F22</f>
        <v>100</v>
      </c>
      <c r="T22" s="1507" t="s">
        <v>8</v>
      </c>
      <c r="U22" s="1508">
        <f>H22</f>
        <v>100</v>
      </c>
      <c r="V22" s="1507" t="s">
        <v>8</v>
      </c>
      <c r="W22" s="1508">
        <f>J22</f>
        <v>100</v>
      </c>
      <c r="X22" s="1501"/>
      <c r="Y22" s="3496"/>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6"/>
      <c r="Q23" s="1506">
        <f>B23</f>
        <v>111</v>
      </c>
      <c r="R23" s="1507" t="s">
        <v>8</v>
      </c>
      <c r="S23" s="1508">
        <f>F23</f>
        <v>100</v>
      </c>
      <c r="T23" s="1507" t="s">
        <v>8</v>
      </c>
      <c r="U23" s="1508">
        <f>H23</f>
        <v>100</v>
      </c>
      <c r="V23" s="1507" t="s">
        <v>8</v>
      </c>
      <c r="W23" s="1508">
        <f>J23</f>
        <v>100</v>
      </c>
      <c r="X23" s="1501"/>
      <c r="Y23" s="3496"/>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6"/>
      <c r="Q24" s="1506">
        <f t="shared" ref="Q24:Q36" si="11">B24</f>
        <v>111</v>
      </c>
      <c r="R24" s="1507" t="s">
        <v>8</v>
      </c>
      <c r="S24" s="1508">
        <f>F24</f>
        <v>100</v>
      </c>
      <c r="T24" s="1507" t="s">
        <v>8</v>
      </c>
      <c r="U24" s="1508">
        <f>H24</f>
        <v>100</v>
      </c>
      <c r="V24" s="1507" t="s">
        <v>8</v>
      </c>
      <c r="W24" s="1508">
        <f>J24</f>
        <v>100</v>
      </c>
      <c r="X24" s="1501"/>
      <c r="Y24" s="3496"/>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96"/>
      <c r="Q25" s="1134">
        <f t="shared" si="11"/>
        <v>111</v>
      </c>
      <c r="R25" s="1502" t="s">
        <v>8</v>
      </c>
      <c r="S25" s="1503">
        <f>F25</f>
        <v>100</v>
      </c>
      <c r="T25" s="1502" t="s">
        <v>8</v>
      </c>
      <c r="U25" s="1503">
        <f>H25</f>
        <v>100</v>
      </c>
      <c r="V25" s="1502" t="s">
        <v>8</v>
      </c>
      <c r="W25" s="1503">
        <f>J25</f>
        <v>100</v>
      </c>
      <c r="X25" s="1504"/>
      <c r="Y25" s="3496"/>
      <c r="Z25" s="1133">
        <f>Q25</f>
        <v>111</v>
      </c>
      <c r="AA25" s="1510">
        <f>D25/F25</f>
        <v>1</v>
      </c>
      <c r="AB25" s="1510">
        <f>D25/H25</f>
        <v>1</v>
      </c>
      <c r="AC25" s="1510">
        <f>D25/J25</f>
        <v>1</v>
      </c>
    </row>
    <row r="26" spans="1:29" ht="15">
      <c r="A26" s="2624" t="s">
        <v>2735</v>
      </c>
      <c r="B26" s="168" t="s">
        <v>800</v>
      </c>
      <c r="C26" s="917" t="str">
        <f>B1</f>
        <v>车库</v>
      </c>
      <c r="D26" s="549">
        <v>100</v>
      </c>
      <c r="E26" s="570"/>
      <c r="F26" s="551">
        <f>SUMIF(79:79,E26,80:80)-SUMIF(79:79,C26,80:80)+100</f>
        <v>0</v>
      </c>
      <c r="G26" s="570"/>
      <c r="H26" s="549">
        <f>SUMIF(79:79,G26,80:80)-SUMIF(79:79,C26,80:80)+100</f>
        <v>0</v>
      </c>
      <c r="I26" s="570"/>
      <c r="J26" s="549">
        <f>SUMIF(79:79,I26,80:80)-SUMIF(79:79,C26,80:80)+100</f>
        <v>0</v>
      </c>
      <c r="K26" s="578"/>
      <c r="L26" s="2024"/>
      <c r="M26" s="2016"/>
      <c r="N26" s="2016"/>
      <c r="O26" s="2023"/>
      <c r="P26" s="3497" t="s">
        <v>544</v>
      </c>
      <c r="Q26" s="1506" t="str">
        <f t="shared" si="11"/>
        <v>配套类型</v>
      </c>
      <c r="R26" s="1507" t="s">
        <v>8</v>
      </c>
      <c r="S26" s="1508">
        <f t="shared" ref="S26:S36" si="12">F26</f>
        <v>0</v>
      </c>
      <c r="T26" s="1507" t="s">
        <v>8</v>
      </c>
      <c r="U26" s="1508">
        <f t="shared" ref="U26:U36" si="13">H26</f>
        <v>0</v>
      </c>
      <c r="V26" s="1507" t="s">
        <v>8</v>
      </c>
      <c r="W26" s="1508">
        <f t="shared" ref="W26:W36" si="14">J26</f>
        <v>0</v>
      </c>
      <c r="X26" s="1501"/>
      <c r="Y26" s="3498" t="s">
        <v>544</v>
      </c>
      <c r="Z26" s="1509" t="str">
        <f t="shared" ref="Z26:Z36" si="15">Q26</f>
        <v>配套类型</v>
      </c>
      <c r="AA26" s="1510" t="e">
        <f t="shared" si="3"/>
        <v>#DIV/0!</v>
      </c>
      <c r="AB26" s="1510" t="e">
        <f t="shared" si="4"/>
        <v>#DIV/0!</v>
      </c>
      <c r="AC26" s="1510" t="e">
        <f t="shared" si="5"/>
        <v>#DIV/0!</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98"/>
      <c r="Q27" s="1535" t="str">
        <f t="shared" si="11"/>
        <v>项目停车位配比</v>
      </c>
      <c r="R27" s="1511" t="s">
        <v>8</v>
      </c>
      <c r="S27" s="1512">
        <f t="shared" si="12"/>
        <v>100</v>
      </c>
      <c r="T27" s="1511" t="s">
        <v>8</v>
      </c>
      <c r="U27" s="1512">
        <f t="shared" si="13"/>
        <v>100</v>
      </c>
      <c r="V27" s="1511" t="s">
        <v>8</v>
      </c>
      <c r="W27" s="1512">
        <f t="shared" si="14"/>
        <v>100</v>
      </c>
      <c r="X27" s="1513"/>
      <c r="Y27" s="3498"/>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8"/>
      <c r="Q28" s="1506" t="str">
        <f t="shared" si="11"/>
        <v>公共部分装修</v>
      </c>
      <c r="R28" s="1507" t="s">
        <v>8</v>
      </c>
      <c r="S28" s="1508">
        <f t="shared" si="12"/>
        <v>100</v>
      </c>
      <c r="T28" s="1507" t="s">
        <v>8</v>
      </c>
      <c r="U28" s="1508">
        <f t="shared" si="13"/>
        <v>100</v>
      </c>
      <c r="V28" s="1507" t="s">
        <v>8</v>
      </c>
      <c r="W28" s="1508">
        <f t="shared" si="14"/>
        <v>100</v>
      </c>
      <c r="X28" s="1501"/>
      <c r="Y28" s="3498"/>
      <c r="Z28" s="1509" t="str">
        <f t="shared" si="15"/>
        <v>公共部分装修</v>
      </c>
      <c r="AA28" s="1510">
        <f t="shared" si="3"/>
        <v>1</v>
      </c>
      <c r="AB28" s="1510">
        <f t="shared" si="4"/>
        <v>1</v>
      </c>
      <c r="AC28" s="1510">
        <f t="shared" si="5"/>
        <v>1</v>
      </c>
    </row>
    <row r="29" spans="1:29" ht="15">
      <c r="A29" s="920"/>
      <c r="B29" s="576" t="s">
        <v>803</v>
      </c>
      <c r="C29" s="872">
        <v>1</v>
      </c>
      <c r="D29" s="534">
        <v>100</v>
      </c>
      <c r="E29" s="872">
        <v>1</v>
      </c>
      <c r="F29" s="569">
        <f>LOOKUP(E29,86:86,87:87)-LOOKUP(C29,86:86,87:87)+100</f>
        <v>100</v>
      </c>
      <c r="G29" s="872">
        <v>1</v>
      </c>
      <c r="H29" s="569">
        <f>LOOKUP(G29,86:86,87:87)-LOOKUP(C29,86:86,87:87)+100</f>
        <v>100</v>
      </c>
      <c r="I29" s="872">
        <v>1</v>
      </c>
      <c r="J29" s="534">
        <f>LOOKUP(I29,86:86,87:87)-LOOKUP(C29,86:86,87:87)+100</f>
        <v>100</v>
      </c>
      <c r="K29" s="578"/>
      <c r="L29" s="2024"/>
      <c r="M29" s="2016"/>
      <c r="N29" s="2016"/>
      <c r="O29" s="2023"/>
      <c r="P29" s="3498"/>
      <c r="Q29" s="1506" t="str">
        <f t="shared" si="11"/>
        <v>成新率</v>
      </c>
      <c r="R29" s="1507" t="s">
        <v>8</v>
      </c>
      <c r="S29" s="1508">
        <f t="shared" si="12"/>
        <v>100</v>
      </c>
      <c r="T29" s="1507" t="s">
        <v>8</v>
      </c>
      <c r="U29" s="1508">
        <f t="shared" si="13"/>
        <v>100</v>
      </c>
      <c r="V29" s="1507" t="s">
        <v>8</v>
      </c>
      <c r="W29" s="1508">
        <f t="shared" si="14"/>
        <v>100</v>
      </c>
      <c r="X29" s="1501"/>
      <c r="Y29" s="3498"/>
      <c r="Z29" s="1509" t="str">
        <f t="shared" si="15"/>
        <v>成新率</v>
      </c>
      <c r="AA29" s="1510">
        <f t="shared" si="3"/>
        <v>1</v>
      </c>
      <c r="AB29" s="1510">
        <f t="shared" si="4"/>
        <v>1</v>
      </c>
      <c r="AC29" s="1510">
        <f t="shared" si="5"/>
        <v>1</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98"/>
      <c r="Q30" s="1506" t="str">
        <f t="shared" si="11"/>
        <v>物业等级</v>
      </c>
      <c r="R30" s="1507" t="s">
        <v>8</v>
      </c>
      <c r="S30" s="1508">
        <f t="shared" si="12"/>
        <v>100</v>
      </c>
      <c r="T30" s="1507" t="s">
        <v>8</v>
      </c>
      <c r="U30" s="1508">
        <f t="shared" si="13"/>
        <v>100</v>
      </c>
      <c r="V30" s="1507" t="s">
        <v>8</v>
      </c>
      <c r="W30" s="1508">
        <f t="shared" si="14"/>
        <v>100</v>
      </c>
      <c r="X30" s="1501"/>
      <c r="Y30" s="3498"/>
      <c r="Z30" s="1509" t="str">
        <f t="shared" si="15"/>
        <v>物业等级</v>
      </c>
      <c r="AA30" s="1510">
        <f t="shared" si="3"/>
        <v>1</v>
      </c>
      <c r="AB30" s="1510">
        <f t="shared" si="4"/>
        <v>1</v>
      </c>
      <c r="AC30" s="1510">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98"/>
      <c r="Q31" s="1134" t="str">
        <f t="shared" si="11"/>
        <v>停车位面积</v>
      </c>
      <c r="R31" s="1502" t="s">
        <v>8</v>
      </c>
      <c r="S31" s="1503" t="e">
        <f t="shared" si="12"/>
        <v>#N/A</v>
      </c>
      <c r="T31" s="1502" t="s">
        <v>8</v>
      </c>
      <c r="U31" s="1503" t="e">
        <f t="shared" si="13"/>
        <v>#N/A</v>
      </c>
      <c r="V31" s="1502" t="s">
        <v>8</v>
      </c>
      <c r="W31" s="1503" t="e">
        <f t="shared" si="14"/>
        <v>#N/A</v>
      </c>
      <c r="X31" s="1504"/>
      <c r="Y31" s="3498"/>
      <c r="Z31" s="1133"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8" t="s">
        <v>544</v>
      </c>
      <c r="Q32" s="1506" t="str">
        <f t="shared" si="11"/>
        <v>车位类型</v>
      </c>
      <c r="R32" s="1507" t="s">
        <v>8</v>
      </c>
      <c r="S32" s="1508">
        <f t="shared" si="12"/>
        <v>100</v>
      </c>
      <c r="T32" s="1507" t="s">
        <v>8</v>
      </c>
      <c r="U32" s="1508">
        <f t="shared" si="13"/>
        <v>100</v>
      </c>
      <c r="V32" s="1507" t="s">
        <v>8</v>
      </c>
      <c r="W32" s="1508">
        <f t="shared" si="14"/>
        <v>100</v>
      </c>
      <c r="X32" s="1501"/>
      <c r="Y32" s="3498"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8"/>
      <c r="Q33" s="1506" t="str">
        <f t="shared" si="11"/>
        <v>是否直接入户</v>
      </c>
      <c r="R33" s="1507" t="s">
        <v>8</v>
      </c>
      <c r="S33" s="1508">
        <f t="shared" si="12"/>
        <v>100</v>
      </c>
      <c r="T33" s="1507" t="s">
        <v>8</v>
      </c>
      <c r="U33" s="1508">
        <f t="shared" si="13"/>
        <v>100</v>
      </c>
      <c r="V33" s="1507" t="s">
        <v>8</v>
      </c>
      <c r="W33" s="1508">
        <f t="shared" si="14"/>
        <v>100</v>
      </c>
      <c r="X33" s="1501"/>
      <c r="Y33" s="3498"/>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8"/>
      <c r="Q34" s="1506">
        <f t="shared" si="11"/>
        <v>111</v>
      </c>
      <c r="R34" s="1507" t="s">
        <v>8</v>
      </c>
      <c r="S34" s="1508">
        <f t="shared" si="12"/>
        <v>100</v>
      </c>
      <c r="T34" s="1507" t="s">
        <v>8</v>
      </c>
      <c r="U34" s="1508">
        <f t="shared" si="13"/>
        <v>100</v>
      </c>
      <c r="V34" s="1507" t="s">
        <v>8</v>
      </c>
      <c r="W34" s="1508">
        <f t="shared" si="14"/>
        <v>100</v>
      </c>
      <c r="X34" s="1501"/>
      <c r="Y34" s="3498"/>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8"/>
      <c r="Q35" s="1535">
        <f t="shared" si="11"/>
        <v>111</v>
      </c>
      <c r="R35" s="1511" t="s">
        <v>8</v>
      </c>
      <c r="S35" s="1512">
        <f t="shared" si="12"/>
        <v>100</v>
      </c>
      <c r="T35" s="1511" t="s">
        <v>8</v>
      </c>
      <c r="U35" s="1512">
        <f t="shared" si="13"/>
        <v>100</v>
      </c>
      <c r="V35" s="1511" t="s">
        <v>8</v>
      </c>
      <c r="W35" s="1512">
        <f t="shared" si="14"/>
        <v>100</v>
      </c>
      <c r="X35" s="1513"/>
      <c r="Y35" s="3498"/>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8"/>
      <c r="Q36" s="1506">
        <f t="shared" si="11"/>
        <v>111</v>
      </c>
      <c r="R36" s="1507" t="s">
        <v>8</v>
      </c>
      <c r="S36" s="1508">
        <f t="shared" si="12"/>
        <v>100</v>
      </c>
      <c r="T36" s="1507" t="s">
        <v>8</v>
      </c>
      <c r="U36" s="1508">
        <f t="shared" si="13"/>
        <v>100</v>
      </c>
      <c r="V36" s="1507" t="s">
        <v>8</v>
      </c>
      <c r="W36" s="1508">
        <f t="shared" si="14"/>
        <v>100</v>
      </c>
      <c r="X36" s="1501"/>
      <c r="Y36" s="3498"/>
      <c r="Z36" s="1509">
        <f t="shared" si="15"/>
        <v>111</v>
      </c>
      <c r="AA36" s="1510">
        <f t="shared" si="3"/>
        <v>1</v>
      </c>
      <c r="AB36" s="1510">
        <f t="shared" si="4"/>
        <v>1</v>
      </c>
      <c r="AC36" s="1510">
        <f t="shared" si="5"/>
        <v>1</v>
      </c>
    </row>
    <row r="37" spans="1:29" ht="15">
      <c r="A37" s="1760" t="s">
        <v>2066</v>
      </c>
      <c r="B37" s="1761" t="s">
        <v>3234</v>
      </c>
      <c r="C37" s="2470" t="s">
        <v>1</v>
      </c>
      <c r="D37" s="2471"/>
      <c r="E37" s="2472">
        <v>42</v>
      </c>
      <c r="F37" s="2473"/>
      <c r="G37" s="2474">
        <v>43</v>
      </c>
      <c r="H37" s="2475"/>
      <c r="I37" s="2472"/>
      <c r="J37" s="2475"/>
      <c r="K37" s="1540"/>
      <c r="L37" s="2026"/>
      <c r="M37" s="2027"/>
      <c r="N37" s="2016"/>
      <c r="O37" s="2027"/>
      <c r="P37" s="3461" t="str">
        <f>A37</f>
        <v>成交单价</v>
      </c>
      <c r="Q37" s="3461"/>
      <c r="R37" s="3579">
        <f>E37</f>
        <v>42</v>
      </c>
      <c r="S37" s="3579"/>
      <c r="T37" s="3579">
        <f>G37</f>
        <v>43</v>
      </c>
      <c r="U37" s="3579"/>
      <c r="V37" s="3579">
        <f>I37</f>
        <v>0</v>
      </c>
      <c r="W37" s="3579"/>
      <c r="X37" s="1496"/>
      <c r="Y37" s="1515"/>
      <c r="Z37" s="1496"/>
      <c r="AA37" s="1496"/>
      <c r="AB37" s="1496"/>
      <c r="AC37" s="1496"/>
    </row>
    <row r="38" spans="1:29" ht="15.75" thickBot="1">
      <c r="A38" s="609" t="s">
        <v>2740</v>
      </c>
      <c r="B38" s="877"/>
      <c r="C38" s="2476" t="e">
        <f>R39</f>
        <v>#DIV/0!</v>
      </c>
      <c r="D38" s="3014" t="s">
        <v>2971</v>
      </c>
      <c r="E38" s="2477" t="e">
        <f>R38</f>
        <v>#DIV/0!</v>
      </c>
      <c r="F38" s="3015"/>
      <c r="G38" s="2476" t="e">
        <f>T38</f>
        <v>#DIV/0!</v>
      </c>
      <c r="H38" s="3015"/>
      <c r="I38" s="2477" t="e">
        <f>V38</f>
        <v>#DIV/0!</v>
      </c>
      <c r="J38" s="3015"/>
      <c r="K38" s="3023">
        <f>F38+H38+J38</f>
        <v>0</v>
      </c>
      <c r="L38" s="2026"/>
      <c r="M38" s="2027"/>
      <c r="N38" s="2027"/>
      <c r="O38" s="2027"/>
      <c r="P38" s="3461" t="str">
        <f>A38</f>
        <v>比较价格（元/平方米）</v>
      </c>
      <c r="Q38" s="3461"/>
      <c r="R38" s="3579" t="e">
        <f>IF(F1="售价",ROUND(PRODUCT(R37,AA7:AA36),0),ROUND(PRODUCT(R37,AA7:AA36),1))</f>
        <v>#DIV/0!</v>
      </c>
      <c r="S38" s="3579"/>
      <c r="T38" s="3579" t="e">
        <f>IF(F1="售价",ROUND(PRODUCT(T37,AB7:AB36),0),ROUND(PRODUCT(T37,AB7:AB36),1))</f>
        <v>#DIV/0!</v>
      </c>
      <c r="U38" s="3579"/>
      <c r="V38" s="3579" t="e">
        <f>IF(F1="售价",ROUND(PRODUCT(V37,AC7:AC36),0),ROUND(PRODUCT(V37,AC7:AC36),1))</f>
        <v>#DIV/0!</v>
      </c>
      <c r="W38" s="3579"/>
      <c r="X38" s="1496"/>
      <c r="Y38" s="1496"/>
      <c r="Z38" s="1496"/>
      <c r="AA38" s="1496"/>
      <c r="AB38" s="1496"/>
      <c r="AC38" s="1496"/>
    </row>
    <row r="39" spans="1:29" ht="15.75" thickBot="1">
      <c r="A39" s="613" t="s">
        <v>2903</v>
      </c>
      <c r="B39" s="614"/>
      <c r="C39" s="2478" t="e">
        <f>R39</f>
        <v>#DIV/0!</v>
      </c>
      <c r="D39" s="2478"/>
      <c r="E39" s="2478"/>
      <c r="F39" s="2478"/>
      <c r="G39" s="2478"/>
      <c r="H39" s="2478"/>
      <c r="I39" s="2478"/>
      <c r="J39" s="2478"/>
      <c r="K39" s="1541"/>
      <c r="L39" s="2026"/>
      <c r="M39" s="2027"/>
      <c r="N39" s="2027"/>
      <c r="O39" s="2027"/>
      <c r="P39" s="3458" t="str">
        <f>A39</f>
        <v>估价对象XX用房的比较价格（楼面单价，元/平方米）</v>
      </c>
      <c r="Q39" s="3459"/>
      <c r="R39" s="3578" t="e">
        <f>IF(F1="售价",ROUND(IF(D38="简单平均",AVERAGE(R38:W38),R38*F38+T38*H38+V38*J38),0),ROUND(IF(D38="简单平均",AVERAGE(R38:V38),R38*F38+T38*H38+V38*J38),1))</f>
        <v>#DIV/0!</v>
      </c>
      <c r="S39" s="3578"/>
      <c r="T39" s="3578"/>
      <c r="U39" s="3578"/>
      <c r="V39" s="3578"/>
      <c r="W39" s="3578"/>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f>IF(E37&lt;G37,G37/E37-1,E37/G37-1)</f>
        <v>2.3809523809523725E-2</v>
      </c>
      <c r="F44" s="619" t="str">
        <f>IF(OR(E44&gt;=0.3,E44&lt;=-0.3),"超过30%","")</f>
        <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v>100</v>
      </c>
      <c r="E49" s="642">
        <v>100</v>
      </c>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t="str">
        <f>C26</f>
        <v>车库</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67" t="s">
        <v>792</v>
      </c>
      <c r="D4" s="3468"/>
      <c r="E4" s="3501" t="s">
        <v>793</v>
      </c>
      <c r="F4" s="3502"/>
      <c r="G4" s="3467" t="s">
        <v>794</v>
      </c>
      <c r="H4" s="3468"/>
      <c r="I4" s="3467" t="s">
        <v>795</v>
      </c>
      <c r="J4" s="3468"/>
      <c r="K4" s="508" t="s">
        <v>796</v>
      </c>
      <c r="L4" s="2015"/>
      <c r="M4" s="2016"/>
      <c r="N4" s="2016"/>
      <c r="O4" s="2016"/>
      <c r="P4" s="3469" t="s">
        <v>797</v>
      </c>
      <c r="Q4" s="3470"/>
      <c r="R4" s="3475" t="s">
        <v>793</v>
      </c>
      <c r="S4" s="3476"/>
      <c r="T4" s="3475" t="s">
        <v>794</v>
      </c>
      <c r="U4" s="3476"/>
      <c r="V4" s="3462" t="s">
        <v>795</v>
      </c>
      <c r="W4" s="3462"/>
      <c r="X4" s="1501"/>
      <c r="Y4" s="3475" t="s">
        <v>797</v>
      </c>
      <c r="Z4" s="3476"/>
      <c r="AA4" s="3464" t="s">
        <v>793</v>
      </c>
      <c r="AB4" s="3465" t="s">
        <v>794</v>
      </c>
      <c r="AC4" s="3464" t="s">
        <v>795</v>
      </c>
    </row>
    <row r="5" spans="1:29" ht="15">
      <c r="A5" s="509"/>
      <c r="B5" s="510"/>
      <c r="C5" s="3483" t="s">
        <v>2897</v>
      </c>
      <c r="D5" s="3484"/>
      <c r="E5" s="3503" t="s">
        <v>2898</v>
      </c>
      <c r="F5" s="3504"/>
      <c r="G5" s="3483" t="s">
        <v>2899</v>
      </c>
      <c r="H5" s="3484"/>
      <c r="I5" s="3483" t="s">
        <v>2900</v>
      </c>
      <c r="J5" s="3484"/>
      <c r="K5" s="508"/>
      <c r="L5" s="2015"/>
      <c r="M5" s="2016"/>
      <c r="N5" s="2016"/>
      <c r="O5" s="2016"/>
      <c r="P5" s="3471"/>
      <c r="Q5" s="3472"/>
      <c r="R5" s="3477"/>
      <c r="S5" s="3478"/>
      <c r="T5" s="3477"/>
      <c r="U5" s="3478"/>
      <c r="V5" s="3462"/>
      <c r="W5" s="3462"/>
      <c r="X5" s="1501"/>
      <c r="Y5" s="3477"/>
      <c r="Z5" s="3478"/>
      <c r="AA5" s="3465"/>
      <c r="AB5" s="3465"/>
      <c r="AC5" s="3465"/>
    </row>
    <row r="6" spans="1:29" ht="15.75" thickBot="1">
      <c r="A6" s="511"/>
      <c r="B6" s="512"/>
      <c r="C6" s="3481" t="s">
        <v>2901</v>
      </c>
      <c r="D6" s="3482"/>
      <c r="E6" s="3499" t="s">
        <v>2901</v>
      </c>
      <c r="F6" s="3500"/>
      <c r="G6" s="3481" t="s">
        <v>2901</v>
      </c>
      <c r="H6" s="3482"/>
      <c r="I6" s="3481" t="s">
        <v>2901</v>
      </c>
      <c r="J6" s="3482"/>
      <c r="K6" s="508" t="s">
        <v>522</v>
      </c>
      <c r="L6" s="2015"/>
      <c r="M6" s="2016"/>
      <c r="N6" s="2016"/>
      <c r="O6" s="2016"/>
      <c r="P6" s="3473"/>
      <c r="Q6" s="3474"/>
      <c r="R6" s="3477"/>
      <c r="S6" s="3478"/>
      <c r="T6" s="3479"/>
      <c r="U6" s="3480"/>
      <c r="V6" s="3462"/>
      <c r="W6" s="3462"/>
      <c r="X6" s="1501"/>
      <c r="Y6" s="3479"/>
      <c r="Z6" s="3480"/>
      <c r="AA6" s="3466"/>
      <c r="AB6" s="3466"/>
      <c r="AC6" s="3466"/>
    </row>
    <row r="7" spans="1:29" s="1203" customFormat="1" ht="15.75" thickBot="1">
      <c r="A7" s="2629"/>
      <c r="B7" s="2636" t="s">
        <v>523</v>
      </c>
      <c r="C7" s="513">
        <f>'数据-取费表'!B2</f>
        <v>44265</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92" t="s">
        <v>524</v>
      </c>
      <c r="Q7" s="3494"/>
      <c r="R7" s="1502" t="s">
        <v>8</v>
      </c>
      <c r="S7" s="1503">
        <f t="shared" ref="S7:S14" si="0">F7</f>
        <v>0</v>
      </c>
      <c r="T7" s="1502" t="s">
        <v>8</v>
      </c>
      <c r="U7" s="1503">
        <f t="shared" ref="U7:U14" si="1">H7</f>
        <v>0</v>
      </c>
      <c r="V7" s="1502" t="s">
        <v>8</v>
      </c>
      <c r="W7" s="1503">
        <f t="shared" ref="W7:W14" si="2">J7</f>
        <v>0</v>
      </c>
      <c r="X7" s="1504"/>
      <c r="Y7" s="3492" t="s">
        <v>524</v>
      </c>
      <c r="Z7" s="3493"/>
      <c r="AA7" s="1505" t="e">
        <f>D7/F7</f>
        <v>#DIV/0!</v>
      </c>
      <c r="AB7" s="1505" t="e">
        <f>D7/H7</f>
        <v>#DIV/0!</v>
      </c>
      <c r="AC7" s="1505"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92" t="s">
        <v>527</v>
      </c>
      <c r="Q8" s="3493"/>
      <c r="R8" s="1502" t="s">
        <v>8</v>
      </c>
      <c r="S8" s="1503">
        <f t="shared" si="0"/>
        <v>0</v>
      </c>
      <c r="T8" s="1502" t="s">
        <v>8</v>
      </c>
      <c r="U8" s="1503">
        <f t="shared" si="1"/>
        <v>0</v>
      </c>
      <c r="V8" s="1502" t="s">
        <v>8</v>
      </c>
      <c r="W8" s="1503">
        <f t="shared" si="2"/>
        <v>0</v>
      </c>
      <c r="X8" s="1504"/>
      <c r="Y8" s="3492" t="s">
        <v>527</v>
      </c>
      <c r="Z8" s="3493"/>
      <c r="AA8" s="1505" t="e">
        <f t="shared" ref="AA8:AA34" si="3">D8/F8</f>
        <v>#DIV/0!</v>
      </c>
      <c r="AB8" s="1505" t="e">
        <f t="shared" ref="AB8:AB34" si="4">D8/H8</f>
        <v>#DIV/0!</v>
      </c>
      <c r="AC8" s="1505" t="e">
        <f t="shared" ref="AC8:AC34" si="5">D8/J8</f>
        <v>#DIV/0!</v>
      </c>
    </row>
    <row r="9" spans="1:29" s="1203"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61" t="s">
        <v>529</v>
      </c>
      <c r="Q9" s="1134" t="str">
        <f t="shared" ref="Q9:Q14" si="6">B9</f>
        <v>用途</v>
      </c>
      <c r="R9" s="1502" t="s">
        <v>8</v>
      </c>
      <c r="S9" s="1503">
        <f t="shared" si="0"/>
        <v>100</v>
      </c>
      <c r="T9" s="1502" t="s">
        <v>8</v>
      </c>
      <c r="U9" s="1503">
        <f t="shared" si="1"/>
        <v>100</v>
      </c>
      <c r="V9" s="1502" t="s">
        <v>8</v>
      </c>
      <c r="W9" s="1503">
        <f t="shared" si="2"/>
        <v>100</v>
      </c>
      <c r="X9" s="1504"/>
      <c r="Y9" s="3407" t="s">
        <v>530</v>
      </c>
      <c r="Z9" s="1133" t="str">
        <f t="shared" ref="Z9:Z14" si="7">Q9</f>
        <v>用途</v>
      </c>
      <c r="AA9" s="1505">
        <f t="shared" si="3"/>
        <v>1</v>
      </c>
      <c r="AB9" s="1505">
        <f t="shared" si="4"/>
        <v>1</v>
      </c>
      <c r="AC9" s="1505">
        <f t="shared" si="5"/>
        <v>1</v>
      </c>
    </row>
    <row r="10" spans="1:29" s="1292"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61"/>
      <c r="Q10" s="1134" t="str">
        <f t="shared" si="6"/>
        <v>土地使用年限（年）</v>
      </c>
      <c r="R10" s="1502" t="s">
        <v>8</v>
      </c>
      <c r="S10" s="1503">
        <f t="shared" si="0"/>
        <v>100</v>
      </c>
      <c r="T10" s="1502" t="s">
        <v>8</v>
      </c>
      <c r="U10" s="1503">
        <f t="shared" si="1"/>
        <v>100</v>
      </c>
      <c r="V10" s="1502" t="s">
        <v>8</v>
      </c>
      <c r="W10" s="1503">
        <f t="shared" si="2"/>
        <v>100</v>
      </c>
      <c r="X10" s="1504"/>
      <c r="Y10" s="3407"/>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61"/>
      <c r="Q11" s="1134">
        <f t="shared" si="6"/>
        <v>111</v>
      </c>
      <c r="R11" s="1502" t="s">
        <v>8</v>
      </c>
      <c r="S11" s="1503">
        <f t="shared" si="0"/>
        <v>100</v>
      </c>
      <c r="T11" s="1502" t="s">
        <v>8</v>
      </c>
      <c r="U11" s="1503">
        <f t="shared" si="1"/>
        <v>100</v>
      </c>
      <c r="V11" s="1502" t="s">
        <v>8</v>
      </c>
      <c r="W11" s="1503">
        <f t="shared" si="2"/>
        <v>100</v>
      </c>
      <c r="X11" s="1504"/>
      <c r="Y11" s="3407"/>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61"/>
      <c r="Q12" s="1134">
        <f t="shared" si="6"/>
        <v>111</v>
      </c>
      <c r="R12" s="1502" t="s">
        <v>8</v>
      </c>
      <c r="S12" s="1503">
        <f t="shared" si="0"/>
        <v>100</v>
      </c>
      <c r="T12" s="1502" t="s">
        <v>8</v>
      </c>
      <c r="U12" s="1503">
        <f t="shared" si="1"/>
        <v>100</v>
      </c>
      <c r="V12" s="1502" t="s">
        <v>8</v>
      </c>
      <c r="W12" s="1503">
        <f t="shared" si="2"/>
        <v>100</v>
      </c>
      <c r="X12" s="1504"/>
      <c r="Y12" s="3407"/>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61"/>
      <c r="Q13" s="1134">
        <f t="shared" si="6"/>
        <v>111</v>
      </c>
      <c r="R13" s="1502" t="s">
        <v>8</v>
      </c>
      <c r="S13" s="1503">
        <f t="shared" si="0"/>
        <v>100</v>
      </c>
      <c r="T13" s="1502" t="s">
        <v>8</v>
      </c>
      <c r="U13" s="1503">
        <f t="shared" si="1"/>
        <v>100</v>
      </c>
      <c r="V13" s="1502" t="s">
        <v>8</v>
      </c>
      <c r="W13" s="1503">
        <f t="shared" si="2"/>
        <v>100</v>
      </c>
      <c r="X13" s="1504"/>
      <c r="Y13" s="3407"/>
      <c r="Z13" s="1133">
        <f t="shared" si="7"/>
        <v>111</v>
      </c>
      <c r="AA13" s="1505">
        <f t="shared" si="3"/>
        <v>1</v>
      </c>
      <c r="AB13" s="1505">
        <f t="shared" si="4"/>
        <v>1</v>
      </c>
      <c r="AC13" s="1505">
        <f t="shared" si="5"/>
        <v>1</v>
      </c>
    </row>
    <row r="14" spans="1:29" ht="85.5">
      <c r="A14" s="2627"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95" t="s">
        <v>534</v>
      </c>
      <c r="Q14" s="1506" t="str">
        <f t="shared" si="6"/>
        <v>交通便捷度</v>
      </c>
      <c r="R14" s="1507" t="s">
        <v>8</v>
      </c>
      <c r="S14" s="1508">
        <f t="shared" si="0"/>
        <v>100</v>
      </c>
      <c r="T14" s="1507" t="s">
        <v>8</v>
      </c>
      <c r="U14" s="1508">
        <f t="shared" si="1"/>
        <v>100</v>
      </c>
      <c r="V14" s="1507" t="s">
        <v>8</v>
      </c>
      <c r="W14" s="1508">
        <f t="shared" si="2"/>
        <v>100</v>
      </c>
      <c r="X14" s="1501"/>
      <c r="Y14" s="349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496"/>
      <c r="Q15" s="1506"/>
      <c r="R15" s="1507"/>
      <c r="S15" s="1508"/>
      <c r="T15" s="1507"/>
      <c r="U15" s="1508"/>
      <c r="V15" s="1507"/>
      <c r="W15" s="1508"/>
      <c r="X15" s="1501"/>
      <c r="Y15" s="3496"/>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96"/>
      <c r="Q16" s="1506" t="str">
        <f>B16</f>
        <v>公共配套设施</v>
      </c>
      <c r="R16" s="1507" t="s">
        <v>8</v>
      </c>
      <c r="S16" s="1508">
        <f>F16</f>
        <v>100</v>
      </c>
      <c r="T16" s="1507" t="s">
        <v>8</v>
      </c>
      <c r="U16" s="1508">
        <f>H16</f>
        <v>100</v>
      </c>
      <c r="V16" s="1507" t="s">
        <v>8</v>
      </c>
      <c r="W16" s="1508">
        <f>J16</f>
        <v>100</v>
      </c>
      <c r="X16" s="1501"/>
      <c r="Y16" s="349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496"/>
      <c r="Q17" s="1506"/>
      <c r="R17" s="1507"/>
      <c r="S17" s="1508"/>
      <c r="T17" s="1507"/>
      <c r="U17" s="1508"/>
      <c r="V17" s="1507"/>
      <c r="W17" s="1508"/>
      <c r="X17" s="1501"/>
      <c r="Y17" s="3496"/>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96"/>
      <c r="Q18" s="2429" t="str">
        <f>B18</f>
        <v>基础设施水平</v>
      </c>
      <c r="R18" s="1507" t="s">
        <v>8</v>
      </c>
      <c r="S18" s="1508">
        <f>F18</f>
        <v>100</v>
      </c>
      <c r="T18" s="1507" t="s">
        <v>8</v>
      </c>
      <c r="U18" s="1508">
        <f>H18</f>
        <v>100</v>
      </c>
      <c r="V18" s="1507" t="s">
        <v>8</v>
      </c>
      <c r="W18" s="1508">
        <f>J18</f>
        <v>100</v>
      </c>
      <c r="X18" s="2431"/>
      <c r="Y18" s="3496"/>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96"/>
      <c r="Q19" s="2429"/>
      <c r="R19" s="1507"/>
      <c r="S19" s="1508"/>
      <c r="T19" s="1507"/>
      <c r="U19" s="1508"/>
      <c r="V19" s="1507"/>
      <c r="W19" s="1508"/>
      <c r="X19" s="2431"/>
      <c r="Y19" s="3496"/>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96"/>
      <c r="Q20" s="1506" t="str">
        <f>B20</f>
        <v>自然及人文环境</v>
      </c>
      <c r="R20" s="1507" t="s">
        <v>8</v>
      </c>
      <c r="S20" s="1508">
        <f>F20</f>
        <v>100</v>
      </c>
      <c r="T20" s="1507" t="s">
        <v>8</v>
      </c>
      <c r="U20" s="1508">
        <f>H20</f>
        <v>100</v>
      </c>
      <c r="V20" s="1507" t="s">
        <v>8</v>
      </c>
      <c r="W20" s="1508">
        <f>J20</f>
        <v>100</v>
      </c>
      <c r="X20" s="1501"/>
      <c r="Y20" s="349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496"/>
      <c r="Q21" s="1506"/>
      <c r="R21" s="1507"/>
      <c r="S21" s="1508"/>
      <c r="T21" s="1507"/>
      <c r="U21" s="1508"/>
      <c r="V21" s="1507"/>
      <c r="W21" s="1508"/>
      <c r="X21" s="1501"/>
      <c r="Y21" s="349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6"/>
      <c r="Q22" s="1506" t="str">
        <f>B22</f>
        <v>楼层</v>
      </c>
      <c r="R22" s="1507" t="s">
        <v>8</v>
      </c>
      <c r="S22" s="1508">
        <f>F22</f>
        <v>100</v>
      </c>
      <c r="T22" s="1507" t="s">
        <v>8</v>
      </c>
      <c r="U22" s="1508">
        <f>H22</f>
        <v>100</v>
      </c>
      <c r="V22" s="1507" t="s">
        <v>8</v>
      </c>
      <c r="W22" s="1508">
        <f>J22</f>
        <v>100</v>
      </c>
      <c r="X22" s="1501"/>
      <c r="Y22" s="349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6"/>
      <c r="Q23" s="1506">
        <f>B23</f>
        <v>111</v>
      </c>
      <c r="R23" s="1507" t="s">
        <v>8</v>
      </c>
      <c r="S23" s="1508">
        <f>F23</f>
        <v>100</v>
      </c>
      <c r="T23" s="1507" t="s">
        <v>8</v>
      </c>
      <c r="U23" s="1508">
        <f>H23</f>
        <v>100</v>
      </c>
      <c r="V23" s="1507" t="s">
        <v>8</v>
      </c>
      <c r="W23" s="1508">
        <f>J23</f>
        <v>100</v>
      </c>
      <c r="X23" s="1501"/>
      <c r="Y23" s="349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6"/>
      <c r="Q24" s="1506">
        <f t="shared" ref="Q24:Q34" si="11">B24</f>
        <v>111</v>
      </c>
      <c r="R24" s="1507" t="s">
        <v>8</v>
      </c>
      <c r="S24" s="1508">
        <f>F24</f>
        <v>100</v>
      </c>
      <c r="T24" s="1507" t="s">
        <v>8</v>
      </c>
      <c r="U24" s="1508">
        <f>H24</f>
        <v>100</v>
      </c>
      <c r="V24" s="1507" t="s">
        <v>8</v>
      </c>
      <c r="W24" s="1508">
        <f>J24</f>
        <v>100</v>
      </c>
      <c r="X24" s="1501"/>
      <c r="Y24" s="3496"/>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96"/>
      <c r="Q25" s="1134">
        <f t="shared" si="11"/>
        <v>111</v>
      </c>
      <c r="R25" s="1502" t="s">
        <v>8</v>
      </c>
      <c r="S25" s="1503">
        <f>F25</f>
        <v>100</v>
      </c>
      <c r="T25" s="1502" t="s">
        <v>8</v>
      </c>
      <c r="U25" s="1503">
        <f>H25</f>
        <v>100</v>
      </c>
      <c r="V25" s="1502" t="s">
        <v>8</v>
      </c>
      <c r="W25" s="1503">
        <f>J25</f>
        <v>100</v>
      </c>
      <c r="X25" s="1504"/>
      <c r="Y25" s="3496"/>
      <c r="Z25" s="1133">
        <f>Q25</f>
        <v>111</v>
      </c>
      <c r="AA25" s="1510">
        <f>D25/F25</f>
        <v>1</v>
      </c>
      <c r="AB25" s="1510">
        <f>D25/H25</f>
        <v>1</v>
      </c>
      <c r="AC25" s="1510">
        <f>D25/J25</f>
        <v>1</v>
      </c>
    </row>
    <row r="26" spans="1:29" ht="15">
      <c r="A26" s="2624"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9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8"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98"/>
      <c r="Q27" s="1535" t="str">
        <f t="shared" si="11"/>
        <v>成新率</v>
      </c>
      <c r="R27" s="1511" t="s">
        <v>8</v>
      </c>
      <c r="S27" s="1512" t="e">
        <f t="shared" si="12"/>
        <v>#N/A</v>
      </c>
      <c r="T27" s="1511" t="s">
        <v>8</v>
      </c>
      <c r="U27" s="1512" t="e">
        <f t="shared" si="13"/>
        <v>#N/A</v>
      </c>
      <c r="V27" s="1511" t="s">
        <v>8</v>
      </c>
      <c r="W27" s="1512" t="e">
        <f t="shared" si="14"/>
        <v>#N/A</v>
      </c>
      <c r="X27" s="1513"/>
      <c r="Y27" s="349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8"/>
      <c r="Q28" s="1506" t="str">
        <f t="shared" si="11"/>
        <v>物业等级</v>
      </c>
      <c r="R28" s="1507" t="s">
        <v>8</v>
      </c>
      <c r="S28" s="1508">
        <f t="shared" si="12"/>
        <v>100</v>
      </c>
      <c r="T28" s="1507" t="s">
        <v>8</v>
      </c>
      <c r="U28" s="1508">
        <f t="shared" si="13"/>
        <v>100</v>
      </c>
      <c r="V28" s="1507" t="s">
        <v>8</v>
      </c>
      <c r="W28" s="1508">
        <f t="shared" si="14"/>
        <v>100</v>
      </c>
      <c r="X28" s="1501"/>
      <c r="Y28" s="3498"/>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98"/>
      <c r="Q29" s="1506" t="str">
        <f t="shared" si="11"/>
        <v>有无电梯</v>
      </c>
      <c r="R29" s="1507" t="s">
        <v>8</v>
      </c>
      <c r="S29" s="1508">
        <f t="shared" si="12"/>
        <v>100</v>
      </c>
      <c r="T29" s="1507" t="s">
        <v>8</v>
      </c>
      <c r="U29" s="1508">
        <f t="shared" si="13"/>
        <v>100</v>
      </c>
      <c r="V29" s="1507" t="s">
        <v>8</v>
      </c>
      <c r="W29" s="1508">
        <f t="shared" si="14"/>
        <v>100</v>
      </c>
      <c r="X29" s="1501"/>
      <c r="Y29" s="3498"/>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98"/>
      <c r="Q30" s="1506" t="str">
        <f t="shared" si="11"/>
        <v>建筑面积</v>
      </c>
      <c r="R30" s="1507" t="s">
        <v>8</v>
      </c>
      <c r="S30" s="1508" t="e">
        <f t="shared" si="12"/>
        <v>#N/A</v>
      </c>
      <c r="T30" s="1507" t="s">
        <v>8</v>
      </c>
      <c r="U30" s="1508" t="e">
        <f t="shared" si="13"/>
        <v>#N/A</v>
      </c>
      <c r="V30" s="1507" t="s">
        <v>8</v>
      </c>
      <c r="W30" s="1508" t="e">
        <f t="shared" si="14"/>
        <v>#N/A</v>
      </c>
      <c r="X30" s="1501"/>
      <c r="Y30" s="3498"/>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98"/>
      <c r="Q31" s="1134" t="str">
        <f t="shared" si="11"/>
        <v>是否封闭</v>
      </c>
      <c r="R31" s="1502" t="s">
        <v>8</v>
      </c>
      <c r="S31" s="1503">
        <f t="shared" si="12"/>
        <v>100</v>
      </c>
      <c r="T31" s="1502" t="s">
        <v>8</v>
      </c>
      <c r="U31" s="1503">
        <f t="shared" si="13"/>
        <v>100</v>
      </c>
      <c r="V31" s="1502" t="s">
        <v>8</v>
      </c>
      <c r="W31" s="1503">
        <f t="shared" si="14"/>
        <v>100</v>
      </c>
      <c r="X31" s="1504"/>
      <c r="Y31" s="3498"/>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98" t="s">
        <v>544</v>
      </c>
      <c r="Q32" s="1506">
        <f t="shared" si="11"/>
        <v>111</v>
      </c>
      <c r="R32" s="1507" t="s">
        <v>8</v>
      </c>
      <c r="S32" s="1508">
        <f t="shared" si="12"/>
        <v>100</v>
      </c>
      <c r="T32" s="1507" t="s">
        <v>8</v>
      </c>
      <c r="U32" s="1508">
        <f t="shared" si="13"/>
        <v>100</v>
      </c>
      <c r="V32" s="1507" t="s">
        <v>8</v>
      </c>
      <c r="W32" s="1508">
        <f t="shared" si="14"/>
        <v>100</v>
      </c>
      <c r="X32" s="1501"/>
      <c r="Y32" s="3498"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98"/>
      <c r="Q33" s="1506">
        <f t="shared" si="11"/>
        <v>111</v>
      </c>
      <c r="R33" s="1507" t="s">
        <v>8</v>
      </c>
      <c r="S33" s="1508">
        <f t="shared" si="12"/>
        <v>100</v>
      </c>
      <c r="T33" s="1507" t="s">
        <v>8</v>
      </c>
      <c r="U33" s="1508">
        <f t="shared" si="13"/>
        <v>100</v>
      </c>
      <c r="V33" s="1507" t="s">
        <v>8</v>
      </c>
      <c r="W33" s="1508">
        <f t="shared" si="14"/>
        <v>100</v>
      </c>
      <c r="X33" s="1501"/>
      <c r="Y33" s="3498"/>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98"/>
      <c r="Q34" s="1506">
        <f t="shared" si="11"/>
        <v>111</v>
      </c>
      <c r="R34" s="1507" t="s">
        <v>8</v>
      </c>
      <c r="S34" s="1508">
        <f t="shared" si="12"/>
        <v>100</v>
      </c>
      <c r="T34" s="1507" t="s">
        <v>8</v>
      </c>
      <c r="U34" s="1508">
        <f t="shared" si="13"/>
        <v>100</v>
      </c>
      <c r="V34" s="1507" t="s">
        <v>8</v>
      </c>
      <c r="W34" s="1508">
        <f t="shared" si="14"/>
        <v>100</v>
      </c>
      <c r="X34" s="1501"/>
      <c r="Y34" s="3498"/>
      <c r="Z34" s="1509">
        <f t="shared" si="15"/>
        <v>111</v>
      </c>
      <c r="AA34" s="1510">
        <f t="shared" si="3"/>
        <v>1</v>
      </c>
      <c r="AB34" s="1510">
        <f t="shared" si="4"/>
        <v>1</v>
      </c>
      <c r="AC34" s="1510">
        <f t="shared" si="5"/>
        <v>1</v>
      </c>
    </row>
    <row r="35" spans="1:29" ht="15">
      <c r="A35" s="601" t="s">
        <v>730</v>
      </c>
      <c r="B35" s="876"/>
      <c r="C35" s="2470" t="s">
        <v>1</v>
      </c>
      <c r="D35" s="2471"/>
      <c r="E35" s="2472"/>
      <c r="F35" s="2473"/>
      <c r="G35" s="2474"/>
      <c r="H35" s="2475"/>
      <c r="I35" s="2472"/>
      <c r="J35" s="2475"/>
      <c r="K35" s="1540"/>
      <c r="L35" s="2026"/>
      <c r="M35" s="2027"/>
      <c r="N35" s="2016"/>
      <c r="O35" s="2027"/>
      <c r="P35" s="3461" t="str">
        <f>A35</f>
        <v>成交单价（元/平方米）</v>
      </c>
      <c r="Q35" s="3461"/>
      <c r="R35" s="3579">
        <f>E35</f>
        <v>0</v>
      </c>
      <c r="S35" s="3579"/>
      <c r="T35" s="3579">
        <f>G35</f>
        <v>0</v>
      </c>
      <c r="U35" s="3579"/>
      <c r="V35" s="3579">
        <f>I35</f>
        <v>0</v>
      </c>
      <c r="W35" s="3579"/>
      <c r="X35" s="1496"/>
      <c r="Y35" s="1515"/>
      <c r="Z35" s="1496"/>
      <c r="AA35" s="1496"/>
      <c r="AB35" s="1496"/>
      <c r="AC35" s="1496"/>
    </row>
    <row r="36" spans="1:29" ht="15.75" thickBot="1">
      <c r="A36" s="609" t="s">
        <v>2740</v>
      </c>
      <c r="B36" s="877"/>
      <c r="C36" s="2476" t="e">
        <f>R37</f>
        <v>#DIV/0!</v>
      </c>
      <c r="D36" s="3014" t="s">
        <v>2972</v>
      </c>
      <c r="E36" s="2477" t="e">
        <f>R36</f>
        <v>#DIV/0!</v>
      </c>
      <c r="F36" s="3015"/>
      <c r="G36" s="2476" t="e">
        <f>T36</f>
        <v>#DIV/0!</v>
      </c>
      <c r="H36" s="3015"/>
      <c r="I36" s="2477" t="e">
        <f>V36</f>
        <v>#DIV/0!</v>
      </c>
      <c r="J36" s="3015"/>
      <c r="K36" s="3023">
        <f>F36+H36+J36</f>
        <v>0</v>
      </c>
      <c r="L36" s="2026"/>
      <c r="M36" s="2027"/>
      <c r="N36" s="2016"/>
      <c r="O36" s="2027"/>
      <c r="P36" s="3461" t="str">
        <f>A36</f>
        <v>比较价格（元/平方米）</v>
      </c>
      <c r="Q36" s="3461"/>
      <c r="R36" s="3579" t="e">
        <f>IF(F1="售价",ROUND(PRODUCT(R35,AA7:AA34),0),ROUND(PRODUCT(R35,AA7:AA34),1))</f>
        <v>#DIV/0!</v>
      </c>
      <c r="S36" s="3579"/>
      <c r="T36" s="3579" t="e">
        <f>IF(F1="售价",ROUND(PRODUCT(T35,AB7:AB34),0),ROUND(PRODUCT(T35,AB7:AB34),1))</f>
        <v>#DIV/0!</v>
      </c>
      <c r="U36" s="3579"/>
      <c r="V36" s="3579" t="e">
        <f>IF(F1="售价",ROUND(PRODUCT(V35,AC7:AC34),0),ROUND(PRODUCT(V35,AC7:AC34),1))</f>
        <v>#DIV/0!</v>
      </c>
      <c r="W36" s="3579"/>
      <c r="X36" s="1496"/>
      <c r="Y36" s="1496"/>
      <c r="Z36" s="1496"/>
      <c r="AA36" s="1496"/>
      <c r="AB36" s="1496"/>
      <c r="AC36" s="1496"/>
    </row>
    <row r="37" spans="1:29" ht="15.75" thickBot="1">
      <c r="A37" s="613" t="s">
        <v>2903</v>
      </c>
      <c r="B37" s="614"/>
      <c r="C37" s="2478" t="e">
        <f>R37</f>
        <v>#DIV/0!</v>
      </c>
      <c r="D37" s="2478"/>
      <c r="E37" s="2478"/>
      <c r="F37" s="2478"/>
      <c r="G37" s="2478"/>
      <c r="H37" s="2478"/>
      <c r="I37" s="2478"/>
      <c r="J37" s="2478"/>
      <c r="K37" s="1541"/>
      <c r="L37" s="2026"/>
      <c r="M37" s="2027"/>
      <c r="N37" s="2027"/>
      <c r="O37" s="2027"/>
      <c r="P37" s="3458" t="str">
        <f>A37</f>
        <v>估价对象XX用房的比较价格（楼面单价，元/平方米）</v>
      </c>
      <c r="Q37" s="3459"/>
      <c r="R37" s="3578" t="e">
        <f>IF(F1="售价",ROUND(IF(D36="简单平均",AVERAGE(R36:W36),R36*F36+T36*H36+V36*J36),0),ROUND(IF(D36="简单平均",AVERAGE(R36:V36),R36*F36+T36*H36+V36*J36),1))</f>
        <v>#DIV/0!</v>
      </c>
      <c r="S37" s="3578"/>
      <c r="T37" s="3578"/>
      <c r="U37" s="3578"/>
      <c r="V37" s="3578"/>
      <c r="W37" s="3578"/>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2291</v>
      </c>
      <c r="C1" s="3590" t="s">
        <v>2292</v>
      </c>
      <c r="D1" s="3591"/>
      <c r="E1" s="3591"/>
      <c r="F1" s="3591"/>
      <c r="G1" s="3591"/>
      <c r="H1" s="3591"/>
      <c r="I1" s="3591"/>
      <c r="J1" s="3591"/>
      <c r="K1" s="3591"/>
      <c r="L1" s="3591"/>
      <c r="M1" s="3591"/>
      <c r="N1" s="3591"/>
      <c r="O1" s="3591"/>
      <c r="P1" s="3591"/>
      <c r="Q1" s="3591"/>
      <c r="R1" s="3591"/>
      <c r="S1" s="3592"/>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7" t="s">
        <v>20</v>
      </c>
      <c r="D22" s="3588"/>
      <c r="E22" s="3588"/>
      <c r="F22" s="3588"/>
      <c r="G22" s="3588"/>
      <c r="H22" s="3588"/>
      <c r="I22" s="3588"/>
      <c r="J22" s="3588"/>
      <c r="K22" s="3588"/>
      <c r="L22" s="3588"/>
      <c r="M22" s="3588"/>
      <c r="N22" s="3588"/>
      <c r="O22" s="3588"/>
      <c r="P22" s="3588"/>
      <c r="Q22" s="3589"/>
      <c r="R22" s="484" t="e">
        <f>ROUND(S22*10000/B22,0)</f>
        <v>#DIV/0!</v>
      </c>
      <c r="S22" s="53">
        <f>SUM(S24:S10000)</f>
        <v>0</v>
      </c>
    </row>
    <row r="23" spans="1:45" s="1542"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114571.08平方米。根据《建设工程规划许可证》[]、《出让合同》[]，估价对象规划建筑面积为123065平方米。</v>
      </c>
    </row>
    <row r="7" spans="1:4" ht="93.75">
      <c r="A7" s="2590" t="s">
        <v>2728</v>
      </c>
    </row>
    <row r="8" spans="1:4" ht="18.75">
      <c r="A8" s="1709" t="s">
        <v>1897</v>
      </c>
    </row>
    <row r="9" spans="1:4" ht="75">
      <c r="A9" s="171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2021年3月10日（评估专业人员勘察现场之日）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根据《国有土地使用证》[]，估价对象（分摊）出让国有建设用地使用权面积为114571.08平方米。根据《建设工程规划许可证》[]、《出让合同》[]，估价对象规划建筑面积为123065平方米。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2729</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3月10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2767</v>
      </c>
      <c r="C1" s="2721">
        <f>项目基本情况!D3</f>
        <v>44265</v>
      </c>
      <c r="H1" s="2655">
        <f>IF(C1&gt;C13,0,MATCH(C1,C$13:C$104,-1))+IF(SUMIF(C13:C104,C1,D13:D104)=0,13,12)</f>
        <v>13</v>
      </c>
      <c r="I1" s="2655">
        <f ca="1">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2798</v>
      </c>
      <c r="C2" s="2722">
        <f>'数据-取费表'!B22</f>
        <v>3</v>
      </c>
      <c r="D2" s="2717" t="s">
        <v>2768</v>
      </c>
      <c r="E2" s="2720">
        <f ca="1">INDIRECT("I"&amp;$I$1)/100</f>
        <v>3.85E-2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2800</v>
      </c>
      <c r="C3" s="2719">
        <f>'数据-取费表'!B19</f>
        <v>0</v>
      </c>
      <c r="D3" s="2717" t="s">
        <v>2768</v>
      </c>
      <c r="E3" s="2720">
        <f ca="1">INDIRECT("J"&amp;$J$1)/100</f>
        <v>0</v>
      </c>
      <c r="G3" s="2659" t="s">
        <v>2771</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2799</v>
      </c>
      <c r="C4" s="2720">
        <f ca="1">N4/100</f>
        <v>1.4999999999999999E-2</v>
      </c>
      <c r="G4" s="2665" t="s">
        <v>2772</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2773</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2774</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2775</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43941</v>
      </c>
      <c r="D13" s="2703">
        <v>3.85</v>
      </c>
      <c r="E13" s="2703">
        <v>3.85</v>
      </c>
      <c r="F13" s="2703">
        <v>3.85</v>
      </c>
      <c r="G13" s="2703">
        <v>3.85</v>
      </c>
      <c r="H13" s="2703">
        <v>4.6500000000000004</v>
      </c>
      <c r="I13" s="2703"/>
      <c r="J13" s="2703"/>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3003</v>
      </c>
      <c r="C17" s="2710">
        <v>43697</v>
      </c>
      <c r="D17" s="3278">
        <v>4.25</v>
      </c>
      <c r="E17" s="3278">
        <v>4.25</v>
      </c>
      <c r="F17" s="3278">
        <v>4.25</v>
      </c>
      <c r="G17" s="3278">
        <v>4.25</v>
      </c>
      <c r="H17" s="3278">
        <v>4.8499999999999996</v>
      </c>
      <c r="I17" s="3278"/>
      <c r="J17" s="3278"/>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2797</v>
      </c>
      <c r="J59" s="2707" t="s">
        <v>2797</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6"/>
  <sheetViews>
    <sheetView topLeftCell="F1" zoomScale="115" zoomScaleNormal="115" workbookViewId="0">
      <selection activeCell="AA37" sqref="AA37"/>
    </sheetView>
  </sheetViews>
  <sheetFormatPr defaultRowHeight="12"/>
  <cols>
    <col min="1" max="5" width="0" style="3283" hidden="1" customWidth="1"/>
    <col min="6" max="6" width="24" style="3283" customWidth="1"/>
    <col min="7" max="8" width="0" style="3283" hidden="1" customWidth="1"/>
    <col min="9" max="10" width="9" style="3283"/>
    <col min="11" max="11" width="9.375" style="3283" bestFit="1" customWidth="1"/>
    <col min="12" max="12" width="11.625" style="3283" customWidth="1"/>
    <col min="13" max="18" width="0" style="3283" hidden="1" customWidth="1"/>
    <col min="19" max="19" width="10.25" style="3283" customWidth="1"/>
    <col min="20" max="26" width="0" style="3283" hidden="1" customWidth="1"/>
    <col min="27" max="27" width="9" style="3283"/>
    <col min="28" max="29" width="0" style="3283" hidden="1" customWidth="1"/>
    <col min="30" max="30" width="9" style="3283"/>
    <col min="31" max="33" width="0" style="3283" hidden="1" customWidth="1"/>
    <col min="34" max="34" width="9" style="3283"/>
    <col min="35" max="35" width="0" style="3283" hidden="1" customWidth="1"/>
    <col min="36" max="36" width="9" style="3283"/>
    <col min="37" max="37" width="0" style="3283" hidden="1" customWidth="1"/>
    <col min="38" max="38" width="9" style="3283"/>
    <col min="39" max="40" width="0" style="3283" hidden="1" customWidth="1"/>
    <col min="41" max="16384" width="9" style="3283"/>
  </cols>
  <sheetData>
    <row r="1" spans="1:46" s="3282" customFormat="1">
      <c r="A1" s="3282" t="s">
        <v>3022</v>
      </c>
      <c r="B1" s="3282" t="s">
        <v>3023</v>
      </c>
      <c r="C1" s="3282" t="s">
        <v>3024</v>
      </c>
      <c r="D1" s="3282" t="s">
        <v>3025</v>
      </c>
      <c r="E1" s="3282" t="s">
        <v>3026</v>
      </c>
      <c r="F1" s="3282" t="s">
        <v>3027</v>
      </c>
      <c r="G1" s="3282" t="s">
        <v>3028</v>
      </c>
      <c r="H1" s="3282" t="s">
        <v>3029</v>
      </c>
      <c r="I1" s="3282" t="s">
        <v>3030</v>
      </c>
      <c r="J1" s="3282" t="s">
        <v>3031</v>
      </c>
      <c r="K1" s="3282" t="s">
        <v>3032</v>
      </c>
      <c r="L1" s="3282" t="s">
        <v>2021</v>
      </c>
      <c r="M1" s="3282" t="s">
        <v>3033</v>
      </c>
      <c r="N1" s="3282" t="s">
        <v>3034</v>
      </c>
      <c r="O1" s="3282" t="s">
        <v>3035</v>
      </c>
      <c r="P1" s="3282" t="s">
        <v>3036</v>
      </c>
      <c r="Q1" s="3282" t="s">
        <v>3037</v>
      </c>
      <c r="R1" s="3282" t="s">
        <v>3038</v>
      </c>
      <c r="S1" s="3282" t="s">
        <v>3039</v>
      </c>
      <c r="T1" s="3282" t="s">
        <v>3040</v>
      </c>
      <c r="U1" s="3282" t="s">
        <v>3041</v>
      </c>
      <c r="V1" s="3282" t="s">
        <v>3042</v>
      </c>
      <c r="W1" s="3282" t="s">
        <v>3043</v>
      </c>
      <c r="X1" s="3282" t="s">
        <v>3044</v>
      </c>
      <c r="Y1" s="3282" t="s">
        <v>3045</v>
      </c>
      <c r="Z1" s="3282" t="s">
        <v>3046</v>
      </c>
      <c r="AA1" s="3282" t="s">
        <v>3047</v>
      </c>
      <c r="AB1" s="3282" t="s">
        <v>3048</v>
      </c>
      <c r="AC1" s="3282" t="s">
        <v>3049</v>
      </c>
      <c r="AD1" s="3282" t="s">
        <v>3050</v>
      </c>
      <c r="AE1" s="3282" t="s">
        <v>3051</v>
      </c>
      <c r="AF1" s="3282" t="s">
        <v>3052</v>
      </c>
      <c r="AG1" s="3282" t="s">
        <v>3053</v>
      </c>
      <c r="AH1" s="3282" t="s">
        <v>3054</v>
      </c>
      <c r="AI1" s="3282" t="s">
        <v>3055</v>
      </c>
      <c r="AJ1" s="3282" t="s">
        <v>3056</v>
      </c>
      <c r="AK1" s="3282" t="s">
        <v>3057</v>
      </c>
      <c r="AL1" s="3282" t="s">
        <v>3058</v>
      </c>
      <c r="AM1" s="3282" t="s">
        <v>3059</v>
      </c>
      <c r="AN1" s="3282" t="s">
        <v>3060</v>
      </c>
      <c r="AO1" s="3282" t="s">
        <v>3061</v>
      </c>
      <c r="AP1" s="3282" t="s">
        <v>3062</v>
      </c>
      <c r="AQ1" s="3282" t="s">
        <v>3063</v>
      </c>
      <c r="AR1" s="3282" t="s">
        <v>3064</v>
      </c>
      <c r="AS1" s="3282" t="s">
        <v>3065</v>
      </c>
      <c r="AT1" s="3282" t="s">
        <v>3066</v>
      </c>
    </row>
    <row r="2" spans="1:46" s="3282" customFormat="1">
      <c r="A2" s="3282" t="s">
        <v>3067</v>
      </c>
      <c r="B2" s="3282" t="s">
        <v>1934</v>
      </c>
      <c r="C2" s="3282" t="s">
        <v>3068</v>
      </c>
      <c r="D2" s="3282" t="s">
        <v>3069</v>
      </c>
      <c r="E2" s="3282" t="s">
        <v>3070</v>
      </c>
      <c r="F2" s="3282" t="s">
        <v>3071</v>
      </c>
      <c r="G2" s="3282" t="s">
        <v>3072</v>
      </c>
      <c r="H2" s="3282" t="s">
        <v>3073</v>
      </c>
      <c r="I2" s="3282" t="s">
        <v>3074</v>
      </c>
      <c r="J2" s="3282">
        <v>26609.75</v>
      </c>
      <c r="K2" s="3282">
        <v>74507</v>
      </c>
      <c r="L2" s="3282" t="s">
        <v>3075</v>
      </c>
      <c r="M2" s="3282" t="s">
        <v>2797</v>
      </c>
      <c r="N2" s="3282" t="s">
        <v>2797</v>
      </c>
      <c r="O2" s="3282" t="s">
        <v>3076</v>
      </c>
      <c r="P2" s="3282" t="s">
        <v>2797</v>
      </c>
      <c r="Q2" s="3282" t="s">
        <v>2797</v>
      </c>
      <c r="R2" s="3282" t="s">
        <v>2797</v>
      </c>
      <c r="S2" s="3282" t="s">
        <v>2797</v>
      </c>
      <c r="T2" s="3282" t="s">
        <v>3077</v>
      </c>
      <c r="U2" s="3282" t="s">
        <v>3078</v>
      </c>
      <c r="V2" s="3282" t="s">
        <v>2797</v>
      </c>
      <c r="W2" s="3282" t="s">
        <v>3079</v>
      </c>
      <c r="X2" s="3282" t="s">
        <v>3080</v>
      </c>
      <c r="Y2" s="3282" t="s">
        <v>3081</v>
      </c>
      <c r="Z2" s="3282" t="s">
        <v>3082</v>
      </c>
      <c r="AA2" s="3282" t="s">
        <v>3082</v>
      </c>
      <c r="AB2" s="3282" t="s">
        <v>3073</v>
      </c>
      <c r="AC2" s="3282" t="s">
        <v>3083</v>
      </c>
      <c r="AD2" s="3282" t="s">
        <v>3084</v>
      </c>
      <c r="AE2" s="3282" t="s">
        <v>3085</v>
      </c>
      <c r="AF2" s="3282">
        <v>68000</v>
      </c>
      <c r="AG2" s="3282">
        <v>338400</v>
      </c>
      <c r="AH2" s="3282">
        <v>350244</v>
      </c>
      <c r="AI2" s="3282">
        <v>8478.1</v>
      </c>
      <c r="AJ2" s="3282">
        <v>8774.83</v>
      </c>
      <c r="AK2" s="3282">
        <v>45418.55</v>
      </c>
      <c r="AL2" s="3282">
        <v>47008.19</v>
      </c>
      <c r="AM2" s="3282" t="s">
        <v>2797</v>
      </c>
      <c r="AN2" s="3282" t="s">
        <v>2797</v>
      </c>
      <c r="AO2" s="3282">
        <v>3.5</v>
      </c>
      <c r="AP2" s="3282" t="s">
        <v>3086</v>
      </c>
      <c r="AQ2" s="3282">
        <v>4</v>
      </c>
      <c r="AR2" s="3282" t="s">
        <v>2797</v>
      </c>
      <c r="AS2" s="3282" t="s">
        <v>2797</v>
      </c>
      <c r="AT2" s="3282" t="s">
        <v>3087</v>
      </c>
    </row>
    <row r="3" spans="1:46" s="3282" customFormat="1">
      <c r="A3" s="3282" t="s">
        <v>3088</v>
      </c>
      <c r="B3" s="3282" t="s">
        <v>1934</v>
      </c>
      <c r="C3" s="3282" t="s">
        <v>3089</v>
      </c>
      <c r="D3" s="3282" t="s">
        <v>3069</v>
      </c>
      <c r="E3" s="3282" t="s">
        <v>3070</v>
      </c>
      <c r="F3" s="3282" t="s">
        <v>3071</v>
      </c>
      <c r="G3" s="3282" t="s">
        <v>3072</v>
      </c>
      <c r="H3" s="3282" t="s">
        <v>3090</v>
      </c>
      <c r="I3" s="3282" t="s">
        <v>3091</v>
      </c>
      <c r="J3" s="3282">
        <v>20188.580000000002</v>
      </c>
      <c r="K3" s="3282">
        <v>48528</v>
      </c>
      <c r="L3" s="3282" t="s">
        <v>3092</v>
      </c>
      <c r="M3" s="3282" t="s">
        <v>2797</v>
      </c>
      <c r="N3" s="3282" t="s">
        <v>3093</v>
      </c>
      <c r="O3" s="3282" t="s">
        <v>3094</v>
      </c>
      <c r="P3" s="3282" t="s">
        <v>2797</v>
      </c>
      <c r="Q3" s="3282" t="s">
        <v>2797</v>
      </c>
      <c r="R3" s="3282" t="s">
        <v>2797</v>
      </c>
      <c r="S3" s="3282" t="s">
        <v>2797</v>
      </c>
      <c r="T3" s="3282" t="s">
        <v>3095</v>
      </c>
      <c r="U3" s="3282" t="s">
        <v>3096</v>
      </c>
      <c r="V3" s="3282" t="s">
        <v>2797</v>
      </c>
      <c r="W3" s="3282" t="s">
        <v>3097</v>
      </c>
      <c r="X3" s="3282" t="s">
        <v>3098</v>
      </c>
      <c r="Y3" s="3282" t="s">
        <v>3099</v>
      </c>
      <c r="Z3" s="3282" t="s">
        <v>3100</v>
      </c>
      <c r="AA3" s="3282" t="s">
        <v>3100</v>
      </c>
      <c r="AB3" s="3282" t="s">
        <v>3090</v>
      </c>
      <c r="AC3" s="3282" t="s">
        <v>3083</v>
      </c>
      <c r="AD3" s="3282" t="s">
        <v>3101</v>
      </c>
      <c r="AE3" s="3282" t="s">
        <v>3085</v>
      </c>
      <c r="AF3" s="3282">
        <v>41100</v>
      </c>
      <c r="AG3" s="3282">
        <v>205500</v>
      </c>
      <c r="AH3" s="3282">
        <v>205500</v>
      </c>
      <c r="AI3" s="3282">
        <v>6786.01</v>
      </c>
      <c r="AJ3" s="3282">
        <v>6786.01</v>
      </c>
      <c r="AK3" s="3282">
        <v>42346.68</v>
      </c>
      <c r="AL3" s="3282">
        <v>42346.69</v>
      </c>
      <c r="AM3" s="3282" t="s">
        <v>2797</v>
      </c>
      <c r="AN3" s="3282" t="s">
        <v>2797</v>
      </c>
      <c r="AO3" s="3282">
        <v>0</v>
      </c>
      <c r="AP3" s="3282" t="s">
        <v>3086</v>
      </c>
      <c r="AQ3" s="3282" t="s">
        <v>2797</v>
      </c>
      <c r="AR3" s="3282" t="s">
        <v>2797</v>
      </c>
      <c r="AS3" s="3282" t="s">
        <v>2797</v>
      </c>
      <c r="AT3" s="3282" t="s">
        <v>3087</v>
      </c>
    </row>
    <row r="4" spans="1:46" s="3282" customFormat="1">
      <c r="A4" s="3282" t="s">
        <v>3102</v>
      </c>
      <c r="B4" s="3282" t="s">
        <v>1934</v>
      </c>
      <c r="C4" s="3282" t="s">
        <v>3089</v>
      </c>
      <c r="D4" s="3282" t="s">
        <v>3069</v>
      </c>
      <c r="E4" s="3282" t="s">
        <v>3103</v>
      </c>
      <c r="F4" s="3282" t="s">
        <v>3104</v>
      </c>
      <c r="G4" s="3282" t="s">
        <v>3072</v>
      </c>
      <c r="H4" s="3282" t="s">
        <v>3105</v>
      </c>
      <c r="I4" s="3282" t="s">
        <v>3106</v>
      </c>
      <c r="J4" s="3282">
        <v>80892.990000000005</v>
      </c>
      <c r="K4" s="3282">
        <v>112042</v>
      </c>
      <c r="L4" s="3282" t="s">
        <v>3107</v>
      </c>
      <c r="M4" s="3282" t="s">
        <v>2797</v>
      </c>
      <c r="N4" s="3282" t="s">
        <v>3108</v>
      </c>
      <c r="O4" s="3282" t="s">
        <v>3109</v>
      </c>
      <c r="P4" s="3282" t="s">
        <v>2797</v>
      </c>
      <c r="Q4" s="3282" t="s">
        <v>2797</v>
      </c>
      <c r="R4" s="3282" t="s">
        <v>2797</v>
      </c>
      <c r="S4" s="3282" t="s">
        <v>2797</v>
      </c>
      <c r="T4" s="3282" t="s">
        <v>3110</v>
      </c>
      <c r="U4" s="3282" t="s">
        <v>3111</v>
      </c>
      <c r="V4" s="3282" t="s">
        <v>2797</v>
      </c>
      <c r="W4" s="3282" t="s">
        <v>3097</v>
      </c>
      <c r="X4" s="3282" t="s">
        <v>3112</v>
      </c>
      <c r="Y4" s="3282" t="s">
        <v>3113</v>
      </c>
      <c r="Z4" s="3282" t="s">
        <v>3114</v>
      </c>
      <c r="AA4" s="3282" t="s">
        <v>3114</v>
      </c>
      <c r="AB4" s="3282" t="s">
        <v>3105</v>
      </c>
      <c r="AC4" s="3282" t="s">
        <v>3083</v>
      </c>
      <c r="AD4" s="3282" t="s">
        <v>3115</v>
      </c>
      <c r="AE4" s="3282" t="s">
        <v>3116</v>
      </c>
      <c r="AF4" s="3282">
        <v>92000</v>
      </c>
      <c r="AG4" s="3282">
        <v>460000</v>
      </c>
      <c r="AH4" s="3282">
        <v>460000</v>
      </c>
      <c r="AI4" s="3282">
        <v>3791.02</v>
      </c>
      <c r="AJ4" s="3282">
        <v>3791.02</v>
      </c>
      <c r="AK4" s="3282">
        <v>41056.019999999997</v>
      </c>
      <c r="AL4" s="3282">
        <v>41056.019999999997</v>
      </c>
      <c r="AM4" s="3282" t="s">
        <v>2797</v>
      </c>
      <c r="AN4" s="3282" t="s">
        <v>2797</v>
      </c>
      <c r="AO4" s="3282">
        <v>0</v>
      </c>
      <c r="AP4" s="3282" t="s">
        <v>3086</v>
      </c>
      <c r="AQ4" s="3282" t="s">
        <v>2797</v>
      </c>
      <c r="AR4" s="3282" t="s">
        <v>2797</v>
      </c>
      <c r="AS4" s="3282" t="s">
        <v>2797</v>
      </c>
      <c r="AT4" s="3282" t="s">
        <v>3117</v>
      </c>
    </row>
    <row r="5" spans="1:46" s="3282" customFormat="1">
      <c r="A5" s="3282" t="s">
        <v>3118</v>
      </c>
      <c r="B5" s="3282" t="s">
        <v>1934</v>
      </c>
      <c r="C5" s="3282" t="s">
        <v>3089</v>
      </c>
      <c r="D5" s="3282" t="s">
        <v>3069</v>
      </c>
      <c r="E5" s="3282" t="s">
        <v>3119</v>
      </c>
      <c r="F5" s="3282" t="s">
        <v>3120</v>
      </c>
      <c r="G5" s="3282" t="s">
        <v>3072</v>
      </c>
      <c r="H5" s="3282" t="s">
        <v>3121</v>
      </c>
      <c r="I5" s="3282" t="s">
        <v>3122</v>
      </c>
      <c r="J5" s="3282">
        <v>31917.24</v>
      </c>
      <c r="K5" s="3282">
        <v>47876</v>
      </c>
      <c r="L5" s="3282" t="s">
        <v>3123</v>
      </c>
      <c r="M5" s="3282" t="s">
        <v>2797</v>
      </c>
      <c r="N5" s="3282" t="s">
        <v>3093</v>
      </c>
      <c r="O5" s="3282" t="s">
        <v>3124</v>
      </c>
      <c r="P5" s="3282" t="s">
        <v>2797</v>
      </c>
      <c r="Q5" s="3282" t="s">
        <v>2797</v>
      </c>
      <c r="R5" s="3282" t="s">
        <v>2797</v>
      </c>
      <c r="S5" s="3282" t="s">
        <v>2797</v>
      </c>
      <c r="T5" s="3282" t="s">
        <v>3110</v>
      </c>
      <c r="U5" s="3282" t="s">
        <v>3111</v>
      </c>
      <c r="V5" s="3282" t="s">
        <v>2797</v>
      </c>
      <c r="W5" s="3282" t="s">
        <v>3097</v>
      </c>
      <c r="X5" s="3282" t="s">
        <v>3125</v>
      </c>
      <c r="Y5" s="3282" t="s">
        <v>3126</v>
      </c>
      <c r="Z5" s="3282" t="s">
        <v>3127</v>
      </c>
      <c r="AA5" s="3282" t="s">
        <v>3127</v>
      </c>
      <c r="AB5" s="3282" t="s">
        <v>3121</v>
      </c>
      <c r="AC5" s="3282" t="s">
        <v>3083</v>
      </c>
      <c r="AD5" s="3282" t="s">
        <v>3128</v>
      </c>
      <c r="AE5" s="3282" t="s">
        <v>3129</v>
      </c>
      <c r="AF5" s="3282">
        <v>48000</v>
      </c>
      <c r="AG5" s="3282">
        <v>238900</v>
      </c>
      <c r="AH5" s="3282">
        <v>242500</v>
      </c>
      <c r="AI5" s="3282">
        <v>4989.99</v>
      </c>
      <c r="AJ5" s="3282">
        <v>5065.18</v>
      </c>
      <c r="AK5" s="3282">
        <v>49899.74</v>
      </c>
      <c r="AL5" s="3282">
        <v>50651.68</v>
      </c>
      <c r="AM5" s="3282" t="s">
        <v>2797</v>
      </c>
      <c r="AN5" s="3282" t="s">
        <v>2797</v>
      </c>
      <c r="AO5" s="3282">
        <v>1.51</v>
      </c>
      <c r="AP5" s="3282" t="s">
        <v>3130</v>
      </c>
      <c r="AQ5" s="3282" t="s">
        <v>2797</v>
      </c>
      <c r="AR5" s="3282" t="s">
        <v>2797</v>
      </c>
      <c r="AS5" s="3282" t="s">
        <v>2797</v>
      </c>
      <c r="AT5" s="3282" t="s">
        <v>3087</v>
      </c>
    </row>
    <row r="6" spans="1:46" s="3282" customFormat="1" hidden="1">
      <c r="A6" s="3282" t="s">
        <v>3131</v>
      </c>
      <c r="B6" s="3282" t="s">
        <v>1934</v>
      </c>
      <c r="C6" s="3282" t="s">
        <v>3089</v>
      </c>
      <c r="D6" s="3282" t="s">
        <v>3069</v>
      </c>
      <c r="E6" s="3282" t="s">
        <v>3070</v>
      </c>
      <c r="F6" s="3282" t="s">
        <v>3071</v>
      </c>
      <c r="G6" s="3282" t="s">
        <v>3072</v>
      </c>
      <c r="H6" s="3282" t="s">
        <v>3132</v>
      </c>
      <c r="I6" s="3282" t="s">
        <v>3133</v>
      </c>
      <c r="J6" s="3282">
        <v>31314.23</v>
      </c>
      <c r="K6" s="3282">
        <v>85543</v>
      </c>
      <c r="L6" s="3282" t="s">
        <v>3134</v>
      </c>
      <c r="M6" s="3282" t="s">
        <v>2797</v>
      </c>
      <c r="N6" s="3282" t="s">
        <v>3135</v>
      </c>
      <c r="O6" s="3282" t="s">
        <v>3136</v>
      </c>
      <c r="P6" s="3282" t="s">
        <v>2797</v>
      </c>
      <c r="Q6" s="3282" t="s">
        <v>2797</v>
      </c>
      <c r="R6" s="3282" t="s">
        <v>2797</v>
      </c>
      <c r="S6" s="3282" t="s">
        <v>3137</v>
      </c>
      <c r="T6" s="3282" t="s">
        <v>3138</v>
      </c>
      <c r="U6" s="3282" t="s">
        <v>3138</v>
      </c>
      <c r="V6" s="3282" t="s">
        <v>2797</v>
      </c>
      <c r="W6" s="3282" t="s">
        <v>3097</v>
      </c>
      <c r="X6" s="3282" t="s">
        <v>3139</v>
      </c>
      <c r="Y6" s="3282" t="s">
        <v>3140</v>
      </c>
      <c r="Z6" s="3282" t="s">
        <v>3126</v>
      </c>
      <c r="AA6" s="3282" t="s">
        <v>3126</v>
      </c>
      <c r="AB6" s="3282" t="s">
        <v>3132</v>
      </c>
      <c r="AC6" s="3282" t="s">
        <v>3083</v>
      </c>
      <c r="AD6" s="3282" t="s">
        <v>3141</v>
      </c>
      <c r="AE6" s="3282" t="s">
        <v>3142</v>
      </c>
      <c r="AF6" s="3282">
        <v>38000</v>
      </c>
      <c r="AG6" s="3282">
        <v>189700</v>
      </c>
      <c r="AH6" s="3282">
        <v>189700</v>
      </c>
      <c r="AI6" s="3282">
        <v>4038.63</v>
      </c>
      <c r="AJ6" s="3282">
        <v>4038.63</v>
      </c>
      <c r="AK6" s="3282">
        <v>22175.98</v>
      </c>
      <c r="AL6" s="3282">
        <v>22175.97</v>
      </c>
      <c r="AM6" s="3282" t="s">
        <v>2797</v>
      </c>
      <c r="AN6" s="3282" t="s">
        <v>2797</v>
      </c>
      <c r="AO6" s="3282">
        <v>0</v>
      </c>
      <c r="AP6" s="3282" t="s">
        <v>3086</v>
      </c>
      <c r="AQ6" s="3282" t="s">
        <v>2797</v>
      </c>
      <c r="AR6" s="3282" t="s">
        <v>2797</v>
      </c>
      <c r="AS6" s="3282" t="s">
        <v>2797</v>
      </c>
      <c r="AT6" s="3282" t="s">
        <v>3143</v>
      </c>
    </row>
    <row r="7" spans="1:46" s="3284" customFormat="1">
      <c r="A7" s="3284" t="s">
        <v>3144</v>
      </c>
      <c r="B7" s="3284" t="s">
        <v>1934</v>
      </c>
      <c r="C7" s="3284" t="s">
        <v>3068</v>
      </c>
      <c r="D7" s="3284" t="s">
        <v>3069</v>
      </c>
      <c r="E7" s="3284" t="s">
        <v>3119</v>
      </c>
      <c r="F7" s="3284" t="s">
        <v>3120</v>
      </c>
      <c r="G7" s="3284" t="s">
        <v>3072</v>
      </c>
      <c r="H7" s="3284" t="s">
        <v>3145</v>
      </c>
      <c r="I7" s="3284" t="s">
        <v>3074</v>
      </c>
      <c r="J7" s="3284">
        <v>39479.050000000003</v>
      </c>
      <c r="K7" s="3284">
        <v>43427</v>
      </c>
      <c r="L7" s="3284" t="s">
        <v>3146</v>
      </c>
      <c r="M7" s="3284" t="s">
        <v>2797</v>
      </c>
      <c r="N7" s="3284" t="s">
        <v>3093</v>
      </c>
      <c r="O7" s="3284" t="s">
        <v>3147</v>
      </c>
      <c r="P7" s="3284" t="s">
        <v>2797</v>
      </c>
      <c r="Q7" s="3284" t="s">
        <v>2797</v>
      </c>
      <c r="R7" s="3284" t="s">
        <v>2797</v>
      </c>
      <c r="S7" s="3284" t="s">
        <v>2797</v>
      </c>
      <c r="T7" s="3284" t="s">
        <v>3110</v>
      </c>
      <c r="U7" s="3284" t="s">
        <v>3111</v>
      </c>
      <c r="V7" s="3284" t="s">
        <v>2797</v>
      </c>
      <c r="W7" s="3284" t="s">
        <v>3097</v>
      </c>
      <c r="X7" s="3284" t="s">
        <v>3148</v>
      </c>
      <c r="Y7" s="3284" t="s">
        <v>3149</v>
      </c>
      <c r="Z7" s="3284" t="s">
        <v>3150</v>
      </c>
      <c r="AA7" s="3284" t="s">
        <v>3150</v>
      </c>
      <c r="AB7" s="3284" t="s">
        <v>3145</v>
      </c>
      <c r="AC7" s="3284" t="s">
        <v>3083</v>
      </c>
      <c r="AD7" s="3284" t="s">
        <v>3151</v>
      </c>
      <c r="AE7" s="3284" t="s">
        <v>3152</v>
      </c>
      <c r="AF7" s="3284">
        <v>49000</v>
      </c>
      <c r="AG7" s="3284">
        <v>244900</v>
      </c>
      <c r="AH7" s="3284">
        <v>302000</v>
      </c>
      <c r="AI7" s="3284">
        <v>4135.53</v>
      </c>
      <c r="AJ7" s="3284">
        <v>5099.75</v>
      </c>
      <c r="AK7" s="3284">
        <v>56393.48</v>
      </c>
      <c r="AL7" s="3284">
        <v>69541.990000000005</v>
      </c>
      <c r="AM7" s="3284" t="s">
        <v>2797</v>
      </c>
      <c r="AN7" s="3284" t="s">
        <v>2797</v>
      </c>
      <c r="AO7" s="3284">
        <v>23.32</v>
      </c>
      <c r="AP7" s="3284" t="s">
        <v>3086</v>
      </c>
      <c r="AQ7" s="3284" t="s">
        <v>2797</v>
      </c>
      <c r="AR7" s="3284" t="s">
        <v>2797</v>
      </c>
      <c r="AS7" s="3284" t="s">
        <v>2797</v>
      </c>
      <c r="AT7" s="3284" t="s">
        <v>3117</v>
      </c>
    </row>
    <row r="8" spans="1:46" s="3282" customFormat="1" hidden="1">
      <c r="A8" s="3282" t="s">
        <v>3153</v>
      </c>
      <c r="B8" s="3282" t="s">
        <v>1934</v>
      </c>
      <c r="C8" s="3282" t="s">
        <v>3089</v>
      </c>
      <c r="D8" s="3282" t="s">
        <v>3069</v>
      </c>
      <c r="E8" s="3282" t="s">
        <v>3154</v>
      </c>
      <c r="F8" s="3282" t="s">
        <v>3155</v>
      </c>
      <c r="G8" s="3282" t="s">
        <v>3072</v>
      </c>
      <c r="H8" s="3282" t="s">
        <v>3156</v>
      </c>
      <c r="I8" s="3282" t="s">
        <v>3157</v>
      </c>
      <c r="J8" s="3282">
        <v>60678.01</v>
      </c>
      <c r="K8" s="3282">
        <v>160145</v>
      </c>
      <c r="L8" s="3282" t="s">
        <v>3158</v>
      </c>
      <c r="M8" s="3282" t="s">
        <v>2797</v>
      </c>
      <c r="N8" s="3282" t="s">
        <v>3093</v>
      </c>
      <c r="O8" s="3282" t="s">
        <v>3159</v>
      </c>
      <c r="P8" s="3282" t="s">
        <v>2797</v>
      </c>
      <c r="Q8" s="3282" t="s">
        <v>2797</v>
      </c>
      <c r="R8" s="3282" t="s">
        <v>2797</v>
      </c>
      <c r="S8" s="3282" t="s">
        <v>3160</v>
      </c>
      <c r="T8" s="3282" t="s">
        <v>3138</v>
      </c>
      <c r="U8" s="3282" t="s">
        <v>3138</v>
      </c>
      <c r="V8" s="3282" t="s">
        <v>2797</v>
      </c>
      <c r="W8" s="3282" t="s">
        <v>3097</v>
      </c>
      <c r="X8" s="3282" t="s">
        <v>3161</v>
      </c>
      <c r="Y8" s="3282" t="s">
        <v>3162</v>
      </c>
      <c r="Z8" s="3282" t="s">
        <v>3163</v>
      </c>
      <c r="AA8" s="3282" t="s">
        <v>3163</v>
      </c>
      <c r="AB8" s="3282" t="s">
        <v>3156</v>
      </c>
      <c r="AC8" s="3282" t="s">
        <v>3083</v>
      </c>
      <c r="AD8" s="3282" t="s">
        <v>3164</v>
      </c>
      <c r="AE8" s="3282" t="s">
        <v>3165</v>
      </c>
      <c r="AF8" s="3282">
        <v>68000</v>
      </c>
      <c r="AG8" s="3282">
        <v>339100</v>
      </c>
      <c r="AH8" s="3282">
        <v>340800</v>
      </c>
      <c r="AI8" s="3282">
        <v>3725.68</v>
      </c>
      <c r="AJ8" s="3282">
        <v>3744.35</v>
      </c>
      <c r="AK8" s="3282">
        <v>21174.560000000001</v>
      </c>
      <c r="AL8" s="3282">
        <v>21280.7</v>
      </c>
      <c r="AM8" s="3282" t="s">
        <v>2797</v>
      </c>
      <c r="AN8" s="3282" t="s">
        <v>2797</v>
      </c>
      <c r="AO8" s="3282">
        <v>0.5</v>
      </c>
      <c r="AP8" s="3282" t="s">
        <v>3130</v>
      </c>
      <c r="AQ8" s="3282" t="s">
        <v>2797</v>
      </c>
      <c r="AR8" s="3282" t="s">
        <v>2797</v>
      </c>
      <c r="AS8" s="3282" t="s">
        <v>2797</v>
      </c>
      <c r="AT8" s="3282" t="s">
        <v>3143</v>
      </c>
    </row>
    <row r="9" spans="1:46" s="3282" customFormat="1" hidden="1">
      <c r="A9" s="3282" t="s">
        <v>3166</v>
      </c>
      <c r="B9" s="3282" t="s">
        <v>1934</v>
      </c>
      <c r="C9" s="3282" t="s">
        <v>3068</v>
      </c>
      <c r="D9" s="3282" t="s">
        <v>3069</v>
      </c>
      <c r="E9" s="3282" t="s">
        <v>3070</v>
      </c>
      <c r="F9" s="3282" t="s">
        <v>3071</v>
      </c>
      <c r="G9" s="3282" t="s">
        <v>3072</v>
      </c>
      <c r="H9" s="3282" t="s">
        <v>3167</v>
      </c>
      <c r="I9" s="3282" t="s">
        <v>3074</v>
      </c>
      <c r="J9" s="3282">
        <v>41541.339999999997</v>
      </c>
      <c r="K9" s="3282">
        <v>87237</v>
      </c>
      <c r="L9" s="3282">
        <v>2.1</v>
      </c>
      <c r="M9" s="3282" t="s">
        <v>2797</v>
      </c>
      <c r="N9" s="3282" t="s">
        <v>3093</v>
      </c>
      <c r="O9" s="3282" t="s">
        <v>3168</v>
      </c>
      <c r="P9" s="3282" t="s">
        <v>2797</v>
      </c>
      <c r="Q9" s="3282" t="s">
        <v>2797</v>
      </c>
      <c r="R9" s="3282" t="s">
        <v>2797</v>
      </c>
      <c r="S9" s="3282" t="s">
        <v>3169</v>
      </c>
      <c r="T9" s="3282" t="s">
        <v>3138</v>
      </c>
      <c r="U9" s="3282" t="s">
        <v>3138</v>
      </c>
      <c r="V9" s="3282" t="s">
        <v>2797</v>
      </c>
      <c r="W9" s="3282" t="s">
        <v>3097</v>
      </c>
      <c r="X9" s="3282" t="s">
        <v>3170</v>
      </c>
      <c r="Y9" s="3282" t="s">
        <v>3171</v>
      </c>
      <c r="Z9" s="3282" t="s">
        <v>3172</v>
      </c>
      <c r="AA9" s="3282" t="s">
        <v>3172</v>
      </c>
      <c r="AB9" s="3282" t="s">
        <v>3167</v>
      </c>
      <c r="AC9" s="3282" t="s">
        <v>3083</v>
      </c>
      <c r="AD9" s="3282" t="s">
        <v>3173</v>
      </c>
      <c r="AE9" s="3282" t="s">
        <v>3174</v>
      </c>
      <c r="AF9" s="3282">
        <v>30000</v>
      </c>
      <c r="AG9" s="3282">
        <v>150000</v>
      </c>
      <c r="AH9" s="3282">
        <v>206000</v>
      </c>
      <c r="AI9" s="3282">
        <v>2407.2399999999998</v>
      </c>
      <c r="AJ9" s="3282">
        <v>3305.94</v>
      </c>
      <c r="AK9" s="3282">
        <v>17194.54</v>
      </c>
      <c r="AL9" s="3282">
        <v>23613.83</v>
      </c>
      <c r="AM9" s="3282" t="s">
        <v>2797</v>
      </c>
      <c r="AN9" s="3282" t="s">
        <v>2797</v>
      </c>
      <c r="AO9" s="3282">
        <v>37.33</v>
      </c>
      <c r="AP9" s="3282" t="s">
        <v>3086</v>
      </c>
      <c r="AQ9" s="3282" t="s">
        <v>2797</v>
      </c>
      <c r="AR9" s="3282" t="s">
        <v>2797</v>
      </c>
      <c r="AS9" s="3282" t="s">
        <v>2797</v>
      </c>
      <c r="AT9" s="3282" t="s">
        <v>3087</v>
      </c>
    </row>
    <row r="10" spans="1:46" s="3282" customFormat="1">
      <c r="A10" s="3282" t="s">
        <v>3175</v>
      </c>
      <c r="B10" s="3282" t="s">
        <v>1934</v>
      </c>
      <c r="C10" s="3282" t="s">
        <v>3089</v>
      </c>
      <c r="D10" s="3282" t="s">
        <v>3069</v>
      </c>
      <c r="E10" s="3282" t="s">
        <v>3176</v>
      </c>
      <c r="F10" s="3282" t="s">
        <v>3177</v>
      </c>
      <c r="G10" s="3282" t="s">
        <v>3072</v>
      </c>
      <c r="H10" s="3282" t="s">
        <v>3178</v>
      </c>
      <c r="I10" s="3282" t="s">
        <v>3122</v>
      </c>
      <c r="J10" s="3282">
        <v>22975.03</v>
      </c>
      <c r="K10" s="3282">
        <v>68925</v>
      </c>
      <c r="L10" s="3282">
        <v>3</v>
      </c>
      <c r="M10" s="3282" t="s">
        <v>2797</v>
      </c>
      <c r="N10" s="3282" t="s">
        <v>3093</v>
      </c>
      <c r="O10" s="3282" t="s">
        <v>3179</v>
      </c>
      <c r="P10" s="3282" t="s">
        <v>2797</v>
      </c>
      <c r="Q10" s="3282" t="s">
        <v>2797</v>
      </c>
      <c r="R10" s="3282" t="s">
        <v>2797</v>
      </c>
      <c r="S10" s="3282" t="s">
        <v>2797</v>
      </c>
      <c r="T10" s="3282" t="s">
        <v>3095</v>
      </c>
      <c r="U10" s="3282" t="s">
        <v>3096</v>
      </c>
      <c r="V10" s="3282" t="s">
        <v>2797</v>
      </c>
      <c r="W10" s="3282" t="s">
        <v>3180</v>
      </c>
      <c r="X10" s="3282" t="s">
        <v>3181</v>
      </c>
      <c r="Y10" s="3282" t="s">
        <v>3182</v>
      </c>
      <c r="Z10" s="3282" t="s">
        <v>3183</v>
      </c>
      <c r="AA10" s="3282" t="s">
        <v>3183</v>
      </c>
      <c r="AB10" s="3282" t="s">
        <v>3178</v>
      </c>
      <c r="AC10" s="3282" t="s">
        <v>3083</v>
      </c>
      <c r="AD10" s="3282" t="s">
        <v>3184</v>
      </c>
      <c r="AE10" s="3282" t="s">
        <v>3185</v>
      </c>
      <c r="AF10" s="3282">
        <v>41600</v>
      </c>
      <c r="AG10" s="3282">
        <v>208000</v>
      </c>
      <c r="AH10" s="3282">
        <v>264000</v>
      </c>
      <c r="AI10" s="3282">
        <v>6035.54</v>
      </c>
      <c r="AJ10" s="3282">
        <v>7660.49</v>
      </c>
      <c r="AK10" s="3282">
        <v>30177.72</v>
      </c>
      <c r="AL10" s="3282">
        <v>38302.5</v>
      </c>
      <c r="AM10" s="3282" t="s">
        <v>2797</v>
      </c>
      <c r="AN10" s="3282" t="s">
        <v>2797</v>
      </c>
      <c r="AO10" s="3282">
        <v>26.92</v>
      </c>
      <c r="AP10" s="3282" t="s">
        <v>3086</v>
      </c>
      <c r="AQ10" s="3282" t="s">
        <v>2797</v>
      </c>
      <c r="AR10" s="3282" t="s">
        <v>2797</v>
      </c>
      <c r="AS10" s="3282" t="s">
        <v>2797</v>
      </c>
      <c r="AT10" s="3282" t="s">
        <v>3143</v>
      </c>
    </row>
    <row r="11" spans="1:46" s="3282" customFormat="1">
      <c r="A11" s="3282" t="s">
        <v>3186</v>
      </c>
      <c r="B11" s="3282" t="s">
        <v>1934</v>
      </c>
      <c r="C11" s="3282" t="s">
        <v>3089</v>
      </c>
      <c r="D11" s="3282" t="s">
        <v>3069</v>
      </c>
      <c r="E11" s="3282" t="s">
        <v>3176</v>
      </c>
      <c r="F11" s="3282" t="s">
        <v>3177</v>
      </c>
      <c r="G11" s="3282" t="s">
        <v>3072</v>
      </c>
      <c r="H11" s="3282" t="s">
        <v>3187</v>
      </c>
      <c r="I11" s="3282" t="s">
        <v>3122</v>
      </c>
      <c r="J11" s="3282">
        <v>19200.669999999998</v>
      </c>
      <c r="K11" s="3282">
        <v>57602</v>
      </c>
      <c r="L11" s="3282">
        <v>3</v>
      </c>
      <c r="M11" s="3282" t="s">
        <v>2797</v>
      </c>
      <c r="N11" s="3282" t="s">
        <v>3093</v>
      </c>
      <c r="O11" s="3282" t="s">
        <v>3179</v>
      </c>
      <c r="P11" s="3282" t="s">
        <v>2797</v>
      </c>
      <c r="Q11" s="3282" t="s">
        <v>2797</v>
      </c>
      <c r="R11" s="3282" t="s">
        <v>2797</v>
      </c>
      <c r="S11" s="3282" t="s">
        <v>2797</v>
      </c>
      <c r="T11" s="3282" t="s">
        <v>3095</v>
      </c>
      <c r="U11" s="3282" t="s">
        <v>3096</v>
      </c>
      <c r="V11" s="3282" t="s">
        <v>2797</v>
      </c>
      <c r="W11" s="3282" t="s">
        <v>3097</v>
      </c>
      <c r="X11" s="3282" t="s">
        <v>3181</v>
      </c>
      <c r="Y11" s="3282" t="s">
        <v>3182</v>
      </c>
      <c r="Z11" s="3282" t="s">
        <v>3183</v>
      </c>
      <c r="AA11" s="3282" t="s">
        <v>3183</v>
      </c>
      <c r="AB11" s="3282" t="s">
        <v>3187</v>
      </c>
      <c r="AC11" s="3282" t="s">
        <v>3083</v>
      </c>
      <c r="AD11" s="3282" t="s">
        <v>3188</v>
      </c>
      <c r="AE11" s="3282" t="s">
        <v>3185</v>
      </c>
      <c r="AF11" s="3282">
        <v>40000</v>
      </c>
      <c r="AG11" s="3282">
        <v>200000</v>
      </c>
      <c r="AH11" s="3282">
        <v>234000</v>
      </c>
      <c r="AI11" s="3282">
        <v>6944.2</v>
      </c>
      <c r="AJ11" s="3282">
        <v>8124.72</v>
      </c>
      <c r="AK11" s="3282">
        <v>34721.01</v>
      </c>
      <c r="AL11" s="3282">
        <v>40623.58</v>
      </c>
      <c r="AM11" s="3282" t="s">
        <v>2797</v>
      </c>
      <c r="AN11" s="3282" t="s">
        <v>2797</v>
      </c>
      <c r="AO11" s="3282">
        <v>17</v>
      </c>
      <c r="AP11" s="3282" t="s">
        <v>3086</v>
      </c>
      <c r="AQ11" s="3282" t="s">
        <v>2797</v>
      </c>
      <c r="AR11" s="3282" t="s">
        <v>2797</v>
      </c>
      <c r="AS11" s="3282" t="s">
        <v>2797</v>
      </c>
      <c r="AT11" s="3282" t="s">
        <v>3143</v>
      </c>
    </row>
    <row r="12" spans="1:46" s="3282" customFormat="1">
      <c r="A12" s="3282" t="s">
        <v>3189</v>
      </c>
      <c r="B12" s="3282" t="s">
        <v>1934</v>
      </c>
      <c r="C12" s="3282" t="s">
        <v>3089</v>
      </c>
      <c r="D12" s="3282" t="s">
        <v>3069</v>
      </c>
      <c r="E12" s="3282" t="s">
        <v>3176</v>
      </c>
      <c r="F12" s="3282" t="s">
        <v>3190</v>
      </c>
      <c r="G12" s="3282" t="s">
        <v>3072</v>
      </c>
      <c r="H12" s="3282" t="s">
        <v>3191</v>
      </c>
      <c r="I12" s="3282" t="s">
        <v>3192</v>
      </c>
      <c r="J12" s="3282">
        <v>74979.98</v>
      </c>
      <c r="K12" s="3282">
        <v>84324</v>
      </c>
      <c r="L12" s="3282">
        <v>1.1200000000000001</v>
      </c>
      <c r="M12" s="3282" t="s">
        <v>2797</v>
      </c>
      <c r="N12" s="3282" t="s">
        <v>3193</v>
      </c>
      <c r="O12" s="3282" t="s">
        <v>3193</v>
      </c>
      <c r="P12" s="3282" t="s">
        <v>2797</v>
      </c>
      <c r="Q12" s="3282" t="s">
        <v>2797</v>
      </c>
      <c r="R12" s="3282" t="s">
        <v>2797</v>
      </c>
      <c r="S12" s="3282" t="s">
        <v>2797</v>
      </c>
      <c r="T12" s="3282" t="s">
        <v>3077</v>
      </c>
      <c r="U12" s="3282" t="s">
        <v>3194</v>
      </c>
      <c r="V12" s="3282" t="s">
        <v>2797</v>
      </c>
      <c r="W12" s="3282" t="s">
        <v>3097</v>
      </c>
      <c r="X12" s="3282" t="s">
        <v>3195</v>
      </c>
      <c r="Y12" s="3282" t="s">
        <v>3196</v>
      </c>
      <c r="Z12" s="3282" t="s">
        <v>3197</v>
      </c>
      <c r="AA12" s="3282" t="s">
        <v>3197</v>
      </c>
      <c r="AB12" s="3282" t="s">
        <v>3191</v>
      </c>
      <c r="AC12" s="3282" t="s">
        <v>3083</v>
      </c>
      <c r="AD12" s="3282" t="s">
        <v>3198</v>
      </c>
      <c r="AE12" s="3282" t="s">
        <v>3199</v>
      </c>
      <c r="AF12" s="3282">
        <v>61500</v>
      </c>
      <c r="AG12" s="3282">
        <v>205000</v>
      </c>
      <c r="AH12" s="3282">
        <v>291000</v>
      </c>
      <c r="AI12" s="3282">
        <v>1822.71</v>
      </c>
      <c r="AJ12" s="3282">
        <v>2587.36</v>
      </c>
      <c r="AK12" s="3282">
        <v>24310.99</v>
      </c>
      <c r="AL12" s="3282">
        <v>34509.75</v>
      </c>
      <c r="AM12" s="3282" t="s">
        <v>2797</v>
      </c>
      <c r="AN12" s="3282" t="s">
        <v>2797</v>
      </c>
      <c r="AO12" s="3282">
        <v>41.95</v>
      </c>
      <c r="AP12" s="3282" t="s">
        <v>3086</v>
      </c>
      <c r="AQ12" s="3282" t="s">
        <v>2797</v>
      </c>
      <c r="AR12" s="3282" t="s">
        <v>2797</v>
      </c>
      <c r="AS12" s="3282" t="s">
        <v>2797</v>
      </c>
      <c r="AT12" s="3282" t="s">
        <v>3117</v>
      </c>
    </row>
    <row r="13" spans="1:46" s="3282" customFormat="1" hidden="1">
      <c r="A13" s="3282" t="s">
        <v>3200</v>
      </c>
      <c r="B13" s="3282" t="s">
        <v>1934</v>
      </c>
      <c r="C13" s="3282" t="s">
        <v>3089</v>
      </c>
      <c r="D13" s="3282" t="s">
        <v>3069</v>
      </c>
      <c r="E13" s="3282" t="s">
        <v>3201</v>
      </c>
      <c r="F13" s="3282" t="s">
        <v>3202</v>
      </c>
      <c r="G13" s="3282" t="s">
        <v>3072</v>
      </c>
      <c r="H13" s="3282" t="s">
        <v>3203</v>
      </c>
      <c r="I13" s="3282" t="s">
        <v>3204</v>
      </c>
      <c r="J13" s="3282">
        <v>55477.35</v>
      </c>
      <c r="K13" s="3282">
        <v>87924</v>
      </c>
      <c r="L13" s="3282">
        <v>1.58</v>
      </c>
      <c r="M13" s="3282" t="s">
        <v>2797</v>
      </c>
      <c r="N13" s="3282" t="s">
        <v>3093</v>
      </c>
      <c r="O13" s="3282">
        <v>18</v>
      </c>
      <c r="P13" s="3282" t="s">
        <v>2797</v>
      </c>
      <c r="Q13" s="3282" t="s">
        <v>2797</v>
      </c>
      <c r="R13" s="3282" t="s">
        <v>2797</v>
      </c>
      <c r="S13" s="3282" t="s">
        <v>3205</v>
      </c>
      <c r="T13" s="3282" t="s">
        <v>3138</v>
      </c>
      <c r="U13" s="3282" t="s">
        <v>3138</v>
      </c>
      <c r="V13" s="3282" t="s">
        <v>2797</v>
      </c>
      <c r="W13" s="3282" t="s">
        <v>3180</v>
      </c>
      <c r="X13" s="3282" t="s">
        <v>3206</v>
      </c>
      <c r="Y13" s="3282" t="s">
        <v>3207</v>
      </c>
      <c r="Z13" s="3282" t="s">
        <v>3208</v>
      </c>
      <c r="AA13" s="3282" t="s">
        <v>3208</v>
      </c>
      <c r="AB13" s="3282" t="s">
        <v>3203</v>
      </c>
      <c r="AC13" s="3282" t="s">
        <v>3083</v>
      </c>
      <c r="AD13" s="3282" t="s">
        <v>3209</v>
      </c>
      <c r="AE13" s="3282" t="s">
        <v>3210</v>
      </c>
      <c r="AF13" s="3282">
        <v>45000</v>
      </c>
      <c r="AG13" s="3282">
        <v>150000</v>
      </c>
      <c r="AH13" s="3282">
        <v>168000</v>
      </c>
      <c r="AI13" s="3282">
        <v>1802.54</v>
      </c>
      <c r="AJ13" s="3282">
        <v>2018.84</v>
      </c>
      <c r="AK13" s="3282">
        <v>17060.18</v>
      </c>
      <c r="AL13" s="3282">
        <v>19107.400000000001</v>
      </c>
      <c r="AM13" s="3282" t="s">
        <v>2797</v>
      </c>
      <c r="AN13" s="3282" t="s">
        <v>2797</v>
      </c>
      <c r="AO13" s="3282">
        <v>12</v>
      </c>
      <c r="AP13" s="3282" t="s">
        <v>3086</v>
      </c>
      <c r="AQ13" s="3282" t="s">
        <v>2797</v>
      </c>
      <c r="AR13" s="3282" t="s">
        <v>2797</v>
      </c>
      <c r="AS13" s="3282" t="s">
        <v>2797</v>
      </c>
      <c r="AT13" s="3282" t="s">
        <v>3117</v>
      </c>
    </row>
    <row r="14" spans="1:46" s="3284" customFormat="1">
      <c r="A14" s="3284" t="s">
        <v>3211</v>
      </c>
      <c r="B14" s="3284" t="s">
        <v>1934</v>
      </c>
      <c r="C14" s="3284" t="s">
        <v>3068</v>
      </c>
      <c r="D14" s="3284" t="s">
        <v>3069</v>
      </c>
      <c r="E14" s="3284" t="s">
        <v>3119</v>
      </c>
      <c r="F14" s="3284" t="s">
        <v>3211</v>
      </c>
      <c r="G14" s="3284" t="s">
        <v>3072</v>
      </c>
      <c r="H14" s="3284" t="s">
        <v>3212</v>
      </c>
      <c r="I14" s="3284" t="s">
        <v>3074</v>
      </c>
      <c r="J14" s="3284">
        <v>53525.81</v>
      </c>
      <c r="K14" s="3284">
        <v>58878</v>
      </c>
      <c r="L14" s="3284">
        <v>1.1000000000000001</v>
      </c>
      <c r="M14" s="3284" t="s">
        <v>2797</v>
      </c>
      <c r="N14" s="3284" t="s">
        <v>3093</v>
      </c>
      <c r="O14" s="3284" t="s">
        <v>3213</v>
      </c>
      <c r="P14" s="3284" t="s">
        <v>2797</v>
      </c>
      <c r="Q14" s="3284" t="s">
        <v>2797</v>
      </c>
      <c r="R14" s="3284" t="s">
        <v>2797</v>
      </c>
      <c r="S14" s="3284" t="s">
        <v>2797</v>
      </c>
      <c r="T14" s="3284" t="s">
        <v>3077</v>
      </c>
      <c r="U14" s="3284" t="s">
        <v>3194</v>
      </c>
      <c r="V14" s="3284" t="s">
        <v>2797</v>
      </c>
      <c r="W14" s="3284" t="s">
        <v>3180</v>
      </c>
      <c r="X14" s="3284" t="s">
        <v>3214</v>
      </c>
      <c r="Y14" s="3284" t="s">
        <v>3215</v>
      </c>
      <c r="Z14" s="3284" t="s">
        <v>3216</v>
      </c>
      <c r="AA14" s="3284" t="s">
        <v>3216</v>
      </c>
      <c r="AB14" s="3284" t="s">
        <v>3212</v>
      </c>
      <c r="AC14" s="3284" t="s">
        <v>3083</v>
      </c>
      <c r="AD14" s="3284" t="s">
        <v>3217</v>
      </c>
      <c r="AE14" s="3284" t="s">
        <v>3218</v>
      </c>
      <c r="AF14" s="3284">
        <v>100000</v>
      </c>
      <c r="AG14" s="3284">
        <v>333100</v>
      </c>
      <c r="AH14" s="3284">
        <v>336500</v>
      </c>
      <c r="AI14" s="3284">
        <v>4148.78</v>
      </c>
      <c r="AJ14" s="3284">
        <v>4191.12</v>
      </c>
      <c r="AK14" s="3284">
        <v>56574.61</v>
      </c>
      <c r="AL14" s="3284">
        <v>57152.08</v>
      </c>
      <c r="AM14" s="3284" t="s">
        <v>2797</v>
      </c>
      <c r="AN14" s="3284" t="s">
        <v>2797</v>
      </c>
      <c r="AO14" s="3284">
        <v>1.02</v>
      </c>
      <c r="AP14" s="3284" t="s">
        <v>3086</v>
      </c>
      <c r="AQ14" s="3284" t="s">
        <v>2797</v>
      </c>
      <c r="AR14" s="3284" t="s">
        <v>2797</v>
      </c>
      <c r="AS14" s="3284" t="s">
        <v>2797</v>
      </c>
      <c r="AT14" s="3284" t="s">
        <v>3117</v>
      </c>
    </row>
    <row r="15" spans="1:46" s="3284" customFormat="1">
      <c r="A15" s="3284" t="s">
        <v>3219</v>
      </c>
      <c r="B15" s="3284" t="s">
        <v>1934</v>
      </c>
      <c r="C15" s="3284" t="s">
        <v>3068</v>
      </c>
      <c r="D15" s="3284" t="s">
        <v>3069</v>
      </c>
      <c r="E15" s="3284" t="s">
        <v>3119</v>
      </c>
      <c r="F15" s="3284" t="s">
        <v>3120</v>
      </c>
      <c r="G15" s="3284" t="s">
        <v>3072</v>
      </c>
      <c r="H15" s="3284" t="s">
        <v>3220</v>
      </c>
      <c r="I15" s="3284" t="s">
        <v>3074</v>
      </c>
      <c r="J15" s="3284">
        <v>90394.02</v>
      </c>
      <c r="K15" s="3284">
        <v>99433</v>
      </c>
      <c r="L15" s="3284">
        <v>1.1000000000000001</v>
      </c>
      <c r="M15" s="3284" t="s">
        <v>2797</v>
      </c>
      <c r="N15" s="3284" t="s">
        <v>3093</v>
      </c>
      <c r="O15" s="3284" t="s">
        <v>3221</v>
      </c>
      <c r="P15" s="3284" t="s">
        <v>2797</v>
      </c>
      <c r="Q15" s="3284" t="s">
        <v>2797</v>
      </c>
      <c r="R15" s="3284" t="s">
        <v>2797</v>
      </c>
      <c r="S15" s="3284" t="s">
        <v>2797</v>
      </c>
      <c r="T15" s="3284" t="s">
        <v>3077</v>
      </c>
      <c r="U15" s="3284" t="s">
        <v>3194</v>
      </c>
      <c r="V15" s="3284" t="s">
        <v>2797</v>
      </c>
      <c r="W15" s="3284" t="s">
        <v>3180</v>
      </c>
      <c r="X15" s="3284" t="s">
        <v>3222</v>
      </c>
      <c r="Y15" s="3284" t="s">
        <v>3223</v>
      </c>
      <c r="Z15" s="3284" t="s">
        <v>3224</v>
      </c>
      <c r="AA15" s="3284" t="s">
        <v>3224</v>
      </c>
      <c r="AB15" s="3284" t="s">
        <v>3220</v>
      </c>
      <c r="AC15" s="3284" t="s">
        <v>3083</v>
      </c>
      <c r="AD15" s="3284" t="s">
        <v>3225</v>
      </c>
      <c r="AE15" s="3284" t="s">
        <v>3226</v>
      </c>
      <c r="AF15" s="3284">
        <v>170000</v>
      </c>
      <c r="AG15" s="3284">
        <v>557900</v>
      </c>
      <c r="AH15" s="3284">
        <v>610000</v>
      </c>
      <c r="AI15" s="3284">
        <v>4114.58</v>
      </c>
      <c r="AJ15" s="3284">
        <v>4498.82</v>
      </c>
      <c r="AK15" s="3284">
        <v>56108.13</v>
      </c>
      <c r="AL15" s="3284">
        <v>61347.83</v>
      </c>
      <c r="AM15" s="3284" t="s">
        <v>2797</v>
      </c>
      <c r="AN15" s="3284" t="s">
        <v>2797</v>
      </c>
      <c r="AO15" s="3284">
        <v>9.34</v>
      </c>
      <c r="AP15" s="3284" t="s">
        <v>3086</v>
      </c>
      <c r="AQ15" s="3284" t="s">
        <v>2797</v>
      </c>
      <c r="AR15" s="3284" t="s">
        <v>2797</v>
      </c>
      <c r="AS15" s="3284" t="s">
        <v>2797</v>
      </c>
      <c r="AT15" s="3284" t="s">
        <v>3087</v>
      </c>
    </row>
    <row r="16" spans="1:46" s="3282" customFormat="1" hidden="1">
      <c r="A16" s="3282" t="s">
        <v>3227</v>
      </c>
      <c r="B16" s="3282" t="s">
        <v>1934</v>
      </c>
      <c r="C16" s="3282" t="s">
        <v>3068</v>
      </c>
      <c r="D16" s="3282" t="s">
        <v>3069</v>
      </c>
      <c r="E16" s="3282" t="s">
        <v>3201</v>
      </c>
      <c r="F16" s="3282" t="s">
        <v>3202</v>
      </c>
      <c r="G16" s="3282" t="s">
        <v>3072</v>
      </c>
      <c r="H16" s="3282" t="s">
        <v>3228</v>
      </c>
      <c r="I16" s="3282" t="s">
        <v>3074</v>
      </c>
      <c r="J16" s="3282">
        <v>35847.35</v>
      </c>
      <c r="K16" s="3282">
        <v>75279</v>
      </c>
      <c r="L16" s="3282">
        <v>2.1</v>
      </c>
      <c r="M16" s="3282" t="s">
        <v>2797</v>
      </c>
      <c r="N16" s="3282" t="s">
        <v>3093</v>
      </c>
      <c r="O16" s="3282" t="s">
        <v>3229</v>
      </c>
      <c r="P16" s="3282" t="s">
        <v>2797</v>
      </c>
      <c r="Q16" s="3282" t="s">
        <v>2797</v>
      </c>
      <c r="R16" s="3282" t="s">
        <v>2797</v>
      </c>
      <c r="S16" s="3282" t="s">
        <v>3205</v>
      </c>
      <c r="T16" s="3282" t="s">
        <v>3138</v>
      </c>
      <c r="U16" s="3282" t="s">
        <v>3138</v>
      </c>
      <c r="V16" s="3282" t="s">
        <v>2797</v>
      </c>
      <c r="W16" s="3282" t="s">
        <v>3180</v>
      </c>
      <c r="X16" s="3282" t="s">
        <v>3230</v>
      </c>
      <c r="Y16" s="3282" t="s">
        <v>3222</v>
      </c>
      <c r="Z16" s="3282" t="s">
        <v>3214</v>
      </c>
      <c r="AA16" s="3282" t="s">
        <v>3214</v>
      </c>
      <c r="AB16" s="3282" t="s">
        <v>3228</v>
      </c>
      <c r="AC16" s="3282" t="s">
        <v>3083</v>
      </c>
      <c r="AD16" s="3282" t="s">
        <v>3209</v>
      </c>
      <c r="AE16" s="3282" t="s">
        <v>3210</v>
      </c>
      <c r="AF16" s="3282">
        <v>51000</v>
      </c>
      <c r="AG16" s="3282">
        <v>170000</v>
      </c>
      <c r="AH16" s="3282">
        <v>186000</v>
      </c>
      <c r="AI16" s="3282">
        <v>3161.55</v>
      </c>
      <c r="AJ16" s="3282">
        <v>3459.11</v>
      </c>
      <c r="AK16" s="3282">
        <v>22582.65</v>
      </c>
      <c r="AL16" s="3282">
        <v>24708.09</v>
      </c>
      <c r="AM16" s="3282" t="s">
        <v>2797</v>
      </c>
      <c r="AN16" s="3282" t="s">
        <v>2797</v>
      </c>
      <c r="AO16" s="3282">
        <v>9.41</v>
      </c>
      <c r="AP16" s="3282" t="s">
        <v>3086</v>
      </c>
      <c r="AQ16" s="3282" t="s">
        <v>2797</v>
      </c>
      <c r="AR16" s="3282" t="s">
        <v>2797</v>
      </c>
      <c r="AS16" s="3282" t="s">
        <v>2797</v>
      </c>
      <c r="AT16" s="3282" t="s">
        <v>3087</v>
      </c>
    </row>
    <row r="27" spans="19:27">
      <c r="S27" s="3283">
        <f>ROUND((80660482.6-12099072.39)/10000*1.0305,0)</f>
        <v>7065</v>
      </c>
      <c r="AA27" s="3283">
        <f>80660482.6/57274.72</f>
        <v>1408.3086324996436</v>
      </c>
    </row>
    <row r="35" spans="6:12">
      <c r="F35" s="3283">
        <v>57274.720000000001</v>
      </c>
    </row>
    <row r="36" spans="6:12">
      <c r="F36" s="3283">
        <v>52792.22</v>
      </c>
    </row>
    <row r="37" spans="6:12">
      <c r="F37" s="3283">
        <v>32921.39</v>
      </c>
    </row>
    <row r="41" spans="6:12">
      <c r="K41" s="3283">
        <v>192479750.69999999</v>
      </c>
      <c r="L41" s="3283">
        <v>85759505.540000007</v>
      </c>
    </row>
    <row r="42" spans="6:12">
      <c r="L42" s="3283">
        <f>L41/10000</f>
        <v>8575.9505540000009</v>
      </c>
    </row>
    <row r="46" spans="6:12">
      <c r="L46" s="3283">
        <f ca="1">(L42+基准地价!E40)*1.0305</f>
        <v>72025.902953864992</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2027</v>
      </c>
      <c r="B1" s="3290"/>
      <c r="C1" s="3290"/>
      <c r="D1" s="3290"/>
      <c r="E1" s="3290"/>
      <c r="F1" s="3290"/>
      <c r="G1" s="3290"/>
      <c r="H1" s="3290"/>
      <c r="I1" s="3290"/>
      <c r="J1" s="3290"/>
      <c r="K1" s="3290"/>
      <c r="L1" s="3290"/>
      <c r="M1" s="3290"/>
      <c r="N1" s="3290"/>
      <c r="O1" s="3290"/>
      <c r="P1" s="3290"/>
      <c r="Q1" s="3290"/>
      <c r="R1" s="3290"/>
    </row>
    <row r="2" spans="1:18">
      <c r="A2" s="1722" t="s">
        <v>2029</v>
      </c>
      <c r="B2" s="1722"/>
      <c r="C2" s="1722"/>
      <c r="D2" s="1722"/>
      <c r="E2" s="1722"/>
      <c r="F2" s="1722"/>
      <c r="G2" s="1722"/>
      <c r="H2" s="1722"/>
      <c r="I2" s="1723"/>
      <c r="J2" s="1723"/>
      <c r="K2" s="1724" t="str">
        <f>"估价期日："&amp;TEXT(项目基本情况!D3,"yyyy年m月d日;;")</f>
        <v>估价期日：2021年3月10日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91" t="s">
        <v>2018</v>
      </c>
      <c r="B3" s="3291" t="s">
        <v>2711</v>
      </c>
      <c r="C3" s="3292" t="s">
        <v>2019</v>
      </c>
      <c r="D3" s="3291" t="s">
        <v>2715</v>
      </c>
      <c r="E3" s="3286" t="s">
        <v>2020</v>
      </c>
      <c r="F3" s="3286"/>
      <c r="G3" s="3286"/>
      <c r="H3" s="3286" t="s">
        <v>2021</v>
      </c>
      <c r="I3" s="3286"/>
      <c r="J3" s="3286"/>
      <c r="K3" s="3292" t="s">
        <v>2022</v>
      </c>
      <c r="L3" s="3292" t="s">
        <v>2023</v>
      </c>
      <c r="M3" s="3291" t="s">
        <v>2712</v>
      </c>
      <c r="N3" s="3293" t="str">
        <f>"（分摊）"&amp;项目基本情况!B16&amp;"国有建设用地使用权面积/㎡"</f>
        <v>（分摊）出让国有建设用地使用权面积/㎡</v>
      </c>
      <c r="O3" s="3291" t="s">
        <v>2052</v>
      </c>
      <c r="P3" s="3292" t="s">
        <v>2032</v>
      </c>
      <c r="Q3" s="3292" t="s">
        <v>2053</v>
      </c>
      <c r="R3" s="3292" t="s">
        <v>2024</v>
      </c>
    </row>
    <row r="4" spans="1:18" ht="36.75" customHeight="1">
      <c r="A4" s="3291"/>
      <c r="B4" s="3291"/>
      <c r="C4" s="3292"/>
      <c r="D4" s="3291"/>
      <c r="E4" s="2491" t="s">
        <v>2031</v>
      </c>
      <c r="F4" s="2491" t="s">
        <v>2724</v>
      </c>
      <c r="G4" s="2491" t="s">
        <v>2025</v>
      </c>
      <c r="H4" s="2491" t="s">
        <v>2026</v>
      </c>
      <c r="I4" s="2491" t="s">
        <v>2725</v>
      </c>
      <c r="J4" s="2491" t="s">
        <v>2025</v>
      </c>
      <c r="K4" s="3292"/>
      <c r="L4" s="3292"/>
      <c r="M4" s="3291"/>
      <c r="N4" s="3293"/>
      <c r="O4" s="3291"/>
      <c r="P4" s="3292"/>
      <c r="Q4" s="3292"/>
      <c r="R4" s="3292"/>
    </row>
    <row r="5" spans="1:18" ht="135" customHeight="1">
      <c r="A5" s="1857" t="s">
        <v>2635</v>
      </c>
      <c r="B5" s="2584" t="s">
        <v>2633</v>
      </c>
      <c r="C5" s="2490">
        <v>22</v>
      </c>
      <c r="D5" s="2489" t="s">
        <v>2634</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114571.08</v>
      </c>
      <c r="O5" s="1725">
        <f>项目基本情况!C21</f>
        <v>123065</v>
      </c>
      <c r="P5" s="1725">
        <f ca="1">结果表!E42</f>
        <v>39044</v>
      </c>
      <c r="Q5" s="1725">
        <f ca="1">结果表!D42</f>
        <v>36349</v>
      </c>
      <c r="R5" s="1726">
        <f ca="1">结果表!C42</f>
        <v>447332</v>
      </c>
    </row>
    <row r="6" spans="1:18">
      <c r="A6" s="3287" t="str">
        <f>IF(项目基本情况!B9="市场价格","——","抵押价格")</f>
        <v>抵押价格</v>
      </c>
      <c r="B6" s="3288"/>
      <c r="C6" s="3288"/>
      <c r="D6" s="3288"/>
      <c r="E6" s="3288"/>
      <c r="F6" s="3288"/>
      <c r="G6" s="3288"/>
      <c r="H6" s="3288"/>
      <c r="I6" s="3288"/>
      <c r="J6" s="3288"/>
      <c r="K6" s="3288"/>
      <c r="L6" s="3288"/>
      <c r="M6" s="3288"/>
      <c r="N6" s="3288"/>
      <c r="O6" s="3288"/>
      <c r="P6" s="3288"/>
      <c r="Q6" s="3289"/>
      <c r="R6" s="1727">
        <f ca="1">结果表!O39</f>
        <v>377079</v>
      </c>
    </row>
    <row r="7" spans="1:18">
      <c r="A7" s="3287" t="str">
        <f>IF(项目基本情况!B9="市场价格","——",IF(项目基本情况!E8="已注销及未注销","抵押担保权已注销时的抵押价格","——"))</f>
        <v>——</v>
      </c>
      <c r="B7" s="3288"/>
      <c r="C7" s="3288"/>
      <c r="D7" s="3288"/>
      <c r="E7" s="3288"/>
      <c r="F7" s="3288"/>
      <c r="G7" s="3288"/>
      <c r="H7" s="3288"/>
      <c r="I7" s="3288"/>
      <c r="J7" s="3288"/>
      <c r="K7" s="3288"/>
      <c r="L7" s="3288"/>
      <c r="M7" s="3288"/>
      <c r="N7" s="3288"/>
      <c r="O7" s="3288"/>
      <c r="P7" s="3288"/>
      <c r="Q7" s="3289"/>
      <c r="R7" s="1727" t="str">
        <f>结果表!O40</f>
        <v>——</v>
      </c>
    </row>
    <row r="8" spans="1:18">
      <c r="A8" s="3287" t="str">
        <f>IF(项目基本情况!B9="市场价格","——",项目基本情况!E9)</f>
        <v>——</v>
      </c>
      <c r="B8" s="3288"/>
      <c r="C8" s="3288"/>
      <c r="D8" s="3288"/>
      <c r="E8" s="3288"/>
      <c r="F8" s="3288"/>
      <c r="G8" s="3288"/>
      <c r="H8" s="3288"/>
      <c r="I8" s="3288"/>
      <c r="J8" s="3288"/>
      <c r="K8" s="3288"/>
      <c r="L8" s="3288"/>
      <c r="M8" s="3288"/>
      <c r="N8" s="3288"/>
      <c r="O8" s="3288"/>
      <c r="P8" s="3288"/>
      <c r="Q8" s="3289"/>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5" t="s">
        <v>2054</v>
      </c>
      <c r="B1" s="3295"/>
      <c r="C1" s="3295"/>
      <c r="D1" s="3295"/>
    </row>
    <row r="2" spans="1:4" ht="47.25" customHeight="1">
      <c r="A2" s="3296" t="str">
        <f>"1.权利限制："&amp;项目基本情况!L24&amp;"未设定租赁等其他他项权利。"</f>
        <v>1.权利限制：根据估价对象《不动产权证书》原件、《国有土地使用权》复印件，截至估价期日，估价对象抵押权未见登记。未设定租赁等其他他项权利。</v>
      </c>
      <c r="B2" s="3296"/>
      <c r="C2" s="3296"/>
      <c r="D2" s="3296"/>
    </row>
    <row r="3" spans="1:4" ht="48" customHeight="1">
      <c r="A3" s="32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5"/>
      <c r="C3" s="3295"/>
      <c r="D3" s="3295"/>
    </row>
    <row r="4" spans="1:4" ht="36.75" customHeight="1">
      <c r="A4" s="3295" t="str">
        <f>"3.估价规划限制条件：详见"&amp;项目基本情况!E21&amp;"。"</f>
        <v>3.估价规划限制条件：详见《建设工程规划许可证》[]、《出让合同》[]。</v>
      </c>
      <c r="B4" s="3295"/>
      <c r="C4" s="3295"/>
      <c r="D4" s="3295"/>
    </row>
    <row r="5" spans="1:4">
      <c r="A5" s="3294" t="s">
        <v>2055</v>
      </c>
      <c r="B5" s="3294"/>
      <c r="C5" s="3294"/>
      <c r="D5" s="3294"/>
    </row>
    <row r="6" spans="1:4">
      <c r="A6" s="3295" t="s">
        <v>2033</v>
      </c>
      <c r="B6" s="3295"/>
      <c r="C6" s="3295"/>
      <c r="D6" s="3295"/>
    </row>
    <row r="7" spans="1:4" ht="33" customHeight="1">
      <c r="A7" s="3295" t="s">
        <v>2555</v>
      </c>
      <c r="B7" s="3295"/>
      <c r="C7" s="3295"/>
      <c r="D7" s="3295"/>
    </row>
    <row r="8" spans="1:4" ht="32.25" customHeight="1">
      <c r="A8" s="32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5"/>
      <c r="C8" s="3295"/>
      <c r="D8" s="3295"/>
    </row>
    <row r="9" spans="1:4" ht="33.75" customHeight="1">
      <c r="A9" s="329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5"/>
      <c r="C9" s="3295"/>
      <c r="D9" s="3295"/>
    </row>
    <row r="10" spans="1:4">
      <c r="A10" s="3295" t="str">
        <f>IF(项目基本情况!B8="抵押","4.估价师所知悉的法定优先受偿款情况为：","——")</f>
        <v>4.估价师所知悉的法定优先受偿款情况为：</v>
      </c>
      <c r="B10" s="3295"/>
      <c r="C10" s="3295"/>
      <c r="D10" s="3295"/>
    </row>
    <row r="11" spans="1:4" ht="37.5" customHeight="1">
      <c r="A11" s="329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97"/>
      <c r="C11" s="3297"/>
      <c r="D11" s="3297"/>
    </row>
    <row r="12" spans="1:4" ht="168" customHeight="1">
      <c r="A12" s="3294" t="s">
        <v>2057</v>
      </c>
      <c r="B12" s="3294"/>
      <c r="C12" s="3294"/>
      <c r="D12" s="3294"/>
    </row>
    <row r="13" spans="1:4">
      <c r="A13" s="3298" t="s">
        <v>2726</v>
      </c>
      <c r="B13" s="3298"/>
      <c r="C13" s="3298"/>
      <c r="D13" s="3298"/>
    </row>
    <row r="14" spans="1:4">
      <c r="A14" s="3297" t="str">
        <f ca="1">IF(项目基本情况!B8="抵押","综上，"&amp;结果表!K47,"——")</f>
        <v>综上，本次评估估价师知悉的法定优先受偿款为人民币70253万元整。</v>
      </c>
      <c r="B14" s="3297"/>
      <c r="C14" s="3297"/>
      <c r="D14" s="3297"/>
    </row>
    <row r="15" spans="1:4" ht="58.5" customHeight="1">
      <c r="A15" s="32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5"/>
      <c r="C15" s="3295"/>
      <c r="D15" s="3295"/>
    </row>
    <row r="16" spans="1:4" ht="70.5" customHeight="1">
      <c r="A16" s="32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5"/>
      <c r="C16" s="3295"/>
      <c r="D16" s="3295"/>
    </row>
    <row r="17" spans="1:4">
      <c r="A17" s="3295" t="s">
        <v>2682</v>
      </c>
      <c r="B17" s="3295"/>
      <c r="C17" s="3295"/>
      <c r="D17" s="3295"/>
    </row>
    <row r="18" spans="1:4">
      <c r="A18" s="3295" t="s">
        <v>2674</v>
      </c>
      <c r="B18" s="3295"/>
      <c r="C18" s="3295"/>
      <c r="D18" s="3295"/>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295" t="s">
        <v>2679</v>
      </c>
      <c r="B23" s="3295"/>
      <c r="C23" s="3295"/>
      <c r="D23" s="3295"/>
    </row>
    <row r="24" spans="1:4">
      <c r="A24" s="2585" t="s">
        <v>2675</v>
      </c>
      <c r="B24" s="2585" t="s">
        <v>2680</v>
      </c>
      <c r="C24" s="2585" t="s">
        <v>2677</v>
      </c>
      <c r="D24" s="2585" t="s">
        <v>2678</v>
      </c>
    </row>
    <row r="25" spans="1:4">
      <c r="A25" s="2588" t="s">
        <v>2681</v>
      </c>
      <c r="B25" s="2585" t="s">
        <v>943</v>
      </c>
      <c r="C25" s="2587"/>
      <c r="D25" s="1715" t="s">
        <v>2684</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6" t="s">
        <v>53</v>
      </c>
      <c r="B15" s="3307" t="s">
        <v>838</v>
      </c>
      <c r="C15" s="3303"/>
    </row>
    <row r="16" spans="1:7" ht="14.25">
      <c r="A16" s="3306"/>
      <c r="B16" s="3304" t="s">
        <v>54</v>
      </c>
      <c r="C16" s="1155" t="s">
        <v>53</v>
      </c>
    </row>
    <row r="17" spans="1:3" ht="14.25">
      <c r="A17" s="3306"/>
      <c r="B17" s="3304"/>
      <c r="C17" s="1155" t="s">
        <v>55</v>
      </c>
    </row>
    <row r="18" spans="1:3" ht="14.25">
      <c r="A18" s="3306"/>
      <c r="B18" s="3304"/>
      <c r="C18" s="1155" t="s">
        <v>56</v>
      </c>
    </row>
    <row r="19" spans="1:3" ht="14.25">
      <c r="A19" s="3306"/>
      <c r="B19" s="3302" t="s">
        <v>57</v>
      </c>
      <c r="C19" s="3303"/>
    </row>
    <row r="20" spans="1:3" ht="14.25">
      <c r="A20" s="1156" t="s">
        <v>58</v>
      </c>
      <c r="B20" s="1157"/>
      <c r="C20" s="1158"/>
    </row>
    <row r="21" spans="1:3" ht="14.25">
      <c r="A21" s="3305" t="s">
        <v>59</v>
      </c>
      <c r="B21" s="3302" t="s">
        <v>60</v>
      </c>
      <c r="C21" s="3303"/>
    </row>
    <row r="22" spans="1:3" ht="14.25">
      <c r="A22" s="3305"/>
      <c r="B22" s="3302" t="s">
        <v>61</v>
      </c>
      <c r="C22" s="3303"/>
    </row>
    <row r="23" spans="1:3" ht="14.25">
      <c r="A23" s="3305"/>
      <c r="B23" s="3302" t="s">
        <v>62</v>
      </c>
      <c r="C23" s="3303"/>
    </row>
    <row r="24" spans="1:3" ht="14.25">
      <c r="A24" s="3305"/>
      <c r="B24" s="3308" t="s">
        <v>63</v>
      </c>
      <c r="C24" s="1159" t="s">
        <v>829</v>
      </c>
    </row>
    <row r="25" spans="1:3" ht="14.25">
      <c r="A25" s="3305"/>
      <c r="B25" s="3309"/>
      <c r="C25" s="1159" t="s">
        <v>830</v>
      </c>
    </row>
    <row r="26" spans="1:3" ht="14.25">
      <c r="A26" s="3305"/>
      <c r="B26" s="3309"/>
      <c r="C26" s="1159" t="s">
        <v>831</v>
      </c>
    </row>
    <row r="27" spans="1:3" ht="14.25">
      <c r="A27" s="3305"/>
      <c r="B27" s="3309"/>
      <c r="C27" s="1159" t="s">
        <v>832</v>
      </c>
    </row>
    <row r="28" spans="1:3" ht="14.25">
      <c r="A28" s="3305"/>
      <c r="B28" s="3309"/>
      <c r="C28" s="1159" t="s">
        <v>833</v>
      </c>
    </row>
    <row r="29" spans="1:3" ht="14.25">
      <c r="A29" s="3305"/>
      <c r="B29" s="3309"/>
      <c r="C29" s="1159" t="s">
        <v>834</v>
      </c>
    </row>
    <row r="30" spans="1:3" ht="14.25">
      <c r="A30" s="3305"/>
      <c r="B30" s="3309"/>
      <c r="C30" s="1159" t="s">
        <v>835</v>
      </c>
    </row>
    <row r="31" spans="1:3" ht="14.25">
      <c r="A31" s="3305"/>
      <c r="B31" s="3309"/>
      <c r="C31" s="1159" t="s">
        <v>836</v>
      </c>
    </row>
    <row r="32" spans="1:3" ht="14.25">
      <c r="A32" s="3305"/>
      <c r="B32" s="3309"/>
      <c r="C32" s="1159" t="s">
        <v>1637</v>
      </c>
    </row>
    <row r="33" spans="1:3" ht="14.25">
      <c r="A33" s="3305"/>
      <c r="B33" s="3299" t="s">
        <v>1643</v>
      </c>
      <c r="C33" s="1159" t="s">
        <v>1638</v>
      </c>
    </row>
    <row r="34" spans="1:3" ht="14.25">
      <c r="A34" s="3305"/>
      <c r="B34" s="3300"/>
      <c r="C34" s="1164" t="s">
        <v>1639</v>
      </c>
    </row>
    <row r="35" spans="1:3" ht="14.25">
      <c r="A35" s="3305"/>
      <c r="B35" s="3300"/>
      <c r="C35" s="1165" t="s">
        <v>1640</v>
      </c>
    </row>
    <row r="36" spans="1:3" ht="14.25">
      <c r="A36" s="3305"/>
      <c r="B36" s="3300"/>
      <c r="C36" s="1165" t="s">
        <v>1641</v>
      </c>
    </row>
    <row r="37" spans="1:3" ht="14.25">
      <c r="A37" s="3305"/>
      <c r="B37" s="330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44265</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2960</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3" t="s">
        <v>1915</v>
      </c>
      <c r="B17" s="3314"/>
      <c r="C17" s="3314"/>
      <c r="D17" s="3314"/>
      <c r="E17" s="3314"/>
      <c r="F17" s="3314"/>
      <c r="G17" s="3034"/>
    </row>
    <row r="18" spans="1:7" ht="20.25" customHeight="1">
      <c r="A18" s="3310" t="s">
        <v>1916</v>
      </c>
      <c r="B18" s="3310"/>
      <c r="C18" s="3311"/>
      <c r="D18" s="3312" t="s">
        <v>1917</v>
      </c>
      <c r="E18" s="3310"/>
      <c r="F18" s="331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2959</v>
      </c>
      <c r="F21" s="3038">
        <v>44012</v>
      </c>
      <c r="G21" s="3026"/>
    </row>
    <row r="22" spans="1:7" ht="20.25" customHeight="1">
      <c r="A22" s="3025"/>
      <c r="B22" s="3025"/>
      <c r="C22" s="3039"/>
      <c r="D22" s="3047"/>
      <c r="E22" s="3048"/>
      <c r="F22" s="3040" t="s">
        <v>2973</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8" sqref="A28"/>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2"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1"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2921</v>
      </c>
      <c r="C18" s="1492"/>
    </row>
    <row r="19" spans="1:3">
      <c r="A19" s="8" t="s">
        <v>120</v>
      </c>
      <c r="B19" s="2792" t="s">
        <v>2928</v>
      </c>
      <c r="C19" s="1492"/>
    </row>
    <row r="20" spans="1:3">
      <c r="A20" s="8" t="s">
        <v>121</v>
      </c>
      <c r="B20" s="2792" t="s">
        <v>2974</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2792" t="s">
        <v>3011</v>
      </c>
      <c r="B27" s="8" t="s">
        <v>1632</v>
      </c>
      <c r="C27" s="1492"/>
    </row>
    <row r="28" spans="1:3">
      <c r="A28" s="2792" t="s">
        <v>3013</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5"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10日，在规划利用条件下、设定土地开发程度为红线外“七通”、宗地内场地，设定用途为，剩余土地使用年限为的出让国有建设用地使用权价格。</v>
      </c>
      <c r="D53" s="1685"/>
      <c r="E53" s="1685"/>
    </row>
    <row r="54" spans="1:5">
      <c r="A54" s="3315"/>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5"/>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5"/>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5"/>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2021-03-10T05:58:15Z</dcterms:modified>
</cp:coreProperties>
</file>