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5685" yWindow="0" windowWidth="6315" windowHeight="4845" tabRatio="875" firstSheet="13" activeTab="3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住宅、综合 (2)" sheetId="68" state="hidden" r:id="rId20"/>
    <sheet name="土地案例" sheetId="69" state="hidden" r:id="rId21"/>
    <sheet name="土地案例（海安高新）" sheetId="70" r:id="rId22"/>
    <sheet name="土地案例（海安）" sheetId="72" r:id="rId23"/>
    <sheet name="案例位置" sheetId="73" r:id="rId24"/>
    <sheet name="剩余法-待开发" sheetId="12" r:id="rId25"/>
    <sheet name="比较法-工业" sheetId="40" state="hidden" r:id="rId26"/>
    <sheet name="基准地价" sheetId="46" state="hidden" r:id="rId27"/>
    <sheet name="修正" sheetId="49" state="hidden" r:id="rId28"/>
    <sheet name="区片价" sheetId="48"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酒店收入计算" sheetId="57" state="hidden" r:id="rId35"/>
    <sheet name="成本逼近法" sheetId="11" state="hidden" r:id="rId36"/>
    <sheet name="不动产比较法-住宅" sheetId="21"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不动产收益法" sheetId="15" r:id="rId45"/>
  </sheets>
  <externalReferences>
    <externalReference r:id="rId46"/>
    <externalReference r:id="rId47"/>
  </externalReferences>
  <definedNames>
    <definedName name="_xlnm._FilterDatabase" localSheetId="25" hidden="1">'比较法-工业'!$A$1:$L$45</definedName>
    <definedName name="_xlnm._FilterDatabase" localSheetId="18" hidden="1">'比较法-住宅、综合'!$A$1:$L$50</definedName>
    <definedName name="_xlnm._FilterDatabase" localSheetId="19" hidden="1">'比较法-住宅、综合 (2)'!$A$1:$L$50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3">'不动产比较法-办公'!$B$119:$M$119</definedName>
    <definedName name="办公层高" localSheetId="19">'[1]不动产比较法-办公'!$B$119:$M$119</definedName>
    <definedName name="办公层高" localSheetId="20">'[1]不动产比较法-办公'!$B$119:$M$119</definedName>
    <definedName name="办公层高" localSheetId="22">'不动产比较法-办公'!$B$119:$M$119</definedName>
    <definedName name="办公层高">'不动产比较法-办公'!$B$119:$M$119</definedName>
    <definedName name="办公朝向" localSheetId="23">'不动产比较法-办公'!$B$91:$M$91</definedName>
    <definedName name="办公朝向" localSheetId="19">'[1]不动产比较法-办公'!$B$91:$M$91</definedName>
    <definedName name="办公朝向" localSheetId="20">'[1]不动产比较法-办公'!$B$91:$M$91</definedName>
    <definedName name="办公朝向" localSheetId="22">'不动产比较法-办公'!$B$91:$M$91</definedName>
    <definedName name="办公朝向">'不动产比较法-办公'!$B$91:$M$91</definedName>
    <definedName name="办公道路级别" localSheetId="23">'不动产比较法-办公'!$B$87:$M$87</definedName>
    <definedName name="办公道路级别" localSheetId="19">'[1]不动产比较法-办公'!$B$87:$M$87</definedName>
    <definedName name="办公道路级别" localSheetId="20">'[1]不动产比较法-办公'!$B$87:$M$87</definedName>
    <definedName name="办公道路级别" localSheetId="22">'不动产比较法-办公'!$B$87:$M$87</definedName>
    <definedName name="办公道路级别">'不动产比较法-办公'!$B$87:$M$87</definedName>
    <definedName name="办公公共部分装修" localSheetId="23">'不动产比较法-办公'!$B$108:$M$108</definedName>
    <definedName name="办公公共部分装修" localSheetId="19">'[1]不动产比较法-办公'!$B$108:$M$108</definedName>
    <definedName name="办公公共部分装修" localSheetId="20">'[1]不动产比较法-办公'!$B$108:$M$108</definedName>
    <definedName name="办公公共部分装修" localSheetId="22">'不动产比较法-办公'!$B$108:$M$108</definedName>
    <definedName name="办公公共部分装修">'不动产比较法-办公'!$B$108:$M$108</definedName>
    <definedName name="办公基础设施水平" localSheetId="23">'不动产比较法-办公'!$B$117:$M$117</definedName>
    <definedName name="办公基础设施水平" localSheetId="19">'[1]不动产比较法-办公'!$B$117:$M$117</definedName>
    <definedName name="办公基础设施水平" localSheetId="20">'[1]不动产比较法-办公'!$B$117:$M$117</definedName>
    <definedName name="办公基础设施水平" localSheetId="22">'不动产比较法-办公'!$B$117:$M$117</definedName>
    <definedName name="办公基础设施水平">'不动产比较法-办公'!$B$117:$M$117</definedName>
    <definedName name="办公集聚程度" localSheetId="23">定义!$M$1:$M$6</definedName>
    <definedName name="办公集聚程度" localSheetId="19">[1]定义!$M$1:$M$6</definedName>
    <definedName name="办公集聚程度" localSheetId="20">[1]定义!$M$1:$M$6</definedName>
    <definedName name="办公集聚程度" localSheetId="22">定义!$M$1:$M$6</definedName>
    <definedName name="办公集聚程度">定义!$M$1:$M$6</definedName>
    <definedName name="办公建筑结构" localSheetId="23">'不动产比较法-办公'!$B$106:$M$106</definedName>
    <definedName name="办公建筑结构" localSheetId="19">'[1]不动产比较法-办公'!$B$106:$M$106</definedName>
    <definedName name="办公建筑结构" localSheetId="20">'[1]不动产比较法-办公'!$B$106:$M$106</definedName>
    <definedName name="办公建筑结构" localSheetId="22">'不动产比较法-办公'!$B$106:$M$106</definedName>
    <definedName name="办公建筑结构">'不动产比较法-办公'!$B$106:$M$106</definedName>
    <definedName name="办公建筑类型" localSheetId="23">'不动产比较法-办公'!$B$101:$M$101</definedName>
    <definedName name="办公建筑类型" localSheetId="19">'[1]不动产比较法-办公'!$B$101:$M$101</definedName>
    <definedName name="办公建筑类型" localSheetId="20">'[1]不动产比较法-办公'!$B$101:$M$101</definedName>
    <definedName name="办公建筑类型" localSheetId="22">'不动产比较法-办公'!$B$101:$M$101</definedName>
    <definedName name="办公建筑类型">'不动产比较法-办公'!$B$101:$M$101</definedName>
    <definedName name="办公交易情况" localSheetId="23">'不动产比较法-办公'!$A$62:$M$62</definedName>
    <definedName name="办公交易情况" localSheetId="19">'[1]不动产比较法-办公'!$A$62:$M$62</definedName>
    <definedName name="办公交易情况" localSheetId="20">'[1]不动产比较法-办公'!$A$62:$M$62</definedName>
    <definedName name="办公交易情况" localSheetId="22">'不动产比较法-办公'!$A$62:$M$62</definedName>
    <definedName name="办公交易情况">'不动产比较法-办公'!$A$62:$M$62</definedName>
    <definedName name="办公楼层" localSheetId="23">'不动产比较法-办公'!$B$89:$M$89</definedName>
    <definedName name="办公楼层" localSheetId="19">'[1]不动产比较法-办公'!$B$89:$M$89</definedName>
    <definedName name="办公楼层" localSheetId="20">'[1]不动产比较法-办公'!$B$89:$M$89</definedName>
    <definedName name="办公楼层" localSheetId="22">'不动产比较法-办公'!$B$89:$M$89</definedName>
    <definedName name="办公楼层">'不动产比较法-办公'!$B$89:$M$89</definedName>
    <definedName name="办公内部装修" localSheetId="23">'不动产比较法-办公'!$B$123:$M$123</definedName>
    <definedName name="办公内部装修" localSheetId="19">'[1]不动产比较法-办公'!$B$123:$M$123</definedName>
    <definedName name="办公内部装修" localSheetId="20">'[1]不动产比较法-办公'!$B$123:$M$123</definedName>
    <definedName name="办公内部装修" localSheetId="22">'不动产比较法-办公'!$B$123:$M$123</definedName>
    <definedName name="办公内部装修">'不动产比较法-办公'!$B$123:$M$123</definedName>
    <definedName name="办公物业管理" localSheetId="23">'不动产比较法-办公'!$B$115:$M$115</definedName>
    <definedName name="办公物业管理" localSheetId="19">'[1]不动产比较法-办公'!$B$115:$M$115</definedName>
    <definedName name="办公物业管理" localSheetId="20">'[1]不动产比较法-办公'!$B$115:$M$115</definedName>
    <definedName name="办公物业管理" localSheetId="22">'不动产比较法-办公'!$B$115:$M$115</definedName>
    <definedName name="办公物业管理">'不动产比较法-办公'!$B$115:$M$115</definedName>
    <definedName name="办公用途" localSheetId="23">'不动产比较法-办公'!$B$64:$M$64</definedName>
    <definedName name="办公用途" localSheetId="19">'[1]不动产比较法-办公'!$B$64:$M$64</definedName>
    <definedName name="办公用途" localSheetId="20">'[1]不动产比较法-办公'!$B$64:$M$64</definedName>
    <definedName name="办公用途" localSheetId="22">'不动产比较法-办公'!$B$64:$M$64</definedName>
    <definedName name="办公用途">'不动产比较法-办公'!$B$64:$M$64</definedName>
    <definedName name="仓储公共部分装修" localSheetId="23">'不动产比较法-仓储'!$B$77:$M$77</definedName>
    <definedName name="仓储公共部分装修" localSheetId="19">'[1]不动产比较法-仓储'!$B$77:$M$77</definedName>
    <definedName name="仓储公共部分装修" localSheetId="20">'[1]不动产比较法-仓储'!$B$77:$M$77</definedName>
    <definedName name="仓储公共部分装修" localSheetId="22">'不动产比较法-仓储'!$B$77:$M$77</definedName>
    <definedName name="仓储公共部分装修">'不动产比较法-仓储'!$B$77:$M$77</definedName>
    <definedName name="仓储交易情况" localSheetId="23">'不动产比较法-仓储'!$A$49:$M$49</definedName>
    <definedName name="仓储交易情况" localSheetId="19">'[1]不动产比较法-仓储'!$A$49:$M$49</definedName>
    <definedName name="仓储交易情况" localSheetId="20">'[1]不动产比较法-仓储'!$A$49:$M$49</definedName>
    <definedName name="仓储交易情况" localSheetId="22">'不动产比较法-仓储'!$A$49:$M$49</definedName>
    <definedName name="仓储交易情况">'不动产比较法-仓储'!$A$49:$M$49</definedName>
    <definedName name="仓储楼层" localSheetId="23">'不动产比较法-仓储'!$B$69:$M$69</definedName>
    <definedName name="仓储楼层" localSheetId="19">'[1]不动产比较法-仓储'!$B$69:$M$69</definedName>
    <definedName name="仓储楼层" localSheetId="20">'[1]不动产比较法-仓储'!$B$69:$M$69</definedName>
    <definedName name="仓储楼层" localSheetId="22">'不动产比较法-仓储'!$B$69:$M$69</definedName>
    <definedName name="仓储楼层">'不动产比较法-仓储'!$B$69:$M$69</definedName>
    <definedName name="仓储物业等级" localSheetId="23">'不动产比较法-仓储'!$B$82:$M$82</definedName>
    <definedName name="仓储物业等级" localSheetId="19">'[1]不动产比较法-仓储'!$B$82:$M$82</definedName>
    <definedName name="仓储物业等级" localSheetId="20">'[1]不动产比较法-仓储'!$B$82:$M$82</definedName>
    <definedName name="仓储物业等级" localSheetId="22">'不动产比较法-仓储'!$B$82:$M$82</definedName>
    <definedName name="仓储物业等级">'不动产比较法-仓储'!$B$82:$M$82</definedName>
    <definedName name="仓储用途" localSheetId="23">'不动产比较法-仓储'!$B$51:$M$51</definedName>
    <definedName name="仓储用途" localSheetId="19">'[1]不动产比较法-仓储'!$B$51:$M$51</definedName>
    <definedName name="仓储用途" localSheetId="20">'[1]不动产比较法-仓储'!$B$51:$M$51</definedName>
    <definedName name="仓储用途" localSheetId="22">'不动产比较法-仓储'!$B$51:$M$51</definedName>
    <definedName name="仓储用途">'不动产比较法-仓储'!$B$51:$M$51</definedName>
    <definedName name="产业集聚程度" localSheetId="23">定义!$N$1:$N$6</definedName>
    <definedName name="产业集聚程度" localSheetId="19">[1]定义!$N$1:$N$6</definedName>
    <definedName name="产业集聚程度" localSheetId="20">[1]定义!$N$1:$N$6</definedName>
    <definedName name="产业集聚程度" localSheetId="22">定义!$N$1:$N$6</definedName>
    <definedName name="产业集聚程度">定义!$N$1:$N$6</definedName>
    <definedName name="车位公共部分装修" localSheetId="23">'不动产比较法-车位'!$B$83:$M$83</definedName>
    <definedName name="车位公共部分装修" localSheetId="19">'[1]不动产比较法-车位'!$B$83:$M$83</definedName>
    <definedName name="车位公共部分装修" localSheetId="20">'[1]不动产比较法-车位'!$B$83:$M$83</definedName>
    <definedName name="车位公共部分装修" localSheetId="22">'不动产比较法-车位'!$B$83:$M$83</definedName>
    <definedName name="车位公共部分装修">'不动产比较法-车位'!$B$83:$M$83</definedName>
    <definedName name="车位交易情况" localSheetId="23">'不动产比较法-车位'!$A$51:$M$51</definedName>
    <definedName name="车位交易情况" localSheetId="19">'[1]不动产比较法-车位'!$A$51:$M$51</definedName>
    <definedName name="车位交易情况" localSheetId="20">'[1]不动产比较法-车位'!$A$51:$M$51</definedName>
    <definedName name="车位交易情况" localSheetId="22">'不动产比较法-车位'!$A$51:$M$51</definedName>
    <definedName name="车位交易情况">'不动产比较法-车位'!$A$51:$M$51</definedName>
    <definedName name="车位类型" localSheetId="23">'不动产比较法-车位'!$B$93:$M$93</definedName>
    <definedName name="车位类型" localSheetId="19">'[1]不动产比较法-车位'!$B$93:$M$93</definedName>
    <definedName name="车位类型" localSheetId="20">'[1]不动产比较法-车位'!$B$93:$M$93</definedName>
    <definedName name="车位类型" localSheetId="22">'不动产比较法-车位'!$B$93:$M$93</definedName>
    <definedName name="车位类型">'不动产比较法-车位'!$B$93:$M$93</definedName>
    <definedName name="车位楼层" localSheetId="23">'不动产比较法-车位'!$B$71:$M$71</definedName>
    <definedName name="车位楼层" localSheetId="19">'[1]不动产比较法-车位'!$B$71:$M$71</definedName>
    <definedName name="车位楼层" localSheetId="20">'[1]不动产比较法-车位'!$B$71:$M$71</definedName>
    <definedName name="车位楼层" localSheetId="22">'不动产比较法-车位'!$B$71:$M$71</definedName>
    <definedName name="车位楼层">'不动产比较法-车位'!$B$71:$M$71</definedName>
    <definedName name="车位配套类型" localSheetId="23">'不动产比较法-车位'!$B$79:$M$79</definedName>
    <definedName name="车位配套类型" localSheetId="19">'[1]不动产比较法-车位'!$B$79:$M$79</definedName>
    <definedName name="车位配套类型" localSheetId="20">'[1]不动产比较法-车位'!$B$79:$M$79</definedName>
    <definedName name="车位配套类型" localSheetId="22">'不动产比较法-车位'!$B$79:$M$79</definedName>
    <definedName name="车位配套类型">'不动产比较法-车位'!$B$79:$M$79</definedName>
    <definedName name="车位物业等级" localSheetId="23">'不动产比较法-车位'!$B$88:$M$88</definedName>
    <definedName name="车位物业等级" localSheetId="19">'[1]不动产比较法-车位'!$B$88:$M$88</definedName>
    <definedName name="车位物业等级" localSheetId="20">'[1]不动产比较法-车位'!$B$88:$M$88</definedName>
    <definedName name="车位物业等级" localSheetId="22">'不动产比较法-车位'!$B$88:$M$88</definedName>
    <definedName name="车位物业等级">'不动产比较法-车位'!$B$88:$M$88</definedName>
    <definedName name="车位用途" localSheetId="23">'不动产比较法-车位'!$B$53:$M$53</definedName>
    <definedName name="车位用途" localSheetId="19">'[1]不动产比较法-车位'!$B$53:$M$53</definedName>
    <definedName name="车位用途" localSheetId="20">'[1]不动产比较法-车位'!$B$53:$M$53</definedName>
    <definedName name="车位用途" localSheetId="22">'不动产比较法-车位'!$B$53:$M$53</definedName>
    <definedName name="车位用途">'不动产比较法-车位'!$B$53:$M$53</definedName>
    <definedName name="城镇土地纳税等级分级范围" localSheetId="23">'数据-取费表'!$A$53:$A$63</definedName>
    <definedName name="城镇土地纳税等级分级范围" localSheetId="19">'[1]数据-取费表'!$A$53:$A$63</definedName>
    <definedName name="城镇土地纳税等级分级范围" localSheetId="20">'[1]数据-取费表'!$A$53:$A$63</definedName>
    <definedName name="城镇土地纳税等级分级范围" localSheetId="22">'数据-取费表'!$A$53:$A$63</definedName>
    <definedName name="城镇土地纳税等级分级范围">'数据-取费表'!$A$53:$A$63</definedName>
    <definedName name="单价内涵" localSheetId="23">定义!$V$1:$V$3</definedName>
    <definedName name="单价内涵" localSheetId="19">[1]定义!$V$1:$V$3</definedName>
    <definedName name="单价内涵" localSheetId="20">[1]定义!$V$1:$V$3</definedName>
    <definedName name="单价内涵" localSheetId="22">定义!$V$1:$V$3</definedName>
    <definedName name="单价内涵">定义!$V$1:$V$3</definedName>
    <definedName name="地类判定" localSheetId="23">定义!$H$1:$H$9</definedName>
    <definedName name="地类判定" localSheetId="19">[1]定义!$H$1:$H$9</definedName>
    <definedName name="地类判定" localSheetId="20">[1]定义!$H$1:$H$9</definedName>
    <definedName name="地类判定" localSheetId="22">定义!$H$1:$H$9</definedName>
    <definedName name="地类判定">定义!$H$1:$H$9</definedName>
    <definedName name="二级">区片价!$J$1:$J$20</definedName>
    <definedName name="二级分类" localSheetId="23">修正!$C$17:$C$39</definedName>
    <definedName name="二级分类" localSheetId="19">[1]修正!$C$17:$C$39</definedName>
    <definedName name="二级分类" localSheetId="20">[1]修正!$C$17:$C$39</definedName>
    <definedName name="二级分类" localSheetId="22">修正!$C$17:$C$39</definedName>
    <definedName name="二级分类">修正!$C$17:$C$39</definedName>
    <definedName name="法定最高年限" localSheetId="23">定义!$G$2:$G$4</definedName>
    <definedName name="法定最高年限" localSheetId="19">[1]定义!$G$2:$G$4</definedName>
    <definedName name="法定最高年限" localSheetId="20">[1]定义!$G$2:$G$4</definedName>
    <definedName name="法定最高年限" localSheetId="22">定义!$G$2:$G$4</definedName>
    <definedName name="法定最高年限">定义!$G$2:$G$4</definedName>
    <definedName name="工业公共部分装修" localSheetId="23">'不动产比较法-工业'!$B$95:$M$95</definedName>
    <definedName name="工业公共部分装修" localSheetId="19">'[1]不动产比较法-工业'!$B$95:$M$95</definedName>
    <definedName name="工业公共部分装修" localSheetId="20">'[1]不动产比较法-工业'!$B$95:$M$95</definedName>
    <definedName name="工业公共部分装修" localSheetId="22">'不动产比较法-工业'!$B$95:$M$95</definedName>
    <definedName name="工业公共部分装修">'不动产比较法-工业'!$B$95:$M$95</definedName>
    <definedName name="工业基础设施水平" localSheetId="23">'不动产比较法-工业'!$B$102:$M$102</definedName>
    <definedName name="工业基础设施水平" localSheetId="19">'[1]不动产比较法-工业'!$B$102:$M$102</definedName>
    <definedName name="工业基础设施水平" localSheetId="20">'[1]不动产比较法-工业'!$B$102:$M$102</definedName>
    <definedName name="工业基础设施水平" localSheetId="22">'不动产比较法-工业'!$B$102:$M$102</definedName>
    <definedName name="工业基础设施水平">'不动产比较法-工业'!$B$102:$M$102</definedName>
    <definedName name="工业建筑结构" localSheetId="23">'不动产比较法-工业'!$B$93:$M$93</definedName>
    <definedName name="工业建筑结构" localSheetId="19">'[1]不动产比较法-工业'!$B$93:$M$93</definedName>
    <definedName name="工业建筑结构" localSheetId="20">'[1]不动产比较法-工业'!$B$93:$M$93</definedName>
    <definedName name="工业建筑结构" localSheetId="22">'不动产比较法-工业'!$B$93:$M$93</definedName>
    <definedName name="工业建筑结构">'不动产比较法-工业'!$B$93:$M$93</definedName>
    <definedName name="工业建筑类型" localSheetId="23">'不动产比较法-工业'!$B$88:$M$88</definedName>
    <definedName name="工业建筑类型" localSheetId="19">'[1]不动产比较法-工业'!$B$88:$M$88</definedName>
    <definedName name="工业建筑类型" localSheetId="20">'[1]不动产比较法-工业'!$B$88:$M$88</definedName>
    <definedName name="工业建筑类型" localSheetId="22">'不动产比较法-工业'!$B$88:$M$88</definedName>
    <definedName name="工业建筑类型">'不动产比较法-工业'!$B$88:$M$88</definedName>
    <definedName name="工业交易情况" localSheetId="23">'不动产比较法-工业'!$A$55:$M$55</definedName>
    <definedName name="工业交易情况" localSheetId="19">'[1]不动产比较法-工业'!$A$55:$M$55</definedName>
    <definedName name="工业交易情况" localSheetId="20">'[1]不动产比较法-工业'!$A$55:$M$55</definedName>
    <definedName name="工业交易情况" localSheetId="22">'不动产比较法-工业'!$A$55:$M$55</definedName>
    <definedName name="工业交易情况">'不动产比较法-工业'!$A$55:$M$55</definedName>
    <definedName name="工业内部装修" localSheetId="23">'不动产比较法-工业'!$B$104:$M$104</definedName>
    <definedName name="工业内部装修" localSheetId="19">'[1]不动产比较法-工业'!$B$104:$M$104</definedName>
    <definedName name="工业内部装修" localSheetId="20">'[1]不动产比较法-工业'!$B$104:$M$104</definedName>
    <definedName name="工业内部装修" localSheetId="22">'不动产比较法-工业'!$B$104:$M$104</definedName>
    <definedName name="工业内部装修">'不动产比较法-工业'!$B$104:$M$104</definedName>
    <definedName name="工业物业管理" localSheetId="23">'不动产比较法-工业'!$B$100:$M$100</definedName>
    <definedName name="工业物业管理" localSheetId="19">'[1]不动产比较法-工业'!$B$100:$M$100</definedName>
    <definedName name="工业物业管理" localSheetId="20">'[1]不动产比较法-工业'!$B$100:$M$100</definedName>
    <definedName name="工业物业管理" localSheetId="22">'不动产比较法-工业'!$B$100:$M$100</definedName>
    <definedName name="工业物业管理">'不动产比较法-工业'!$B$100:$M$100</definedName>
    <definedName name="工业用途" localSheetId="23">'不动产比较法-工业'!$B$57:$M$57</definedName>
    <definedName name="工业用途" localSheetId="19">'[1]不动产比较法-工业'!$B$57:$M$57</definedName>
    <definedName name="工业用途" localSheetId="20">'[1]不动产比较法-工业'!$B$57:$M$57</definedName>
    <definedName name="工业用途" localSheetId="22">'不动产比较法-工业'!$B$57:$M$57</definedName>
    <definedName name="工业用途">'不动产比较法-工业'!$B$57:$M$57</definedName>
    <definedName name="公共配套设施" localSheetId="23">定义!$Q$1:$Q$6</definedName>
    <definedName name="公共配套设施" localSheetId="19">[1]定义!$Q$1:$Q$6</definedName>
    <definedName name="公共配套设施" localSheetId="20">[1]定义!$Q$1:$Q$6</definedName>
    <definedName name="公共配套设施" localSheetId="22">定义!$Q$1:$Q$6</definedName>
    <definedName name="公共配套设施">定义!$Q$1:$Q$6</definedName>
    <definedName name="估价方法" localSheetId="23">定义!$B$1:$B$50</definedName>
    <definedName name="估价方法" localSheetId="19">[1]定义!$B$1:$B$50</definedName>
    <definedName name="估价方法" localSheetId="20">[1]定义!$B$1:$B$50</definedName>
    <definedName name="估价方法" localSheetId="22">定义!$B$1:$B$50</definedName>
    <definedName name="估价方法">定义!$B$1:$B$50</definedName>
    <definedName name="环境" localSheetId="23">定义!$S$1:$S$6</definedName>
    <definedName name="环境" localSheetId="19">[1]定义!$S$1:$S$6</definedName>
    <definedName name="环境" localSheetId="20">[1]定义!$S$1:$S$6</definedName>
    <definedName name="环境" localSheetId="22">定义!$S$1:$S$6</definedName>
    <definedName name="环境">定义!$S$1:$S$6</definedName>
    <definedName name="基础设施水平" localSheetId="23">定义!$R$1:$R$6</definedName>
    <definedName name="基础设施水平" localSheetId="19">[1]定义!$R$1:$R$6</definedName>
    <definedName name="基础设施水平" localSheetId="20">[1]定义!$R$1:$R$6</definedName>
    <definedName name="基础设施水平" localSheetId="22">定义!$R$1:$R$6</definedName>
    <definedName name="基础设施水平">定义!$R$1:$R$6</definedName>
    <definedName name="季度">基准地价!$N$19:$AG$19</definedName>
    <definedName name="季度2014">地价!$A$2:$A$22</definedName>
    <definedName name="价值类型2" localSheetId="23">定义!$B$54:$B$56</definedName>
    <definedName name="价值类型2" localSheetId="19">[1]定义!$B$54:$B$56</definedName>
    <definedName name="价值类型2" localSheetId="20">[1]定义!$B$54:$B$56</definedName>
    <definedName name="价值类型2" localSheetId="22">定义!$B$54:$B$56</definedName>
    <definedName name="价值类型2">定义!$B$54:$B$56</definedName>
    <definedName name="交通便捷度" localSheetId="23">定义!$O$1:$O$6</definedName>
    <definedName name="交通便捷度" localSheetId="19">[1]定义!$O$1:$O$6</definedName>
    <definedName name="交通便捷度" localSheetId="20">[1]定义!$O$1:$O$6</definedName>
    <definedName name="交通便捷度" localSheetId="22">定义!$O$1:$O$6</definedName>
    <definedName name="交通便捷度">定义!$O$1:$O$6</definedName>
    <definedName name="九级">区片价!$Q$1:$Q$46</definedName>
    <definedName name="居住社区成熟度" localSheetId="23">定义!$K$1:$K$6</definedName>
    <definedName name="居住社区成熟度" localSheetId="19">[1]定义!$K$1:$K$6</definedName>
    <definedName name="居住社区成熟度" localSheetId="20">[1]定义!$K$1:$K$6</definedName>
    <definedName name="居住社区成熟度" localSheetId="22">定义!$K$1:$K$6</definedName>
    <definedName name="居住社区成熟度">定义!$K$1:$K$6</definedName>
    <definedName name="类别" localSheetId="23">定义!$J$1:$J$3</definedName>
    <definedName name="类别" localSheetId="19">[1]定义!$J$1:$J$3</definedName>
    <definedName name="类别" localSheetId="20">[1]定义!$J$1:$J$3</definedName>
    <definedName name="类别" localSheetId="22">定义!$J$1:$J$3</definedName>
    <definedName name="类别">定义!$J$1:$J$3</definedName>
    <definedName name="临街状况" localSheetId="23">定义!$T$1:$T$5</definedName>
    <definedName name="临街状况" localSheetId="19">[1]定义!$T$1:$T$5</definedName>
    <definedName name="临街状况" localSheetId="20">[1]定义!$T$1:$T$5</definedName>
    <definedName name="临街状况" localSheetId="22">定义!$T$1:$T$5</definedName>
    <definedName name="临街状况">定义!$T$1:$T$5</definedName>
    <definedName name="六级">区片价!$N$1:$N$49</definedName>
    <definedName name="内部装修维护情况" localSheetId="23">定义!$U$1:$U$6</definedName>
    <definedName name="内部装修维护情况" localSheetId="19">[1]定义!$U$1:$U$6</definedName>
    <definedName name="内部装修维护情况" localSheetId="20">[1]定义!$U$1:$U$6</definedName>
    <definedName name="内部装修维护情况" localSheetId="22">定义!$U$1:$U$6</definedName>
    <definedName name="内部装修维护情况">定义!$U$1:$U$6</definedName>
    <definedName name="判定" localSheetId="23">定义!$D$1:$D$4</definedName>
    <definedName name="判定" localSheetId="19">[1]定义!$D$1:$D$4</definedName>
    <definedName name="判定" localSheetId="20">[1]定义!$D$1:$D$4</definedName>
    <definedName name="判定" localSheetId="22">定义!$D$1:$D$4</definedName>
    <definedName name="判定">定义!$D$1:$D$4</definedName>
    <definedName name="七级">区片价!$O$1:$O$49</definedName>
    <definedName name="七通一平" localSheetId="23">修正!$A$6:$A$14</definedName>
    <definedName name="七通一平" localSheetId="19">[1]修正!$A$6:$A$14</definedName>
    <definedName name="七通一平" localSheetId="20">[1]修正!$A$6:$A$14</definedName>
    <definedName name="七通一平" localSheetId="22">修正!$A$6:$A$14</definedName>
    <definedName name="七通一平">修正!$A$6:$A$14</definedName>
    <definedName name="区域土地利用方向" localSheetId="23">定义!$P$1:$P$6</definedName>
    <definedName name="区域土地利用方向" localSheetId="19">[1]定义!$P$1:$P$6</definedName>
    <definedName name="区域土地利用方向" localSheetId="20">[1]定义!$P$1:$P$6</definedName>
    <definedName name="区域土地利用方向" localSheetId="22">定义!$P$1:$P$6</definedName>
    <definedName name="区域土地利用方向">定义!$P$1:$P$6</definedName>
    <definedName name="三级">区片价!$K$1:$K$21</definedName>
    <definedName name="商业层高" localSheetId="23">'不动产比较法-商业'!$B$116:$M$116</definedName>
    <definedName name="商业层高" localSheetId="19">'[1]不动产比较法-商业'!$B$116:$M$116</definedName>
    <definedName name="商业层高" localSheetId="20">'[1]不动产比较法-商业'!$B$116:$M$116</definedName>
    <definedName name="商业层高" localSheetId="22">'不动产比较法-商业'!$B$116:$M$116</definedName>
    <definedName name="商业层高">'不动产比较法-商业'!$B$116:$M$116</definedName>
    <definedName name="商业成新度">'不动产比较法-商业'!$B$109:$M$109</definedName>
    <definedName name="商业繁华度" localSheetId="23">定义!$L$1:$L$6</definedName>
    <definedName name="商业繁华度" localSheetId="19">[1]定义!$L$1:$L$6</definedName>
    <definedName name="商业繁华度" localSheetId="20">[1]定义!$L$1:$L$6</definedName>
    <definedName name="商业繁华度" localSheetId="22">定义!$L$1:$L$6</definedName>
    <definedName name="商业繁华度">定义!$L$1:$L$6</definedName>
    <definedName name="商业公共部分装修" localSheetId="23">'不动产比较法-商业'!$B$107:$M$107</definedName>
    <definedName name="商业公共部分装修" localSheetId="19">'[1]不动产比较法-商业'!$B$107:$M$107</definedName>
    <definedName name="商业公共部分装修" localSheetId="20">'[1]不动产比较法-商业'!$B$107:$M$107</definedName>
    <definedName name="商业公共部分装修" localSheetId="22">'不动产比较法-商业'!$B$107:$M$107</definedName>
    <definedName name="商业公共部分装修">'不动产比较法-商业'!$B$107:$M$107</definedName>
    <definedName name="商业基础设施水平" localSheetId="23">'不动产比较法-商业'!$B$112:$M$112</definedName>
    <definedName name="商业基础设施水平" localSheetId="19">'[1]不动产比较法-商业'!$B$112:$M$112</definedName>
    <definedName name="商业基础设施水平" localSheetId="20">'[1]不动产比较法-商业'!$B$112:$M$112</definedName>
    <definedName name="商业基础设施水平" localSheetId="22">'不动产比较法-商业'!$B$112:$M$112</definedName>
    <definedName name="商业基础设施水平">'不动产比较法-商业'!$B$112:$M$112</definedName>
    <definedName name="商业建筑结构" localSheetId="23">'不动产比较法-商业'!$B$105:$M$105</definedName>
    <definedName name="商业建筑结构" localSheetId="19">'[1]不动产比较法-商业'!$B$105:$M$105</definedName>
    <definedName name="商业建筑结构" localSheetId="20">'[1]不动产比较法-商业'!$B$105:$M$105</definedName>
    <definedName name="商业建筑结构" localSheetId="22">'不动产比较法-商业'!$B$105:$M$105</definedName>
    <definedName name="商业建筑结构">'不动产比较法-商业'!$B$105:$M$105</definedName>
    <definedName name="商业交易情况" localSheetId="23">'不动产比较法-商业'!$A$61:$M$61</definedName>
    <definedName name="商业交易情况" localSheetId="19">'[1]不动产比较法-商业'!$A$61:$M$61</definedName>
    <definedName name="商业交易情况" localSheetId="20">'[1]不动产比较法-商业'!$A$61:$M$61</definedName>
    <definedName name="商业交易情况" localSheetId="22">'不动产比较法-商业'!$A$61:$M$61</definedName>
    <definedName name="商业交易情况">'不动产比较法-商业'!$A$61:$M$61</definedName>
    <definedName name="商业街名称" localSheetId="23">修正!$C$59:$C$119</definedName>
    <definedName name="商业街名称" localSheetId="19">[1]修正!$C$59:$C$119</definedName>
    <definedName name="商业街名称" localSheetId="20">[1]修正!$C$59:$C$119</definedName>
    <definedName name="商业街名称" localSheetId="22">修正!$C$59:$C$119</definedName>
    <definedName name="商业街名称">修正!$C$59:$C$119</definedName>
    <definedName name="商业进深比" localSheetId="23">'不动产比较法-商业'!$B$120:$M$120</definedName>
    <definedName name="商业进深比" localSheetId="19">'[1]不动产比较法-商业'!$B$120:$M$120</definedName>
    <definedName name="商业进深比" localSheetId="20">'[1]不动产比较法-商业'!$B$120:$M$120</definedName>
    <definedName name="商业进深比" localSheetId="22">'不动产比较法-商业'!$B$120:$M$120</definedName>
    <definedName name="商业进深比">'不动产比较法-商业'!$B$120:$M$120</definedName>
    <definedName name="商业类型" localSheetId="23">'不动产比较法-商业'!$B$100:$M$100</definedName>
    <definedName name="商业类型" localSheetId="19">'[1]不动产比较法-商业'!$B$100:$M$100</definedName>
    <definedName name="商业类型" localSheetId="20">'[1]不动产比较法-商业'!$B$100:$M$100</definedName>
    <definedName name="商业类型" localSheetId="22">'不动产比较法-商业'!$B$100:$M$100</definedName>
    <definedName name="商业类型">'不动产比较法-商业'!$B$100:$M$100</definedName>
    <definedName name="商业临街状况" localSheetId="23">'不动产比较法-商业'!$B$86:$M$86</definedName>
    <definedName name="商业临街状况" localSheetId="19">'[1]不动产比较法-商业'!$B$86:$M$86</definedName>
    <definedName name="商业临街状况" localSheetId="20">'[1]不动产比较法-商业'!$B$86:$M$86</definedName>
    <definedName name="商业临街状况" localSheetId="22">'不动产比较法-商业'!$B$86:$M$86</definedName>
    <definedName name="商业临街状况">'不动产比较法-商业'!$B$86:$M$86</definedName>
    <definedName name="商业楼层" localSheetId="23">'不动产比较法-商业'!$B$92:$M$92</definedName>
    <definedName name="商业楼层" localSheetId="19">'[1]不动产比较法-商业'!$B$92:$M$92</definedName>
    <definedName name="商业楼层" localSheetId="20">'[1]不动产比较法-商业'!$B$92:$M$92</definedName>
    <definedName name="商业楼层" localSheetId="22">'不动产比较法-商业'!$B$92:$M$92</definedName>
    <definedName name="商业楼层">'不动产比较法-商业'!$B$92:$M$92</definedName>
    <definedName name="商业内部装修" localSheetId="23">'不动产比较法-商业'!$B$122:$M$122</definedName>
    <definedName name="商业内部装修" localSheetId="19">'[1]不动产比较法-商业'!$B$122:$M$122</definedName>
    <definedName name="商业内部装修" localSheetId="20">'[1]不动产比较法-商业'!$B$122:$M$122</definedName>
    <definedName name="商业内部装修" localSheetId="22">'不动产比较法-商业'!$B$122:$M$122</definedName>
    <definedName name="商业内部装修">'不动产比较法-商业'!$B$122:$M$122</definedName>
    <definedName name="商业人流量" localSheetId="23">'不动产比较法-商业'!$B$90:$M$90</definedName>
    <definedName name="商业人流量" localSheetId="19">'[1]不动产比较法-商业'!$B$90:$M$90</definedName>
    <definedName name="商业人流量" localSheetId="20">'[1]不动产比较法-商业'!$B$90:$M$90</definedName>
    <definedName name="商业人流量" localSheetId="22">'不动产比较法-商业'!$B$90:$M$90</definedName>
    <definedName name="商业人流量">'不动产比较法-商业'!$B$90:$M$90</definedName>
    <definedName name="商业业态" localSheetId="23">'不动产比较法-商业'!$B$114:$M$114</definedName>
    <definedName name="商业业态" localSheetId="19">'[1]不动产比较法-商业'!$B$114:$M$114</definedName>
    <definedName name="商业业态" localSheetId="20">'[1]不动产比较法-商业'!$B$114:$M$114</definedName>
    <definedName name="商业业态" localSheetId="22">'不动产比较法-商业'!$B$114:$M$114</definedName>
    <definedName name="商业业态">'不动产比较法-商业'!$B$114:$M$114</definedName>
    <definedName name="商业用途" localSheetId="23">'不动产比较法-商业'!$B$63:$M$63</definedName>
    <definedName name="商业用途" localSheetId="19">'[1]不动产比较法-商业'!$B$63:$M$63</definedName>
    <definedName name="商业用途" localSheetId="20">'[1]不动产比较法-商业'!$B$63:$M$63</definedName>
    <definedName name="商业用途" localSheetId="22">'不动产比较法-商业'!$B$63:$M$63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3">'不动产比较法-仓储'!$B$89:$M$89</definedName>
    <definedName name="是否封闭" localSheetId="19">'[1]不动产比较法-仓储'!$B$89:$M$89</definedName>
    <definedName name="是否封闭" localSheetId="20">'[1]不动产比较法-仓储'!$B$89:$M$89</definedName>
    <definedName name="是否封闭" localSheetId="22">'不动产比较法-仓储'!$B$89:$M$89</definedName>
    <definedName name="是否封闭">'不动产比较法-仓储'!$B$89:$M$89</definedName>
    <definedName name="是否直接入户" localSheetId="23">'不动产比较法-车位'!$B$95:$M$95</definedName>
    <definedName name="是否直接入户" localSheetId="19">'[1]不动产比较法-车位'!$B$95:$M$95</definedName>
    <definedName name="是否直接入户" localSheetId="20">'[1]不动产比较法-车位'!$B$95:$M$95</definedName>
    <definedName name="是否直接入户" localSheetId="22">'不动产比较法-车位'!$B$95:$M$95</definedName>
    <definedName name="是否直接入户">'不动产比较法-车位'!$B$95:$M$95</definedName>
    <definedName name="四级">区片价!$L$1:$L$28</definedName>
    <definedName name="套工工程地质条件" localSheetId="23">'比较法-工业'!$B$116:$M$116</definedName>
    <definedName name="套工工程地质条件" localSheetId="19">'[1]比较法-工业'!$B$116:$M$116</definedName>
    <definedName name="套工工程地质条件" localSheetId="20">'[1]比较法-工业'!$B$116:$M$116</definedName>
    <definedName name="套工工程地质条件" localSheetId="22">'比较法-工业'!$B$116:$M$116</definedName>
    <definedName name="套工工程地质条件">'比较法-工业'!$B$116:$M$116</definedName>
    <definedName name="套工交易情况" localSheetId="23">'比较法-住宅、综合'!$A$75:$M$75</definedName>
    <definedName name="套工交易情况" localSheetId="19">'比较法-住宅、综合 (2)'!$A$75:$M$75</definedName>
    <definedName name="套工交易情况" localSheetId="20">'[1]比较法-住宅、综合'!$A$75:$M$75</definedName>
    <definedName name="套工交易情况" localSheetId="22">'比较法-住宅、综合'!$A$75:$M$75</definedName>
    <definedName name="套工交易情况">'比较法-住宅、综合'!$A$75:$M$75</definedName>
    <definedName name="套工开发程度" localSheetId="23">'比较法-工业'!$B$114:$M$114</definedName>
    <definedName name="套工开发程度" localSheetId="19">'[1]比较法-工业'!$B$114:$M$114</definedName>
    <definedName name="套工开发程度" localSheetId="20">'[1]比较法-工业'!$B$114:$M$114</definedName>
    <definedName name="套工开发程度" localSheetId="22">'比较法-工业'!$B$114:$M$114</definedName>
    <definedName name="套工开发程度">'比较法-工业'!$B$114:$M$114</definedName>
    <definedName name="套工临街等级" localSheetId="23">'比较法-工业'!$B$99:$M$99</definedName>
    <definedName name="套工临街等级" localSheetId="19">'[1]比较法-工业'!$B$99:$M$99</definedName>
    <definedName name="套工临街等级" localSheetId="20">'[1]比较法-工业'!$B$99:$M$99</definedName>
    <definedName name="套工临街等级" localSheetId="22">'比较法-工业'!$B$99:$M$99</definedName>
    <definedName name="套工临街等级">'比较法-工业'!$B$99:$M$99</definedName>
    <definedName name="套工土地级别" localSheetId="23">'比较法-工业'!$B$101:$M$101</definedName>
    <definedName name="套工土地级别" localSheetId="19">'[1]比较法-工业'!$B$101:$M$101</definedName>
    <definedName name="套工土地级别" localSheetId="20">'[1]比较法-工业'!$B$101:$M$101</definedName>
    <definedName name="套工土地级别" localSheetId="22">'比较法-工业'!$B$101:$M$101</definedName>
    <definedName name="套工土地级别">'比较法-工业'!$B$101:$M$101</definedName>
    <definedName name="套工用途" localSheetId="23">'比较法-工业'!$B$72:$M$72</definedName>
    <definedName name="套工用途" localSheetId="19">'[1]比较法-工业'!$B$72:$M$72</definedName>
    <definedName name="套工用途" localSheetId="20">'[1]比较法-工业'!$B$72:$M$72</definedName>
    <definedName name="套工用途" localSheetId="22">'比较法-工业'!$B$72:$M$72</definedName>
    <definedName name="套工用途">'比较法-工业'!$B$72:$M$72</definedName>
    <definedName name="套工宗地形状" localSheetId="23">'比较法-工业'!$B$112:$M$112</definedName>
    <definedName name="套工宗地形状" localSheetId="19">'[1]比较法-工业'!$B$112:$M$112</definedName>
    <definedName name="套工宗地形状" localSheetId="20">'[1]比较法-工业'!$B$112:$M$112</definedName>
    <definedName name="套工宗地形状" localSheetId="22">'比较法-工业'!$B$112:$M$112</definedName>
    <definedName name="套工宗地形状">'比较法-工业'!$B$112:$M$112</definedName>
    <definedName name="套综道路等级" localSheetId="23">'比较法-住宅、综合'!$B$108:$M$108</definedName>
    <definedName name="套综道路等级" localSheetId="19">'比较法-住宅、综合 (2)'!$B$108:$M$108</definedName>
    <definedName name="套综道路等级" localSheetId="20">'[1]比较法-住宅、综合'!$B$108:$M$108</definedName>
    <definedName name="套综道路等级" localSheetId="22">'比较法-住宅、综合'!$B$108:$M$108</definedName>
    <definedName name="套综道路等级">'比较法-住宅、综合'!$B$108:$M$108</definedName>
    <definedName name="套综工程地质条件" localSheetId="23">'比较法-住宅、综合'!$B$127:$M$127</definedName>
    <definedName name="套综工程地质条件" localSheetId="19">'比较法-住宅、综合 (2)'!$B$127:$M$127</definedName>
    <definedName name="套综工程地质条件" localSheetId="20">'[1]比较法-住宅、综合'!$B$127:$M$127</definedName>
    <definedName name="套综工程地质条件" localSheetId="22">'比较法-住宅、综合'!$B$127:$M$127</definedName>
    <definedName name="套综工程地质条件">'比较法-住宅、综合'!$B$127:$M$127</definedName>
    <definedName name="套综交易情况" localSheetId="23">'比较法-住宅、综合'!$A$75:$M$75</definedName>
    <definedName name="套综交易情况" localSheetId="19">'比较法-住宅、综合 (2)'!$A$75:$M$75</definedName>
    <definedName name="套综交易情况" localSheetId="20">'[1]比较法-住宅、综合'!$A$75:$M$75</definedName>
    <definedName name="套综交易情况" localSheetId="22">'比较法-住宅、综合'!$A$75:$M$75</definedName>
    <definedName name="套综交易情况">'比较法-住宅、综合'!$A$75:$M$75</definedName>
    <definedName name="套综临街宽度及深度" localSheetId="23">'比较法-住宅、综合'!$B$123:$M$123</definedName>
    <definedName name="套综临街宽度及深度" localSheetId="19">'比较法-住宅、综合 (2)'!$B$123:$M$123</definedName>
    <definedName name="套综临街宽度及深度" localSheetId="20">'[1]比较法-住宅、综合'!$B$123:$M$123</definedName>
    <definedName name="套综临街宽度及深度" localSheetId="22">'比较法-住宅、综合'!$B$123:$M$123</definedName>
    <definedName name="套综临街宽度及深度">'比较法-住宅、综合'!$B$123:$M$123</definedName>
    <definedName name="套综土地级别" localSheetId="23">'比较法-住宅、综合'!$B$110:$M$110</definedName>
    <definedName name="套综土地级别" localSheetId="19">'比较法-住宅、综合 (2)'!$B$110:$M$110</definedName>
    <definedName name="套综土地级别" localSheetId="20">'[1]比较法-住宅、综合'!$B$110:$M$110</definedName>
    <definedName name="套综土地级别" localSheetId="22">'比较法-住宅、综合'!$B$110:$M$110</definedName>
    <definedName name="套综土地级别">'比较法-住宅、综合'!$B$110:$M$110</definedName>
    <definedName name="套综用途" localSheetId="23">'比较法-住宅、综合'!$B$77:$M$77</definedName>
    <definedName name="套综用途" localSheetId="19">'比较法-住宅、综合 (2)'!$B$77:$M$77</definedName>
    <definedName name="套综用途" localSheetId="20">'[1]比较法-住宅、综合'!$B$77:$M$77</definedName>
    <definedName name="套综用途" localSheetId="22">'比较法-住宅、综合'!$B$77:$M$77</definedName>
    <definedName name="套综用途">'比较法-住宅、综合'!$B$77:$M$77</definedName>
    <definedName name="套综宗地内开发程度" localSheetId="23">'比较法-住宅、综合'!$B$125:$M$125</definedName>
    <definedName name="套综宗地内开发程度" localSheetId="19">'比较法-住宅、综合 (2)'!$B$125:$M$125</definedName>
    <definedName name="套综宗地内开发程度" localSheetId="20">'[1]比较法-住宅、综合'!$B$125:$M$125</definedName>
    <definedName name="套综宗地内开发程度" localSheetId="22">'比较法-住宅、综合'!$B$125:$M$125</definedName>
    <definedName name="套综宗地内开发程度">'比较法-住宅、综合'!$B$125:$M$125</definedName>
    <definedName name="套综宗地形状" localSheetId="23">'比较法-住宅、综合'!$B$121:$M$121</definedName>
    <definedName name="套综宗地形状" localSheetId="19">'比较法-住宅、综合 (2)'!$B$121:$M$121</definedName>
    <definedName name="套综宗地形状" localSheetId="20">'[1]比较法-住宅、综合'!$B$121:$M$121</definedName>
    <definedName name="套综宗地形状" localSheetId="22">'比较法-住宅、综合'!$B$121:$M$121</definedName>
    <definedName name="套综宗地形状">'比较法-住宅、综合'!$B$121:$M$121</definedName>
    <definedName name="土地估价师" localSheetId="23">估价师及机构信息!$D$3:$D$24</definedName>
    <definedName name="土地估价师" localSheetId="19">[1]估价师及机构信息!$D$3:$D$24</definedName>
    <definedName name="土地估价师" localSheetId="20">[1]估价师及机构信息!$D$3:$D$24</definedName>
    <definedName name="土地估价师" localSheetId="22">估价师及机构信息!$D$3:$D$24</definedName>
    <definedName name="土地估价师">估价师及机构信息!$D$3:$D$24</definedName>
    <definedName name="土地级别" localSheetId="23">定义!$C$1:$C$14</definedName>
    <definedName name="土地级别" localSheetId="19">[1]定义!$C$1:$C$14</definedName>
    <definedName name="土地级别" localSheetId="20">[1]定义!$C$1:$C$14</definedName>
    <definedName name="土地级别" localSheetId="22">定义!$C$1:$C$14</definedName>
    <definedName name="土地级别">定义!$C$1:$C$14</definedName>
    <definedName name="土地利用方向">定义!$P$1:$P$6</definedName>
    <definedName name="土地年限区间" localSheetId="23">定义!$I$1:$I$8</definedName>
    <definedName name="土地年限区间" localSheetId="19">[1]定义!$I$1:$I$8</definedName>
    <definedName name="土地年限区间" localSheetId="20">[1]定义!$I$1:$I$8</definedName>
    <definedName name="土地年限区间" localSheetId="22">定义!$I$1:$I$8</definedName>
    <definedName name="土地年限区间">定义!$I$1:$I$8</definedName>
    <definedName name="位置" localSheetId="23">定义!$E$2:$E$4</definedName>
    <definedName name="位置" localSheetId="19">[1]定义!$E$2:$E$4</definedName>
    <definedName name="位置" localSheetId="20">[1]定义!$E$2:$E$4</definedName>
    <definedName name="位置" localSheetId="22">定义!$E$2:$E$4</definedName>
    <definedName name="位置">定义!$E$2:$E$4</definedName>
    <definedName name="五等判定" localSheetId="23">定义!$W$1:$W$6</definedName>
    <definedName name="五等判定" localSheetId="19">[1]定义!$W$1:$W$6</definedName>
    <definedName name="五等判定" localSheetId="20">[1]定义!$W$1:$W$6</definedName>
    <definedName name="五等判定" localSheetId="22">定义!$W$1:$W$6</definedName>
    <definedName name="五等判定">定义!$W$1:$W$6</definedName>
    <definedName name="五级">区片价!$M$1:$M$35</definedName>
    <definedName name="项目类型" localSheetId="23">'数据-汇总表'!$C$17:$C$26</definedName>
    <definedName name="项目类型" localSheetId="19">'[1]数据-汇总表'!$C$17:$C$26</definedName>
    <definedName name="项目类型" localSheetId="20">'[1]数据-汇总表'!$C$17:$C$26</definedName>
    <definedName name="项目类型" localSheetId="22">'数据-汇总表'!$C$17:$C$26</definedName>
    <definedName name="项目类型">'数据-汇总表'!$C$17:$C$26</definedName>
    <definedName name="写字楼等级" localSheetId="23">'不动产比较法-办公'!$B$113:$M$113</definedName>
    <definedName name="写字楼等级" localSheetId="19">'[1]不动产比较法-办公'!$B$113:$M$113</definedName>
    <definedName name="写字楼等级" localSheetId="20">'[1]不动产比较法-办公'!$B$113:$M$113</definedName>
    <definedName name="写字楼等级" localSheetId="22">'不动产比较法-办公'!$B$113:$M$113</definedName>
    <definedName name="写字楼等级">'不动产比较法-办公'!$B$113:$M$113</definedName>
    <definedName name="一级">区片价!$I$1:$I$6</definedName>
    <definedName name="一修多修正项2" localSheetId="23">典型户型修正!$5:$5</definedName>
    <definedName name="一修多修正项2" localSheetId="19">[1]典型户型修正!$5:$5</definedName>
    <definedName name="一修多修正项2" localSheetId="20">[1]典型户型修正!$5:$5</definedName>
    <definedName name="一修多修正项2" localSheetId="22">典型户型修正!$5:$5</definedName>
    <definedName name="一修多修正项2">典型户型修正!$5:$5</definedName>
    <definedName name="一修多修正项3" localSheetId="23">典型户型修正!$7:$7</definedName>
    <definedName name="一修多修正项3" localSheetId="19">[1]典型户型修正!$7:$7</definedName>
    <definedName name="一修多修正项3" localSheetId="20">[1]典型户型修正!$7:$7</definedName>
    <definedName name="一修多修正项3" localSheetId="22">典型户型修正!$7:$7</definedName>
    <definedName name="一修多修正项3">典型户型修正!$7:$7</definedName>
    <definedName name="一修多修正项4" localSheetId="23">典型户型修正!$9:$9</definedName>
    <definedName name="一修多修正项4" localSheetId="19">[1]典型户型修正!$9:$9</definedName>
    <definedName name="一修多修正项4" localSheetId="20">[1]典型户型修正!$9:$9</definedName>
    <definedName name="一修多修正项4" localSheetId="22">典型户型修正!$9:$9</definedName>
    <definedName name="一修多修正项4">典型户型修正!$9:$9</definedName>
    <definedName name="一修多修正项5" localSheetId="23">典型户型修正!$11:$11</definedName>
    <definedName name="一修多修正项5" localSheetId="19">[1]典型户型修正!$11:$11</definedName>
    <definedName name="一修多修正项5" localSheetId="20">[1]典型户型修正!$11:$11</definedName>
    <definedName name="一修多修正项5" localSheetId="22">典型户型修正!$11:$11</definedName>
    <definedName name="一修多修正项5">典型户型修正!$11:$11</definedName>
    <definedName name="一修多修正项6" localSheetId="23">典型户型修正!$13:$13</definedName>
    <definedName name="一修多修正项6" localSheetId="19">[1]典型户型修正!$13:$13</definedName>
    <definedName name="一修多修正项6" localSheetId="20">[1]典型户型修正!$13:$13</definedName>
    <definedName name="一修多修正项6" localSheetId="22">典型户型修正!$13:$13</definedName>
    <definedName name="一修多修正项6">典型户型修正!$13:$13</definedName>
    <definedName name="一修多修正项7" localSheetId="23">典型户型修正!$15:$15</definedName>
    <definedName name="一修多修正项7" localSheetId="19">[1]典型户型修正!$15:$15</definedName>
    <definedName name="一修多修正项7" localSheetId="20">[1]典型户型修正!$15:$15</definedName>
    <definedName name="一修多修正项7" localSheetId="22">典型户型修正!$15:$15</definedName>
    <definedName name="一修多修正项7">典型户型修正!$15:$15</definedName>
    <definedName name="一修多修正项8" localSheetId="23">典型户型修正!$17:$17</definedName>
    <definedName name="一修多修正项8" localSheetId="19">[1]典型户型修正!$17:$17</definedName>
    <definedName name="一修多修正项8" localSheetId="20">[1]典型户型修正!$17:$17</definedName>
    <definedName name="一修多修正项8" localSheetId="22">典型户型修正!$17:$17</definedName>
    <definedName name="一修多修正项8">典型户型修正!$17:$17</definedName>
    <definedName name="用途类型" localSheetId="23">定义!$A$1:$A$50</definedName>
    <definedName name="用途类型" localSheetId="19">[1]定义!$A$1:$A$50</definedName>
    <definedName name="用途类型" localSheetId="20">[1]定义!$A$1:$A$50</definedName>
    <definedName name="用途类型" localSheetId="22">定义!$A$1:$A$50</definedName>
    <definedName name="用途类型">定义!$A$1:$A$50</definedName>
    <definedName name="有无电梯" localSheetId="23">'不动产比较法-仓储'!$B$84:$M$84</definedName>
    <definedName name="有无电梯" localSheetId="19">'[1]不动产比较法-仓储'!$B$84:$M$84</definedName>
    <definedName name="有无电梯" localSheetId="20">'[1]不动产比较法-仓储'!$B$84:$M$84</definedName>
    <definedName name="有无电梯" localSheetId="22">'不动产比较法-仓储'!$B$84:$M$84</definedName>
    <definedName name="有无电梯">'不动产比较法-仓储'!$B$84:$M$84</definedName>
    <definedName name="主用途" localSheetId="23">定义!$F$1:$F$10</definedName>
    <definedName name="主用途" localSheetId="19">[1]定义!$F$1:$F$10</definedName>
    <definedName name="主用途" localSheetId="20">[1]定义!$F$1:$F$10</definedName>
    <definedName name="主用途" localSheetId="22">定义!$F$1:$F$10</definedName>
    <definedName name="主用途">定义!$F$1:$F$10</definedName>
    <definedName name="住宅朝向" localSheetId="23">'不动产比较法-住宅'!$B$88:$M$88</definedName>
    <definedName name="住宅朝向" localSheetId="19">'[1]不动产比较法-住宅'!$B$88:$M$88</definedName>
    <definedName name="住宅朝向" localSheetId="20">'[1]不动产比较法-住宅'!$B$88:$M$88</definedName>
    <definedName name="住宅朝向" localSheetId="22">'不动产比较法-住宅'!$B$88:$M$88</definedName>
    <definedName name="住宅朝向">'不动产比较法-住宅'!$B$88:$M$88</definedName>
    <definedName name="住宅房型" localSheetId="23">'不动产比较法-住宅'!$B$118:$M$118</definedName>
    <definedName name="住宅房型" localSheetId="19">'[1]不动产比较法-住宅'!$B$118:$M$118</definedName>
    <definedName name="住宅房型" localSheetId="20">'[1]不动产比较法-住宅'!$B$118:$M$118</definedName>
    <definedName name="住宅房型" localSheetId="22">'不动产比较法-住宅'!$B$118:$M$118</definedName>
    <definedName name="住宅房型">'不动产比较法-住宅'!$B$118:$M$118</definedName>
    <definedName name="住宅公共部分装修" localSheetId="23">'不动产比较法-住宅'!$B$109:$M$109</definedName>
    <definedName name="住宅公共部分装修" localSheetId="19">'[1]不动产比较法-住宅'!$B$109:$M$109</definedName>
    <definedName name="住宅公共部分装修" localSheetId="20">'[1]不动产比较法-住宅'!$B$109:$M$109</definedName>
    <definedName name="住宅公共部分装修" localSheetId="22">'不动产比较法-住宅'!$B$109:$M$109</definedName>
    <definedName name="住宅公共部分装修">'不动产比较法-住宅'!$B$109:$M$109</definedName>
    <definedName name="住宅基础设施水平" localSheetId="23">'不动产比较法-住宅'!$B$116:$M$116</definedName>
    <definedName name="住宅基础设施水平" localSheetId="19">'[1]不动产比较法-住宅'!$B$116:$M$116</definedName>
    <definedName name="住宅基础设施水平" localSheetId="20">'[1]不动产比较法-住宅'!$B$116:$M$116</definedName>
    <definedName name="住宅基础设施水平" localSheetId="22">'不动产比较法-住宅'!$B$116:$M$116</definedName>
    <definedName name="住宅基础设施水平">'不动产比较法-住宅'!$B$116:$M$116</definedName>
    <definedName name="住宅建筑结构" localSheetId="23">'不动产比较法-住宅'!$B$105:$M$105</definedName>
    <definedName name="住宅建筑结构" localSheetId="19">'[1]不动产比较法-住宅'!$B$105:$M$105</definedName>
    <definedName name="住宅建筑结构" localSheetId="20">'[1]不动产比较法-住宅'!$B$105:$M$105</definedName>
    <definedName name="住宅建筑结构" localSheetId="22">'不动产比较法-住宅'!$B$105:$M$105</definedName>
    <definedName name="住宅建筑结构">'不动产比较法-住宅'!$B$105:$M$105</definedName>
    <definedName name="住宅建筑类型" localSheetId="23">'不动产比较法-住宅'!$B$100:$M$100</definedName>
    <definedName name="住宅建筑类型" localSheetId="19">'[1]不动产比较法-住宅'!$B$100:$M$100</definedName>
    <definedName name="住宅建筑类型" localSheetId="20">'[1]不动产比较法-住宅'!$B$100:$M$100</definedName>
    <definedName name="住宅建筑类型" localSheetId="22">'不动产比较法-住宅'!$B$100:$M$100</definedName>
    <definedName name="住宅建筑类型">'不动产比较法-住宅'!$B$100:$M$100</definedName>
    <definedName name="住宅建筑品质" localSheetId="23">'不动产比较法-住宅'!$B$107:$M$107</definedName>
    <definedName name="住宅建筑品质" localSheetId="19">'[1]不动产比较法-住宅'!$B$107:$M$107</definedName>
    <definedName name="住宅建筑品质" localSheetId="20">'[1]不动产比较法-住宅'!$B$107:$M$107</definedName>
    <definedName name="住宅建筑品质" localSheetId="22">'不动产比较法-住宅'!$B$107:$M$107</definedName>
    <definedName name="住宅建筑品质">'不动产比较法-住宅'!$B$107:$M$107</definedName>
    <definedName name="住宅交易情况" localSheetId="23">'不动产比较法-住宅'!$A$61:$M$61</definedName>
    <definedName name="住宅交易情况" localSheetId="19">'[1]不动产比较法-住宅'!$A$61:$M$61</definedName>
    <definedName name="住宅交易情况" localSheetId="20">'[1]不动产比较法-住宅'!$A$61:$M$61</definedName>
    <definedName name="住宅交易情况" localSheetId="22">'不动产比较法-住宅'!$A$61:$M$61</definedName>
    <definedName name="住宅交易情况">'不动产比较法-住宅'!$A$61:$M$61</definedName>
    <definedName name="住宅楼层" localSheetId="23">'不动产比较法-住宅'!$B$86:$M$86</definedName>
    <definedName name="住宅楼层" localSheetId="19">'[1]不动产比较法-住宅'!$B$86:$M$86</definedName>
    <definedName name="住宅楼层" localSheetId="20">'[1]不动产比较法-住宅'!$B$86:$M$86</definedName>
    <definedName name="住宅楼层" localSheetId="22">'不动产比较法-住宅'!$B$86:$M$86</definedName>
    <definedName name="住宅楼层">'不动产比较法-住宅'!$B$86:$M$86</definedName>
    <definedName name="住宅内部装修" localSheetId="23">'不动产比较法-住宅'!$B$122:$M$122</definedName>
    <definedName name="住宅内部装修" localSheetId="19">'[1]不动产比较法-住宅'!$B$122:$M$122</definedName>
    <definedName name="住宅内部装修" localSheetId="20">'[1]不动产比较法-住宅'!$B$122:$M$122</definedName>
    <definedName name="住宅内部装修" localSheetId="22">'不动产比较法-住宅'!$B$122:$M$122</definedName>
    <definedName name="住宅内部装修">'不动产比较法-住宅'!$B$122:$M$122</definedName>
    <definedName name="住宅物业管理" localSheetId="23">'不动产比较法-住宅'!$B$114:$M$114</definedName>
    <definedName name="住宅物业管理" localSheetId="19">'[1]不动产比较法-住宅'!$B$114:$M$114</definedName>
    <definedName name="住宅物业管理" localSheetId="20">'[1]不动产比较法-住宅'!$B$114:$M$114</definedName>
    <definedName name="住宅物业管理" localSheetId="22">'不动产比较法-住宅'!$B$114:$M$114</definedName>
    <definedName name="住宅物业管理">'不动产比较法-住宅'!$B$114:$M$114</definedName>
    <definedName name="住宅用途" localSheetId="23">'不动产比较法-住宅'!$B$63:$M$63</definedName>
    <definedName name="住宅用途" localSheetId="19">'[1]不动产比较法-住宅'!$B$63:$M$63</definedName>
    <definedName name="住宅用途" localSheetId="20">'[1]不动产比较法-住宅'!$B$63:$M$63</definedName>
    <definedName name="住宅用途" localSheetId="22">'不动产比较法-住宅'!$B$63:$M$63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extLst>
    <ext xmlns:mx="http://schemas.microsoft.com/office/mac/excel/2008/main" uri="{7523E5D3-25F3-A5E0-1632-64F254C22452}">
      <mx:ArchID Flags="2"/>
    </ext>
  </extLst>
</workbook>
</file>

<file path=xl/calcChain.xml><?xml version="1.0" encoding="utf-8"?>
<calcChain xmlns="http://schemas.openxmlformats.org/spreadsheetml/2006/main">
  <c r="D10" i="12" l="1"/>
  <c r="C10" i="12"/>
  <c r="D15" i="66"/>
  <c r="C15" i="66"/>
  <c r="B15" i="66"/>
  <c r="K25" i="39"/>
  <c r="K23" i="39"/>
  <c r="K19" i="39"/>
  <c r="K13" i="39"/>
  <c r="I48" i="39"/>
  <c r="G48" i="39"/>
  <c r="E48" i="39"/>
  <c r="I40" i="39"/>
  <c r="G40" i="39"/>
  <c r="E40" i="39"/>
  <c r="I9" i="39"/>
  <c r="G9" i="39"/>
  <c r="E9" i="39"/>
  <c r="I8" i="39"/>
  <c r="I7" i="39"/>
  <c r="G8" i="39"/>
  <c r="G7" i="39"/>
  <c r="E8" i="39"/>
  <c r="E7" i="39"/>
  <c r="R48" i="39"/>
  <c r="D83" i="39"/>
  <c r="E83" i="39"/>
  <c r="F83" i="39"/>
  <c r="G83" i="39"/>
  <c r="I13" i="3"/>
  <c r="BB13" i="3"/>
  <c r="K13" i="3"/>
  <c r="BC13" i="3"/>
  <c r="BA13" i="3"/>
  <c r="AZ13" i="3"/>
  <c r="AZ5" i="3"/>
  <c r="H13" i="3"/>
  <c r="G13" i="3"/>
  <c r="G5" i="3"/>
  <c r="B3" i="3"/>
  <c r="AY6" i="3"/>
  <c r="D3" i="6"/>
  <c r="F19" i="6"/>
  <c r="E19" i="6"/>
  <c r="E3" i="6"/>
  <c r="D19" i="6"/>
  <c r="F20" i="6"/>
  <c r="E20" i="6"/>
  <c r="D20" i="6"/>
  <c r="D21" i="6"/>
  <c r="D22" i="6"/>
  <c r="D23" i="6"/>
  <c r="D24" i="6"/>
  <c r="D25" i="6"/>
  <c r="D26" i="6"/>
  <c r="D27" i="6"/>
  <c r="D28" i="6"/>
  <c r="D29" i="6"/>
  <c r="D30" i="6"/>
  <c r="D31" i="6"/>
  <c r="BB5" i="3"/>
  <c r="BC5" i="3"/>
  <c r="E8" i="6"/>
  <c r="F27" i="6"/>
  <c r="F31" i="6"/>
  <c r="I6" i="6"/>
  <c r="C13" i="39"/>
  <c r="F13" i="39"/>
  <c r="AA13" i="39"/>
  <c r="D93" i="39"/>
  <c r="E93" i="39"/>
  <c r="F93" i="39"/>
  <c r="G93" i="39"/>
  <c r="F19" i="39"/>
  <c r="AA19" i="39"/>
  <c r="D97" i="39"/>
  <c r="E97" i="39"/>
  <c r="F97" i="39"/>
  <c r="F23" i="39"/>
  <c r="AA23" i="39"/>
  <c r="D99" i="39"/>
  <c r="E99" i="39"/>
  <c r="F25" i="39"/>
  <c r="AA25" i="39"/>
  <c r="F29" i="39"/>
  <c r="AA29" i="39"/>
  <c r="F9" i="39"/>
  <c r="AA9" i="39"/>
  <c r="D77" i="39"/>
  <c r="F11" i="39"/>
  <c r="AA11" i="39"/>
  <c r="C40" i="39"/>
  <c r="F40" i="39"/>
  <c r="AA40" i="39"/>
  <c r="F21" i="39"/>
  <c r="AA21" i="39"/>
  <c r="K27" i="39"/>
  <c r="D101" i="39"/>
  <c r="E101" i="39"/>
  <c r="F27" i="39"/>
  <c r="AA27" i="39"/>
  <c r="K31" i="39"/>
  <c r="D105" i="39"/>
  <c r="F31" i="39"/>
  <c r="AA31" i="39"/>
  <c r="K34" i="39"/>
  <c r="D109" i="39"/>
  <c r="E109" i="39"/>
  <c r="F109" i="39"/>
  <c r="F34" i="39"/>
  <c r="AA34" i="39"/>
  <c r="F41" i="39"/>
  <c r="AA41" i="39"/>
  <c r="F42" i="39"/>
  <c r="AA42" i="39"/>
  <c r="F43" i="39"/>
  <c r="AA43" i="39"/>
  <c r="F44" i="39"/>
  <c r="AA44" i="39"/>
  <c r="T48" i="39"/>
  <c r="H13" i="39"/>
  <c r="AB13" i="39"/>
  <c r="H19" i="39"/>
  <c r="AB19" i="39"/>
  <c r="H23" i="39"/>
  <c r="AB23" i="39"/>
  <c r="H25" i="39"/>
  <c r="AB25" i="39"/>
  <c r="H29" i="39"/>
  <c r="AB29" i="39"/>
  <c r="H17" i="39"/>
  <c r="AB17" i="39"/>
  <c r="H9" i="39"/>
  <c r="AB9" i="39"/>
  <c r="H11" i="39"/>
  <c r="AB11" i="39"/>
  <c r="H40" i="39"/>
  <c r="AB40" i="39"/>
  <c r="H21" i="39"/>
  <c r="AB21" i="39"/>
  <c r="H27" i="39"/>
  <c r="AB27" i="39"/>
  <c r="H31" i="39"/>
  <c r="AB31" i="39"/>
  <c r="H34" i="39"/>
  <c r="AB34" i="39"/>
  <c r="H41" i="39"/>
  <c r="AB41" i="39"/>
  <c r="H42" i="39"/>
  <c r="AB42" i="39"/>
  <c r="H43" i="39"/>
  <c r="AB43" i="39"/>
  <c r="H44" i="39"/>
  <c r="AB44" i="39"/>
  <c r="V48" i="39"/>
  <c r="J13" i="39"/>
  <c r="AC13" i="39"/>
  <c r="J19" i="39"/>
  <c r="AC19" i="39"/>
  <c r="J23" i="39"/>
  <c r="AC23" i="39"/>
  <c r="J25" i="39"/>
  <c r="AC25" i="39"/>
  <c r="J29" i="39"/>
  <c r="AC29" i="39"/>
  <c r="J17" i="39"/>
  <c r="AC17" i="39"/>
  <c r="J11" i="39"/>
  <c r="AC11" i="39"/>
  <c r="J21" i="39"/>
  <c r="AC21" i="39"/>
  <c r="J27" i="39"/>
  <c r="AC27" i="39"/>
  <c r="J31" i="39"/>
  <c r="AC31" i="39"/>
  <c r="J34" i="39"/>
  <c r="AC34" i="39"/>
  <c r="J41" i="39"/>
  <c r="AC41" i="39"/>
  <c r="J42" i="39"/>
  <c r="AC42" i="39"/>
  <c r="J43" i="39"/>
  <c r="AC43" i="39"/>
  <c r="J44" i="39"/>
  <c r="AC44" i="39"/>
  <c r="J40" i="39"/>
  <c r="AC40" i="39"/>
  <c r="F6" i="15"/>
  <c r="F8" i="15"/>
  <c r="K7" i="1"/>
  <c r="F7" i="15"/>
  <c r="F9" i="15"/>
  <c r="C6" i="15"/>
  <c r="N4" i="65"/>
  <c r="C4" i="65"/>
  <c r="B39" i="1"/>
  <c r="F11" i="15"/>
  <c r="C10" i="15"/>
  <c r="C5" i="15"/>
  <c r="C32" i="15"/>
  <c r="C33" i="15"/>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F20" i="15"/>
  <c r="C20" i="15"/>
  <c r="I5" i="65"/>
  <c r="B22" i="1"/>
  <c r="C2" i="65"/>
  <c r="I1"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C11" i="21"/>
  <c r="F11" i="21"/>
  <c r="AA11" i="21"/>
  <c r="C33" i="21"/>
  <c r="F33" i="21"/>
  <c r="AA33" i="21"/>
  <c r="D123" i="21"/>
  <c r="E123" i="21"/>
  <c r="F42" i="21"/>
  <c r="AA42" i="21"/>
  <c r="D77" i="21"/>
  <c r="E77" i="21"/>
  <c r="F77" i="21"/>
  <c r="F15" i="21"/>
  <c r="AA15" i="21"/>
  <c r="D81" i="21"/>
  <c r="E81" i="21"/>
  <c r="F81" i="21"/>
  <c r="F19" i="21"/>
  <c r="AA19" i="21"/>
  <c r="R48" i="21"/>
  <c r="H11" i="21"/>
  <c r="AB11" i="21"/>
  <c r="H33" i="21"/>
  <c r="AB33" i="21"/>
  <c r="H42" i="21"/>
  <c r="AB42" i="21"/>
  <c r="H15" i="21"/>
  <c r="AB15" i="21"/>
  <c r="H19" i="21"/>
  <c r="AB19" i="21"/>
  <c r="T48" i="21"/>
  <c r="J11" i="21"/>
  <c r="AC11" i="21"/>
  <c r="J33" i="21"/>
  <c r="AC33" i="21"/>
  <c r="J42" i="21"/>
  <c r="AC42" i="21"/>
  <c r="J15" i="21"/>
  <c r="AC15" i="21"/>
  <c r="J19" i="21"/>
  <c r="AC19" i="21"/>
  <c r="V48" i="21"/>
  <c r="R49" i="21"/>
  <c r="C49" i="21"/>
  <c r="B3" i="21"/>
  <c r="D3" i="21"/>
  <c r="B2" i="21"/>
  <c r="C6"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C13" i="12"/>
  <c r="C14" i="12"/>
  <c r="F15" i="12"/>
  <c r="C15" i="12"/>
  <c r="D16" i="12"/>
  <c r="C16" i="12"/>
  <c r="C17" i="12"/>
  <c r="C18" i="12"/>
  <c r="D19" i="12"/>
  <c r="E19" i="12"/>
  <c r="C19" i="12"/>
  <c r="E5" i="6"/>
  <c r="D21" i="12"/>
  <c r="C21" i="12"/>
  <c r="E6" i="6"/>
  <c r="D22" i="12"/>
  <c r="C22" i="12"/>
  <c r="C20" i="12"/>
  <c r="F23" i="12"/>
  <c r="C23" i="12"/>
  <c r="F24" i="12"/>
  <c r="C24" i="12"/>
  <c r="F26" i="12"/>
  <c r="B24" i="1"/>
  <c r="C28" i="12"/>
  <c r="C26" i="12"/>
  <c r="C29" i="12"/>
  <c r="C31" i="12"/>
  <c r="C30" i="12"/>
  <c r="Q16" i="1"/>
  <c r="F33" i="12"/>
  <c r="C35" i="12"/>
  <c r="C33" i="12"/>
  <c r="C27" i="12"/>
  <c r="D26" i="12"/>
  <c r="C32" i="12"/>
  <c r="D30" i="12"/>
  <c r="C34" i="12"/>
  <c r="D33" i="12"/>
  <c r="C36" i="12"/>
  <c r="B2" i="12"/>
  <c r="D19" i="9"/>
  <c r="C17" i="9"/>
  <c r="D17" i="9"/>
  <c r="C18" i="9"/>
  <c r="D18" i="9"/>
  <c r="B27" i="9"/>
  <c r="B30" i="9"/>
  <c r="D30" i="9"/>
  <c r="C24" i="9"/>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C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AT5" i="3"/>
  <c r="A6" i="1"/>
  <c r="A7" i="1"/>
  <c r="G1" i="15"/>
  <c r="D3" i="4"/>
  <c r="C1" i="65"/>
  <c r="N1" i="65"/>
  <c r="B43" i="1"/>
  <c r="B41" i="1"/>
  <c r="F32" i="15"/>
  <c r="F33" i="15"/>
  <c r="E21" i="6"/>
  <c r="E22" i="6"/>
  <c r="E23" i="6"/>
  <c r="E24" i="6"/>
  <c r="E25" i="6"/>
  <c r="E26" i="6"/>
  <c r="BQ5" i="3"/>
  <c r="BS5" i="3"/>
  <c r="F28" i="6"/>
  <c r="BR5" i="3"/>
  <c r="BT5" i="3"/>
  <c r="G28" i="6"/>
  <c r="E28" i="6"/>
  <c r="B52" i="1"/>
  <c r="F34" i="15"/>
  <c r="A8" i="1"/>
  <c r="A9" i="1"/>
  <c r="A10" i="1"/>
  <c r="A11" i="1"/>
  <c r="A12" i="1"/>
  <c r="A13" i="1"/>
  <c r="T4" i="1"/>
  <c r="F15" i="15"/>
  <c r="F17" i="15"/>
  <c r="F18" i="15"/>
  <c r="H1" i="65"/>
  <c r="F28" i="15"/>
  <c r="B2" i="1"/>
  <c r="C42" i="1"/>
  <c r="C28" i="15"/>
  <c r="E19" i="4"/>
  <c r="F7" i="1"/>
  <c r="M47" i="15"/>
  <c r="J50" i="15"/>
  <c r="J51" i="15"/>
  <c r="B3" i="15"/>
  <c r="G77" i="21"/>
  <c r="BM5" i="3"/>
  <c r="BO5" i="3"/>
  <c r="F29" i="6"/>
  <c r="BN5" i="3"/>
  <c r="BP5" i="3"/>
  <c r="G29" i="6"/>
  <c r="E29" i="6"/>
  <c r="BB10" i="3"/>
  <c r="BC10" i="3"/>
  <c r="BD10" i="3"/>
  <c r="BE10" i="3"/>
  <c r="BF10" i="3"/>
  <c r="BG10" i="3"/>
  <c r="BH10" i="3"/>
  <c r="BI10" i="3"/>
  <c r="BJ10" i="3"/>
  <c r="BK10" i="3"/>
  <c r="BD5" i="3"/>
  <c r="BE5" i="3"/>
  <c r="BF5" i="3"/>
  <c r="BG5" i="3"/>
  <c r="BH5" i="3"/>
  <c r="BI5" i="3"/>
  <c r="BJ5" i="3"/>
  <c r="BK5" i="3"/>
  <c r="F30" i="6"/>
  <c r="D79" i="21"/>
  <c r="E79" i="21"/>
  <c r="F79" i="21"/>
  <c r="F17" i="21"/>
  <c r="AA17" i="21"/>
  <c r="R47" i="21"/>
  <c r="C7" i="21"/>
  <c r="C58" i="21"/>
  <c r="D58" i="21"/>
  <c r="E58" i="21"/>
  <c r="F58" i="21"/>
  <c r="G58" i="21"/>
  <c r="H58" i="21"/>
  <c r="I58" i="21"/>
  <c r="J58" i="21"/>
  <c r="K58" i="21"/>
  <c r="L58" i="21"/>
  <c r="M58" i="21"/>
  <c r="N58" i="21"/>
  <c r="O58" i="21"/>
  <c r="F7" i="21"/>
  <c r="AA7" i="21"/>
  <c r="F8" i="21"/>
  <c r="AA8" i="21"/>
  <c r="C63" i="21"/>
  <c r="F9" i="21"/>
  <c r="AA9" i="21"/>
  <c r="F10" i="21"/>
  <c r="AA10" i="21"/>
  <c r="B70" i="21"/>
  <c r="F12" i="21"/>
  <c r="AA12" i="21"/>
  <c r="B72" i="21"/>
  <c r="F13" i="21"/>
  <c r="AA13" i="21"/>
  <c r="B74" i="21"/>
  <c r="F14" i="21"/>
  <c r="AA14" i="21"/>
  <c r="G81" i="21"/>
  <c r="D83"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F32" i="21"/>
  <c r="AA32"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H17" i="21"/>
  <c r="AB17" i="21"/>
  <c r="T47" i="21"/>
  <c r="H7" i="21"/>
  <c r="AB7" i="21"/>
  <c r="H8" i="21"/>
  <c r="AB8" i="21"/>
  <c r="H9" i="21"/>
  <c r="AB9" i="21"/>
  <c r="H10" i="21"/>
  <c r="AB10" i="21"/>
  <c r="H12" i="21"/>
  <c r="AB12" i="21"/>
  <c r="H13" i="21"/>
  <c r="AB13" i="21"/>
  <c r="H14" i="21"/>
  <c r="AB14" i="21"/>
  <c r="H21" i="21"/>
  <c r="AB21" i="21"/>
  <c r="H23" i="21"/>
  <c r="AB23" i="21"/>
  <c r="H25" i="21"/>
  <c r="AB25" i="21"/>
  <c r="H26" i="21"/>
  <c r="AB26" i="21"/>
  <c r="H27" i="21"/>
  <c r="AB27" i="21"/>
  <c r="H28" i="21"/>
  <c r="AB28" i="21"/>
  <c r="H29" i="21"/>
  <c r="AB29" i="21"/>
  <c r="H30" i="21"/>
  <c r="AB30" i="21"/>
  <c r="H31" i="21"/>
  <c r="AB31" i="21"/>
  <c r="H32" i="21"/>
  <c r="AB32"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J17" i="21"/>
  <c r="AC17" i="21"/>
  <c r="V47" i="21"/>
  <c r="J7" i="21"/>
  <c r="AC7" i="21"/>
  <c r="J8" i="21"/>
  <c r="AC8" i="21"/>
  <c r="J9" i="21"/>
  <c r="AC9" i="21"/>
  <c r="J10" i="21"/>
  <c r="AC10" i="21"/>
  <c r="J12" i="21"/>
  <c r="AC12" i="21"/>
  <c r="J13" i="21"/>
  <c r="AC13" i="21"/>
  <c r="J14" i="21"/>
  <c r="AC14" i="21"/>
  <c r="J21" i="21"/>
  <c r="AC21" i="21"/>
  <c r="J23" i="21"/>
  <c r="AC23" i="21"/>
  <c r="J25" i="21"/>
  <c r="AC25" i="21"/>
  <c r="J26" i="21"/>
  <c r="AC26" i="21"/>
  <c r="J27" i="21"/>
  <c r="AC27" i="21"/>
  <c r="J28" i="21"/>
  <c r="AC28" i="21"/>
  <c r="J29" i="21"/>
  <c r="AC29" i="21"/>
  <c r="J30" i="21"/>
  <c r="AC30" i="21"/>
  <c r="J31" i="21"/>
  <c r="AC31" i="21"/>
  <c r="J32" i="21"/>
  <c r="AC32"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E22" i="4"/>
  <c r="E21" i="4"/>
  <c r="C77" i="39"/>
  <c r="D19" i="4"/>
  <c r="C12" i="39"/>
  <c r="D9" i="12"/>
  <c r="C9" i="12"/>
  <c r="D73" i="39"/>
  <c r="E73" i="39"/>
  <c r="F73" i="39"/>
  <c r="G73" i="39"/>
  <c r="H73" i="39"/>
  <c r="I73" i="39"/>
  <c r="J73" i="39"/>
  <c r="K73" i="39"/>
  <c r="L73" i="39"/>
  <c r="M73" i="39"/>
  <c r="N73" i="39"/>
  <c r="C30" i="9"/>
  <c r="K21" i="39"/>
  <c r="K42" i="39"/>
  <c r="K43" i="39"/>
  <c r="K44" i="39"/>
  <c r="K41" i="39"/>
  <c r="C77" i="68"/>
  <c r="C12" i="68"/>
  <c r="B133" i="68"/>
  <c r="B131" i="68"/>
  <c r="B129" i="68"/>
  <c r="D128" i="68"/>
  <c r="E128" i="68"/>
  <c r="F128" i="68"/>
  <c r="G128" i="68"/>
  <c r="H128" i="68"/>
  <c r="I128" i="68"/>
  <c r="J128" i="68"/>
  <c r="K128" i="68"/>
  <c r="L128" i="68"/>
  <c r="M128" i="68"/>
  <c r="D126" i="68"/>
  <c r="E126" i="68"/>
  <c r="F126" i="68"/>
  <c r="G126" i="68"/>
  <c r="H126" i="68"/>
  <c r="I126" i="68"/>
  <c r="J126" i="68"/>
  <c r="K126" i="68"/>
  <c r="L126" i="68"/>
  <c r="M126" i="68"/>
  <c r="D124" i="68"/>
  <c r="E124" i="68"/>
  <c r="F124" i="68"/>
  <c r="G124" i="68"/>
  <c r="H124" i="68"/>
  <c r="I124" i="68"/>
  <c r="J124" i="68"/>
  <c r="K124" i="68"/>
  <c r="L124" i="68"/>
  <c r="M124" i="68"/>
  <c r="D122" i="68"/>
  <c r="E122" i="68"/>
  <c r="F122" i="68"/>
  <c r="G122" i="68"/>
  <c r="H122" i="68"/>
  <c r="I122" i="68"/>
  <c r="J122" i="68"/>
  <c r="K122" i="68"/>
  <c r="L122" i="68"/>
  <c r="M122" i="68"/>
  <c r="M118" i="68"/>
  <c r="L118" i="68"/>
  <c r="K118" i="68"/>
  <c r="J118" i="68"/>
  <c r="I118" i="68"/>
  <c r="H118" i="68"/>
  <c r="G118" i="68"/>
  <c r="F118" i="68"/>
  <c r="E118" i="68"/>
  <c r="D118" i="68"/>
  <c r="C118" i="68"/>
  <c r="B116" i="68"/>
  <c r="B114" i="68"/>
  <c r="B112" i="68"/>
  <c r="D111" i="68"/>
  <c r="E111" i="68"/>
  <c r="F111" i="68"/>
  <c r="G111" i="68"/>
  <c r="H111" i="68"/>
  <c r="I111" i="68"/>
  <c r="J111" i="68"/>
  <c r="K111" i="68"/>
  <c r="L111" i="68"/>
  <c r="M111" i="68"/>
  <c r="D109" i="68"/>
  <c r="E109" i="68"/>
  <c r="F109" i="68"/>
  <c r="G109" i="68"/>
  <c r="H109" i="68"/>
  <c r="I109" i="68"/>
  <c r="J109" i="68"/>
  <c r="K109" i="68"/>
  <c r="L109" i="68"/>
  <c r="M109" i="68"/>
  <c r="D107" i="68"/>
  <c r="E107" i="68"/>
  <c r="F107" i="68"/>
  <c r="G107" i="68"/>
  <c r="H107" i="68"/>
  <c r="I107" i="68"/>
  <c r="J107" i="68"/>
  <c r="K107" i="68"/>
  <c r="L107" i="68"/>
  <c r="M107" i="68"/>
  <c r="B106" i="68"/>
  <c r="D105" i="68"/>
  <c r="E105" i="68"/>
  <c r="F105" i="68"/>
  <c r="G105" i="68"/>
  <c r="D103" i="68"/>
  <c r="E103" i="68"/>
  <c r="F103" i="68"/>
  <c r="G103" i="68"/>
  <c r="D101" i="68"/>
  <c r="E101" i="68"/>
  <c r="F101" i="68"/>
  <c r="G101" i="68"/>
  <c r="D99" i="68"/>
  <c r="E99" i="68"/>
  <c r="F99" i="68"/>
  <c r="G99" i="68"/>
  <c r="D97" i="68"/>
  <c r="E97" i="68"/>
  <c r="F97" i="68"/>
  <c r="G97" i="68"/>
  <c r="D95" i="68"/>
  <c r="E95" i="68"/>
  <c r="F95" i="68"/>
  <c r="G95" i="68"/>
  <c r="D93" i="68"/>
  <c r="E93" i="68"/>
  <c r="F93" i="68"/>
  <c r="G93" i="68"/>
  <c r="D91" i="68"/>
  <c r="E91" i="68"/>
  <c r="F91" i="68"/>
  <c r="G91" i="68"/>
  <c r="B88" i="68"/>
  <c r="B86" i="68"/>
  <c r="B84" i="68"/>
  <c r="D83" i="68"/>
  <c r="E83" i="68"/>
  <c r="F83" i="68"/>
  <c r="G83" i="68"/>
  <c r="H83" i="68"/>
  <c r="I83" i="68"/>
  <c r="J83" i="68"/>
  <c r="K83" i="68"/>
  <c r="L83" i="68"/>
  <c r="M83" i="68"/>
  <c r="M81" i="68"/>
  <c r="L81" i="68"/>
  <c r="K81" i="68"/>
  <c r="J81" i="68"/>
  <c r="I81" i="68"/>
  <c r="H81" i="68"/>
  <c r="G81" i="68"/>
  <c r="F81" i="68"/>
  <c r="E81" i="68"/>
  <c r="D81" i="68"/>
  <c r="C81" i="68"/>
  <c r="D77" i="68"/>
  <c r="D73" i="68"/>
  <c r="E73" i="68"/>
  <c r="F73" i="68"/>
  <c r="G73" i="68"/>
  <c r="H73" i="68"/>
  <c r="I73" i="68"/>
  <c r="J73" i="68"/>
  <c r="K73" i="68"/>
  <c r="L73" i="68"/>
  <c r="M73" i="68"/>
  <c r="N73" i="68"/>
  <c r="B73" i="68"/>
  <c r="H67" i="68"/>
  <c r="I67" i="68"/>
  <c r="C67" i="68"/>
  <c r="E67" i="68"/>
  <c r="H66" i="68"/>
  <c r="I66" i="68"/>
  <c r="C66" i="68"/>
  <c r="E66" i="68"/>
  <c r="H65" i="68"/>
  <c r="I65" i="68"/>
  <c r="C65" i="68"/>
  <c r="E65" i="68"/>
  <c r="H64" i="68"/>
  <c r="I64" i="68"/>
  <c r="C64" i="68"/>
  <c r="E64" i="68"/>
  <c r="H63" i="68"/>
  <c r="I63" i="68"/>
  <c r="C63" i="68"/>
  <c r="E63" i="68"/>
  <c r="H62" i="68"/>
  <c r="I62" i="68"/>
  <c r="C62" i="68"/>
  <c r="H61" i="68"/>
  <c r="I61" i="68"/>
  <c r="C61" i="68"/>
  <c r="H60" i="68"/>
  <c r="I60" i="68"/>
  <c r="C60" i="68"/>
  <c r="H59" i="68"/>
  <c r="I59" i="68"/>
  <c r="C59" i="68"/>
  <c r="E58" i="68"/>
  <c r="J57" i="68"/>
  <c r="P50" i="68"/>
  <c r="P49" i="68"/>
  <c r="P48" i="68"/>
  <c r="I48" i="68"/>
  <c r="G48" i="68"/>
  <c r="T48" i="68"/>
  <c r="E48" i="68"/>
  <c r="H47" i="68"/>
  <c r="U47" i="68"/>
  <c r="Q47" i="68"/>
  <c r="Z47" i="68"/>
  <c r="J47" i="68"/>
  <c r="AC47" i="68"/>
  <c r="AB47" i="68"/>
  <c r="F47" i="68"/>
  <c r="AA47" i="68"/>
  <c r="Q46" i="68"/>
  <c r="Z46" i="68"/>
  <c r="J46" i="68"/>
  <c r="AC46" i="68"/>
  <c r="H46" i="68"/>
  <c r="AB46" i="68"/>
  <c r="F46" i="68"/>
  <c r="AA46" i="68"/>
  <c r="Q45" i="68"/>
  <c r="Z45" i="68"/>
  <c r="J45" i="68"/>
  <c r="AC45" i="68"/>
  <c r="H45" i="68"/>
  <c r="AB45" i="68"/>
  <c r="F45" i="68"/>
  <c r="AA45" i="68"/>
  <c r="J44" i="68"/>
  <c r="AC44" i="68"/>
  <c r="W44" i="68"/>
  <c r="Q44" i="68"/>
  <c r="Z44" i="68"/>
  <c r="H44" i="68"/>
  <c r="AB44" i="68"/>
  <c r="F44" i="68"/>
  <c r="AA44" i="68"/>
  <c r="H43" i="68"/>
  <c r="AB43" i="68"/>
  <c r="U43" i="68"/>
  <c r="Q43" i="68"/>
  <c r="Z43" i="68"/>
  <c r="J43" i="68"/>
  <c r="AC43" i="68"/>
  <c r="F43" i="68"/>
  <c r="AA43" i="68"/>
  <c r="Q42" i="68"/>
  <c r="Z42" i="68"/>
  <c r="J42" i="68"/>
  <c r="AC42" i="68"/>
  <c r="H42" i="68"/>
  <c r="AB42" i="68"/>
  <c r="F42" i="68"/>
  <c r="AA42" i="68"/>
  <c r="Q41" i="68"/>
  <c r="Z41" i="68"/>
  <c r="J41" i="68"/>
  <c r="AC41" i="68"/>
  <c r="H41" i="68"/>
  <c r="AB41" i="68"/>
  <c r="F41" i="68"/>
  <c r="AA41" i="68"/>
  <c r="Q40" i="68"/>
  <c r="Z40" i="68"/>
  <c r="I40" i="68"/>
  <c r="G40" i="68"/>
  <c r="E40" i="68"/>
  <c r="H39" i="68"/>
  <c r="AB39" i="68"/>
  <c r="U39" i="68"/>
  <c r="Q39" i="68"/>
  <c r="Z39" i="68"/>
  <c r="J39" i="68"/>
  <c r="AC39" i="68"/>
  <c r="F39" i="68"/>
  <c r="AA39" i="68"/>
  <c r="Q38" i="68"/>
  <c r="Z38" i="68"/>
  <c r="J38" i="68"/>
  <c r="AC38" i="68"/>
  <c r="H38" i="68"/>
  <c r="AB38" i="68"/>
  <c r="F38" i="68"/>
  <c r="AA38" i="68"/>
  <c r="Q37" i="68"/>
  <c r="Z37" i="68"/>
  <c r="J37" i="68"/>
  <c r="AC37" i="68"/>
  <c r="H37" i="68"/>
  <c r="AB37" i="68"/>
  <c r="F37" i="68"/>
  <c r="AA37" i="68"/>
  <c r="J36" i="68"/>
  <c r="AC36" i="68"/>
  <c r="W36" i="68"/>
  <c r="Q36" i="68"/>
  <c r="Z36" i="68"/>
  <c r="H36" i="68"/>
  <c r="AB36" i="68"/>
  <c r="F36" i="68"/>
  <c r="AA36" i="68"/>
  <c r="H34" i="68"/>
  <c r="AB34" i="68"/>
  <c r="Q34" i="68"/>
  <c r="Z34" i="68"/>
  <c r="J34" i="68"/>
  <c r="AC34" i="68"/>
  <c r="U34" i="68"/>
  <c r="F34" i="68"/>
  <c r="AA34" i="68"/>
  <c r="Q33" i="68"/>
  <c r="Z33" i="68"/>
  <c r="J33" i="68"/>
  <c r="AC33" i="68"/>
  <c r="H33" i="68"/>
  <c r="AB33" i="68"/>
  <c r="F33" i="68"/>
  <c r="AA33" i="68"/>
  <c r="Q31" i="68"/>
  <c r="Z31" i="68"/>
  <c r="J31" i="68"/>
  <c r="AC31" i="68"/>
  <c r="H31" i="68"/>
  <c r="AB31" i="68"/>
  <c r="F31" i="68"/>
  <c r="AA31" i="68"/>
  <c r="C31" i="68"/>
  <c r="Q29" i="68"/>
  <c r="Z29" i="68"/>
  <c r="J29" i="68"/>
  <c r="AC29" i="68"/>
  <c r="H29" i="68"/>
  <c r="AB29" i="68"/>
  <c r="F29" i="68"/>
  <c r="AA29" i="68"/>
  <c r="C29" i="68"/>
  <c r="Q27" i="68"/>
  <c r="Z27" i="68"/>
  <c r="J27" i="68"/>
  <c r="AC27" i="68"/>
  <c r="H27" i="68"/>
  <c r="AB27" i="68"/>
  <c r="F27" i="68"/>
  <c r="AA27" i="68"/>
  <c r="C27" i="68"/>
  <c r="Q25" i="68"/>
  <c r="Z25" i="68"/>
  <c r="J25" i="68"/>
  <c r="AC25" i="68"/>
  <c r="H25" i="68"/>
  <c r="AB25" i="68"/>
  <c r="F25" i="68"/>
  <c r="AA25" i="68"/>
  <c r="C25" i="68"/>
  <c r="Q23" i="68"/>
  <c r="Z23" i="68"/>
  <c r="J23" i="68"/>
  <c r="AC23" i="68"/>
  <c r="H23" i="68"/>
  <c r="AB23" i="68"/>
  <c r="F23" i="68"/>
  <c r="AA23" i="68"/>
  <c r="C23" i="68"/>
  <c r="Q21" i="68"/>
  <c r="Z21" i="68"/>
  <c r="J21" i="68"/>
  <c r="AC21" i="68"/>
  <c r="H21" i="68"/>
  <c r="AB21" i="68"/>
  <c r="F21" i="68"/>
  <c r="AA21" i="68"/>
  <c r="C21" i="68"/>
  <c r="Q19" i="68"/>
  <c r="Z19" i="68"/>
  <c r="J19" i="68"/>
  <c r="AC19" i="68"/>
  <c r="H19" i="68"/>
  <c r="AB19" i="68"/>
  <c r="F19" i="68"/>
  <c r="AA19" i="68"/>
  <c r="C19" i="68"/>
  <c r="Q17" i="68"/>
  <c r="Z17" i="68"/>
  <c r="J17" i="68"/>
  <c r="AC17" i="68"/>
  <c r="H17" i="68"/>
  <c r="AB17" i="68"/>
  <c r="F17" i="68"/>
  <c r="S17" i="68"/>
  <c r="C17" i="68"/>
  <c r="Q16" i="68"/>
  <c r="Z16" i="68"/>
  <c r="J16" i="68"/>
  <c r="AC16" i="68"/>
  <c r="H16" i="68"/>
  <c r="AB16" i="68"/>
  <c r="F16" i="68"/>
  <c r="AA16" i="68"/>
  <c r="Q15" i="68"/>
  <c r="Z15" i="68"/>
  <c r="J15" i="68"/>
  <c r="AC15" i="68"/>
  <c r="H15" i="68"/>
  <c r="AB15" i="68"/>
  <c r="F15" i="68"/>
  <c r="AA15" i="68"/>
  <c r="Q14" i="68"/>
  <c r="Z14" i="68"/>
  <c r="J14" i="68"/>
  <c r="AC14" i="68"/>
  <c r="H14" i="68"/>
  <c r="AB14" i="68"/>
  <c r="F14" i="68"/>
  <c r="AA14" i="68"/>
  <c r="Q13" i="68"/>
  <c r="Z13" i="68"/>
  <c r="Q12" i="68"/>
  <c r="Z12" i="68"/>
  <c r="J12" i="68"/>
  <c r="AC12" i="68"/>
  <c r="H12" i="68"/>
  <c r="AB12" i="68"/>
  <c r="F12" i="68"/>
  <c r="AA12" i="68"/>
  <c r="Q11" i="68"/>
  <c r="Z11" i="68"/>
  <c r="J11" i="68"/>
  <c r="AC11" i="68"/>
  <c r="H11" i="68"/>
  <c r="AB11" i="68"/>
  <c r="F11" i="68"/>
  <c r="AA11" i="68"/>
  <c r="H10" i="68"/>
  <c r="U10" i="68"/>
  <c r="J10" i="68"/>
  <c r="W10" i="68"/>
  <c r="AB10" i="68"/>
  <c r="F10" i="68"/>
  <c r="S10" i="68"/>
  <c r="I9" i="68"/>
  <c r="G9" i="68"/>
  <c r="E9" i="68"/>
  <c r="C9" i="68"/>
  <c r="C70" i="68"/>
  <c r="I7" i="68"/>
  <c r="G7" i="68"/>
  <c r="E7" i="68"/>
  <c r="E68" i="68"/>
  <c r="E55" i="68"/>
  <c r="F55" i="68"/>
  <c r="I55" i="68"/>
  <c r="J55" i="68"/>
  <c r="W16" i="68"/>
  <c r="AA17" i="68"/>
  <c r="S19" i="68"/>
  <c r="S23" i="68"/>
  <c r="W23" i="68"/>
  <c r="S25" i="68"/>
  <c r="W25" i="68"/>
  <c r="S27" i="68"/>
  <c r="W27" i="68"/>
  <c r="S29" i="68"/>
  <c r="W29" i="68"/>
  <c r="S31" i="68"/>
  <c r="W31" i="68"/>
  <c r="U33" i="68"/>
  <c r="S34" i="68"/>
  <c r="W34" i="68"/>
  <c r="S38" i="68"/>
  <c r="S42" i="68"/>
  <c r="S46" i="68"/>
  <c r="AA10" i="68"/>
  <c r="AC10" i="68"/>
  <c r="U11" i="68"/>
  <c r="U12" i="68"/>
  <c r="S14" i="68"/>
  <c r="W14" i="68"/>
  <c r="U15" i="68"/>
  <c r="S16" i="68"/>
  <c r="W17" i="68"/>
  <c r="W19" i="68"/>
  <c r="S21" i="68"/>
  <c r="W21" i="68"/>
  <c r="D70" i="68"/>
  <c r="C72" i="68"/>
  <c r="S11" i="68"/>
  <c r="W11" i="68"/>
  <c r="S12" i="68"/>
  <c r="W12" i="68"/>
  <c r="U14" i="68"/>
  <c r="S15" i="68"/>
  <c r="W15" i="68"/>
  <c r="U16" i="68"/>
  <c r="U17" i="68"/>
  <c r="U19" i="68"/>
  <c r="U21" i="68"/>
  <c r="U23" i="68"/>
  <c r="U25" i="68"/>
  <c r="U27" i="68"/>
  <c r="U29" i="68"/>
  <c r="U31" i="68"/>
  <c r="S33" i="68"/>
  <c r="W33" i="68"/>
  <c r="S36" i="68"/>
  <c r="U37" i="68"/>
  <c r="W38" i="68"/>
  <c r="U41" i="68"/>
  <c r="W42" i="68"/>
  <c r="S44" i="68"/>
  <c r="U45" i="68"/>
  <c r="W46" i="68"/>
  <c r="R48" i="68"/>
  <c r="V48" i="68"/>
  <c r="G55" i="68"/>
  <c r="H55" i="68"/>
  <c r="U36" i="68"/>
  <c r="S37" i="68"/>
  <c r="W37" i="68"/>
  <c r="U38" i="68"/>
  <c r="S39" i="68"/>
  <c r="W39" i="68"/>
  <c r="S41" i="68"/>
  <c r="W41" i="68"/>
  <c r="U42" i="68"/>
  <c r="S43" i="68"/>
  <c r="W43" i="68"/>
  <c r="U44" i="68"/>
  <c r="S45" i="68"/>
  <c r="W45" i="68"/>
  <c r="U46" i="68"/>
  <c r="S47" i="68"/>
  <c r="W47" i="68"/>
  <c r="D72" i="68"/>
  <c r="E70" i="68"/>
  <c r="F70" i="68"/>
  <c r="E72" i="68"/>
  <c r="F72" i="68"/>
  <c r="G70" i="68"/>
  <c r="H70" i="68"/>
  <c r="G72" i="68"/>
  <c r="H72" i="68"/>
  <c r="I70" i="68"/>
  <c r="J70" i="68"/>
  <c r="I72" i="68"/>
  <c r="J72" i="68"/>
  <c r="K70" i="68"/>
  <c r="L70" i="68"/>
  <c r="K72" i="68"/>
  <c r="L72" i="68"/>
  <c r="M70" i="68"/>
  <c r="N70" i="68"/>
  <c r="N72" i="68"/>
  <c r="M72" i="68"/>
  <c r="J9" i="68"/>
  <c r="F9" i="68"/>
  <c r="H9" i="68"/>
  <c r="AA9" i="68"/>
  <c r="S9" i="68"/>
  <c r="U9" i="68"/>
  <c r="AB9" i="68"/>
  <c r="AC9" i="68"/>
  <c r="W9" i="68"/>
  <c r="B7" i="4"/>
  <c r="B5" i="4"/>
  <c r="AH5" i="59"/>
  <c r="AG5" i="59"/>
  <c r="AE5" i="59"/>
  <c r="AF5" i="59"/>
  <c r="AD5" i="59"/>
  <c r="Q5" i="59"/>
  <c r="P5" i="59"/>
  <c r="O5" i="59"/>
  <c r="N5" i="59"/>
  <c r="I3" i="59"/>
  <c r="L3" i="59"/>
  <c r="K3" i="59"/>
  <c r="J3" i="59"/>
  <c r="AE6" i="59"/>
  <c r="AF6" i="59"/>
  <c r="AG6" i="59"/>
  <c r="AH6" i="59"/>
  <c r="AD6" i="59"/>
  <c r="Q6" i="59"/>
  <c r="P6" i="59"/>
  <c r="O6" i="59"/>
  <c r="N6" i="59"/>
  <c r="N7" i="59"/>
  <c r="Q7" i="59"/>
  <c r="P7" i="59"/>
  <c r="O7" i="59"/>
  <c r="K59" i="15"/>
  <c r="P62" i="15"/>
  <c r="P75" i="15"/>
  <c r="Q74" i="44"/>
  <c r="Q61" i="44"/>
  <c r="Q60" i="44"/>
  <c r="Q53" i="44"/>
  <c r="J51" i="44"/>
  <c r="J52" i="44"/>
  <c r="M48" i="44"/>
  <c r="A16" i="55"/>
  <c r="A15" i="55"/>
  <c r="A10" i="55"/>
  <c r="A9" i="55"/>
  <c r="A8" i="55"/>
  <c r="A6" i="54"/>
  <c r="A8" i="54"/>
  <c r="A7" i="54"/>
  <c r="A27" i="51"/>
  <c r="D5" i="46"/>
  <c r="Q8" i="59"/>
  <c r="O8" i="59"/>
  <c r="N9" i="59"/>
  <c r="O9" i="59"/>
  <c r="P9" i="59"/>
  <c r="Q9" i="59"/>
  <c r="N8" i="59"/>
  <c r="P8" i="59"/>
  <c r="E10" i="67"/>
  <c r="F8" i="67"/>
  <c r="B13" i="67"/>
  <c r="E13" i="67"/>
  <c r="B11" i="67"/>
  <c r="E11" i="67"/>
  <c r="F11" i="67"/>
  <c r="F14" i="67"/>
  <c r="E14" i="67"/>
  <c r="B14" i="67"/>
  <c r="F9" i="67"/>
  <c r="F13" i="67"/>
  <c r="F10" i="67"/>
  <c r="E12" i="67"/>
  <c r="B12" i="67"/>
  <c r="E9" i="67"/>
  <c r="B10" i="67"/>
  <c r="F12" i="67"/>
  <c r="B9" i="67"/>
  <c r="E8" i="67"/>
  <c r="B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S2" i="31"/>
  <c r="M2" i="31"/>
  <c r="N2" i="31"/>
  <c r="O2" i="31"/>
  <c r="P2" i="31"/>
  <c r="Q2" i="31"/>
  <c r="R2" i="31"/>
  <c r="C3" i="65"/>
  <c r="N7" i="65"/>
  <c r="B76" i="63"/>
  <c r="I6" i="65"/>
  <c r="N3" i="65"/>
  <c r="I7" i="65"/>
  <c r="I3" i="65"/>
  <c r="J6" i="65"/>
  <c r="N5" i="65"/>
  <c r="J4" i="65"/>
  <c r="J5" i="65"/>
  <c r="I4" i="65"/>
  <c r="N6" i="65"/>
  <c r="E20" i="46"/>
  <c r="J3" i="65"/>
  <c r="J7" i="65"/>
  <c r="J1" i="65"/>
  <c r="M5" i="54"/>
  <c r="A23" i="51"/>
  <c r="E3" i="65"/>
  <c r="F17" i="1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AB20" i="59"/>
  <c r="P20" i="59"/>
  <c r="AA20" i="59"/>
  <c r="O20" i="59"/>
  <c r="Y20" i="59"/>
  <c r="N20" i="59"/>
  <c r="X20" i="59"/>
  <c r="Q19" i="59"/>
  <c r="P19" i="59"/>
  <c r="O19" i="59"/>
  <c r="N19" i="59"/>
  <c r="D19" i="59"/>
  <c r="Q18" i="59"/>
  <c r="AB18" i="59"/>
  <c r="P18" i="59"/>
  <c r="AA18" i="59"/>
  <c r="O18" i="59"/>
  <c r="Y18" i="59"/>
  <c r="Z18" i="59"/>
  <c r="N18" i="59"/>
  <c r="X18" i="59"/>
  <c r="Q17" i="59"/>
  <c r="AB17" i="59"/>
  <c r="P17" i="59"/>
  <c r="AA17" i="59"/>
  <c r="O17" i="59"/>
  <c r="Y17" i="59"/>
  <c r="Z17" i="59"/>
  <c r="N17" i="59"/>
  <c r="X17" i="59"/>
  <c r="Q16" i="59"/>
  <c r="AB16" i="59"/>
  <c r="P16" i="59"/>
  <c r="AA16" i="59"/>
  <c r="O16" i="59"/>
  <c r="Y16" i="59"/>
  <c r="Z16" i="59"/>
  <c r="N16" i="59"/>
  <c r="X16" i="59"/>
  <c r="Q15" i="59"/>
  <c r="P15" i="59"/>
  <c r="O15" i="59"/>
  <c r="N15"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P11" i="59"/>
  <c r="AA11" i="59"/>
  <c r="O11" i="59"/>
  <c r="N11" i="59"/>
  <c r="D11" i="59"/>
  <c r="C16" i="59"/>
  <c r="Y15" i="59"/>
  <c r="Z15" i="59"/>
  <c r="F16" i="59"/>
  <c r="AB15" i="59"/>
  <c r="B20" i="59"/>
  <c r="B21" i="59"/>
  <c r="B22" i="59"/>
  <c r="S22" i="59"/>
  <c r="X19" i="59"/>
  <c r="E20" i="59"/>
  <c r="E21" i="59"/>
  <c r="E22" i="59"/>
  <c r="U22" i="59"/>
  <c r="AA19" i="59"/>
  <c r="B10" i="59"/>
  <c r="X6" i="59"/>
  <c r="X5" i="59"/>
  <c r="E10" i="59"/>
  <c r="AA6" i="59"/>
  <c r="AA5" i="59"/>
  <c r="B12" i="59"/>
  <c r="X11" i="59"/>
  <c r="C12" i="59"/>
  <c r="Y11" i="59"/>
  <c r="Z11" i="59"/>
  <c r="F12" i="59"/>
  <c r="AB11" i="59"/>
  <c r="B16" i="59"/>
  <c r="B17" i="59"/>
  <c r="B18" i="59"/>
  <c r="S18" i="59"/>
  <c r="X15" i="59"/>
  <c r="E16" i="59"/>
  <c r="E17" i="59"/>
  <c r="E18" i="59"/>
  <c r="U18" i="59"/>
  <c r="AA15" i="59"/>
  <c r="C20" i="59"/>
  <c r="Y19" i="59"/>
  <c r="Z19" i="59"/>
  <c r="F20" i="59"/>
  <c r="AB19" i="59"/>
  <c r="C10" i="59"/>
  <c r="Y6" i="59"/>
  <c r="Z6" i="59"/>
  <c r="Y5" i="59"/>
  <c r="Z5" i="59"/>
  <c r="F10" i="59"/>
  <c r="AB6" i="59"/>
  <c r="AB5"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V10" i="59"/>
  <c r="F9" i="59"/>
  <c r="F8" i="59"/>
  <c r="F7" i="59"/>
  <c r="F6" i="59"/>
  <c r="U10" i="59"/>
  <c r="E9" i="59"/>
  <c r="E8" i="59"/>
  <c r="E7" i="59"/>
  <c r="E6" i="59"/>
  <c r="D10" i="59"/>
  <c r="T10" i="59"/>
  <c r="C9" i="59"/>
  <c r="S10" i="59"/>
  <c r="B9" i="59"/>
  <c r="B8" i="59"/>
  <c r="B7" i="59"/>
  <c r="B6" i="59"/>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E5" i="59"/>
  <c r="U6" i="59"/>
  <c r="F5" i="59"/>
  <c r="V6" i="59"/>
  <c r="B5" i="59"/>
  <c r="S6" i="59"/>
  <c r="D9" i="59"/>
  <c r="C8" i="59"/>
  <c r="T42" i="59"/>
  <c r="D42" i="59"/>
  <c r="T14" i="59"/>
  <c r="D14" i="59"/>
  <c r="T22" i="59"/>
  <c r="D22" i="59"/>
  <c r="T26" i="59"/>
  <c r="D26" i="59"/>
  <c r="T34" i="59"/>
  <c r="D34" i="59"/>
  <c r="T38" i="59"/>
  <c r="D38" i="59"/>
  <c r="T46" i="59"/>
  <c r="D46" i="59"/>
  <c r="T18" i="59"/>
  <c r="D18" i="59"/>
  <c r="O48" i="59"/>
  <c r="D48" i="59"/>
  <c r="O47" i="59"/>
  <c r="C7" i="59"/>
  <c r="D8" i="59"/>
  <c r="O27" i="6"/>
  <c r="N27" i="6"/>
  <c r="P26" i="6"/>
  <c r="L26" i="6"/>
  <c r="P25" i="6"/>
  <c r="L25" i="6"/>
  <c r="P24" i="6"/>
  <c r="L24" i="6"/>
  <c r="P23" i="6"/>
  <c r="L23" i="6"/>
  <c r="P22" i="6"/>
  <c r="L22" i="6"/>
  <c r="P21" i="6"/>
  <c r="L21" i="6"/>
  <c r="P20" i="6"/>
  <c r="P19" i="6"/>
  <c r="P27" i="6"/>
  <c r="C6" i="59"/>
  <c r="D7"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C5" i="59"/>
  <c r="D5" i="59"/>
  <c r="T6" i="59"/>
  <c r="D6" i="59"/>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G19" i="46"/>
  <c r="M20"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G19" i="4"/>
  <c r="F9" i="1"/>
  <c r="F19" i="4"/>
  <c r="F8" i="1"/>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32" i="6"/>
  <c r="D38" i="4"/>
  <c r="C39" i="4"/>
  <c r="C35" i="4"/>
  <c r="E16" i="12"/>
  <c r="F14" i="12"/>
  <c r="F17" i="12"/>
  <c r="E21" i="12"/>
  <c r="E22" i="12"/>
  <c r="F25" i="12"/>
  <c r="C43" i="9"/>
  <c r="K47" i="9"/>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H10" i="39"/>
  <c r="AB10" i="39"/>
  <c r="H36" i="39"/>
  <c r="AB36" i="39"/>
  <c r="J10" i="39"/>
  <c r="AC10" i="39"/>
  <c r="J36" i="39"/>
  <c r="AC36"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C11" i="3"/>
  <c r="BD11" i="3"/>
  <c r="C11" i="11"/>
  <c r="C10" i="11"/>
  <c r="C17" i="11"/>
  <c r="C30" i="40"/>
  <c r="G13"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H37"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S42" i="34"/>
  <c r="J38" i="34"/>
  <c r="D114" i="34"/>
  <c r="E114" i="34"/>
  <c r="F38" i="34"/>
  <c r="D112" i="34"/>
  <c r="E112" i="34"/>
  <c r="F112" i="34"/>
  <c r="G112" i="34"/>
  <c r="H112" i="34"/>
  <c r="I112" i="34"/>
  <c r="J112" i="34"/>
  <c r="K112" i="34"/>
  <c r="L112" i="34"/>
  <c r="M112" i="34"/>
  <c r="F40" i="33"/>
  <c r="S40" i="33"/>
  <c r="J41" i="33"/>
  <c r="AC41" i="33"/>
  <c r="D113" i="33"/>
  <c r="F37" i="33"/>
  <c r="AA37" i="33"/>
  <c r="D111" i="33"/>
  <c r="E111" i="33"/>
  <c r="F111" i="33"/>
  <c r="G111" i="33"/>
  <c r="H111" i="33"/>
  <c r="I111" i="33"/>
  <c r="J111" i="33"/>
  <c r="K111" i="33"/>
  <c r="L111" i="33"/>
  <c r="M111" i="33"/>
  <c r="S515" i="31"/>
  <c r="S517" i="31"/>
  <c r="S519" i="31"/>
  <c r="S521" i="31"/>
  <c r="S523" i="31"/>
  <c r="U41" i="21"/>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E90" i="40"/>
  <c r="F90" i="40"/>
  <c r="G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F39" i="39"/>
  <c r="AA39" i="39"/>
  <c r="D111" i="39"/>
  <c r="E111" i="39"/>
  <c r="F111" i="39"/>
  <c r="G111" i="39"/>
  <c r="H111" i="39"/>
  <c r="I111" i="39"/>
  <c r="J111" i="39"/>
  <c r="K111" i="39"/>
  <c r="L111" i="39"/>
  <c r="M111" i="39"/>
  <c r="G109" i="39"/>
  <c r="H109" i="39"/>
  <c r="I109" i="39"/>
  <c r="J109" i="39"/>
  <c r="K109" i="39"/>
  <c r="L109" i="39"/>
  <c r="M109" i="39"/>
  <c r="D107" i="39"/>
  <c r="E107" i="39"/>
  <c r="F107" i="39"/>
  <c r="G107" i="39"/>
  <c r="H107" i="39"/>
  <c r="I107" i="39"/>
  <c r="J107" i="39"/>
  <c r="K107" i="39"/>
  <c r="L107" i="39"/>
  <c r="M107" i="39"/>
  <c r="D103" i="39"/>
  <c r="E103"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E128" i="39"/>
  <c r="F128" i="39"/>
  <c r="G128" i="39"/>
  <c r="H128" i="39"/>
  <c r="I128" i="39"/>
  <c r="J128" i="39"/>
  <c r="K128" i="39"/>
  <c r="L128" i="39"/>
  <c r="M128" i="39"/>
  <c r="D124" i="39"/>
  <c r="E124" i="39"/>
  <c r="F124" i="39"/>
  <c r="G124" i="39"/>
  <c r="H124" i="39"/>
  <c r="I124" i="39"/>
  <c r="J124" i="39"/>
  <c r="K124" i="39"/>
  <c r="L124" i="39"/>
  <c r="M124" i="39"/>
  <c r="B106" i="39"/>
  <c r="F99" i="39"/>
  <c r="G99" i="39"/>
  <c r="D95" i="39"/>
  <c r="E95" i="39"/>
  <c r="D91" i="39"/>
  <c r="E91" i="39"/>
  <c r="F91" i="39"/>
  <c r="G91" i="39"/>
  <c r="B88" i="39"/>
  <c r="H16" i="39"/>
  <c r="U16" i="39"/>
  <c r="B86" i="39"/>
  <c r="B84" i="39"/>
  <c r="F14" i="39"/>
  <c r="AA1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B110" i="37"/>
  <c r="B108" i="37"/>
  <c r="J38" i="37"/>
  <c r="AC38" i="37"/>
  <c r="C23" i="37"/>
  <c r="C19" i="37"/>
  <c r="C17" i="37"/>
  <c r="C15" i="37"/>
  <c r="B112" i="37"/>
  <c r="D107" i="37"/>
  <c r="E107" i="37"/>
  <c r="F107" i="37"/>
  <c r="G107" i="37"/>
  <c r="H107" i="37"/>
  <c r="I107" i="37"/>
  <c r="J107" i="37"/>
  <c r="K107" i="37"/>
  <c r="L107" i="37"/>
  <c r="M107" i="37"/>
  <c r="D105" i="37"/>
  <c r="E105" i="37"/>
  <c r="F105" i="37"/>
  <c r="H36" i="37"/>
  <c r="U36" i="37"/>
  <c r="D103" i="37"/>
  <c r="J35" i="37"/>
  <c r="AC35" i="37"/>
  <c r="F97" i="37"/>
  <c r="E97" i="37"/>
  <c r="D97" i="37"/>
  <c r="C97" i="37"/>
  <c r="D96" i="37"/>
  <c r="E96" i="37"/>
  <c r="D94" i="37"/>
  <c r="M90" i="37"/>
  <c r="L90" i="37"/>
  <c r="K90" i="37"/>
  <c r="J90" i="37"/>
  <c r="I90" i="37"/>
  <c r="H90" i="37"/>
  <c r="G90" i="37"/>
  <c r="F90" i="37"/>
  <c r="E90" i="37"/>
  <c r="D90" i="37"/>
  <c r="C90" i="37"/>
  <c r="D89" i="37"/>
  <c r="B86" i="37"/>
  <c r="F28" i="37"/>
  <c r="AA28" i="37"/>
  <c r="B84" i="37"/>
  <c r="H27" i="37"/>
  <c r="U27" i="37"/>
  <c r="B82" i="37"/>
  <c r="D79" i="37"/>
  <c r="E79" i="37"/>
  <c r="D75" i="37"/>
  <c r="E75" i="37"/>
  <c r="F75" i="37"/>
  <c r="D73" i="37"/>
  <c r="E73" i="37"/>
  <c r="F73" i="37"/>
  <c r="G73" i="37"/>
  <c r="D71" i="37"/>
  <c r="E71" i="37"/>
  <c r="F71" i="37"/>
  <c r="G71" i="37"/>
  <c r="F15" i="37"/>
  <c r="AA15" i="37"/>
  <c r="B68" i="37"/>
  <c r="H14" i="37"/>
  <c r="U14" i="37"/>
  <c r="B66" i="37"/>
  <c r="F13" i="37"/>
  <c r="S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W30" i="37"/>
  <c r="H30" i="37"/>
  <c r="F30" i="37"/>
  <c r="Q29" i="37"/>
  <c r="Z29" i="37"/>
  <c r="H29" i="37"/>
  <c r="U29" i="37"/>
  <c r="Q28" i="37"/>
  <c r="Z28" i="37"/>
  <c r="Q27" i="37"/>
  <c r="Z27" i="37"/>
  <c r="Q26" i="37"/>
  <c r="Z26" i="37"/>
  <c r="J26" i="37"/>
  <c r="H26" i="37"/>
  <c r="AB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B95" i="36"/>
  <c r="D83" i="36"/>
  <c r="E83" i="36"/>
  <c r="F83" i="36"/>
  <c r="G83" i="36"/>
  <c r="H83" i="36"/>
  <c r="I83" i="36"/>
  <c r="J83" i="36"/>
  <c r="K83" i="36"/>
  <c r="L83" i="36"/>
  <c r="M83" i="36"/>
  <c r="D78" i="36"/>
  <c r="J26" i="36"/>
  <c r="W26" i="36"/>
  <c r="B75" i="36"/>
  <c r="B73" i="36"/>
  <c r="B71" i="36"/>
  <c r="H23" i="36"/>
  <c r="AB23" i="36"/>
  <c r="D70" i="36"/>
  <c r="H22" i="36"/>
  <c r="AB22" i="36"/>
  <c r="D68" i="36"/>
  <c r="E68" i="36"/>
  <c r="D64" i="36"/>
  <c r="E64" i="36"/>
  <c r="F64" i="36"/>
  <c r="G64" i="36"/>
  <c r="J16" i="36"/>
  <c r="D62" i="36"/>
  <c r="E62" i="36"/>
  <c r="B59" i="36"/>
  <c r="B57"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J13" i="35"/>
  <c r="AC13" i="35"/>
  <c r="B59" i="35"/>
  <c r="H12" i="35"/>
  <c r="B131" i="34"/>
  <c r="H47" i="34"/>
  <c r="U47" i="34"/>
  <c r="B129" i="34"/>
  <c r="B127" i="34"/>
  <c r="J45" i="34"/>
  <c r="W45" i="34"/>
  <c r="B99" i="34"/>
  <c r="B97" i="34"/>
  <c r="J31" i="34"/>
  <c r="B95" i="34"/>
  <c r="B93" i="34"/>
  <c r="F29" i="34"/>
  <c r="S29" i="34"/>
  <c r="B75" i="34"/>
  <c r="B73" i="34"/>
  <c r="H13" i="34"/>
  <c r="U13" i="34"/>
  <c r="B71" i="34"/>
  <c r="B130" i="33"/>
  <c r="F46" i="33"/>
  <c r="B128" i="33"/>
  <c r="H45" i="33"/>
  <c r="U45" i="33"/>
  <c r="B126" i="33"/>
  <c r="B98" i="33"/>
  <c r="B96" i="33"/>
  <c r="B94" i="33"/>
  <c r="B74" i="33"/>
  <c r="H14" i="33"/>
  <c r="U14" i="33"/>
  <c r="B72" i="33"/>
  <c r="B70" i="33"/>
  <c r="H12" i="33"/>
  <c r="U12"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P39" i="35"/>
  <c r="P38" i="35"/>
  <c r="V37" i="35"/>
  <c r="T37" i="35"/>
  <c r="R37" i="35"/>
  <c r="P37" i="35"/>
  <c r="Q36" i="35"/>
  <c r="Z36" i="35"/>
  <c r="J36" i="35"/>
  <c r="Q35" i="35"/>
  <c r="Z35" i="35"/>
  <c r="Q34" i="35"/>
  <c r="Z34" i="35"/>
  <c r="H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W27" i="34"/>
  <c r="D88" i="34"/>
  <c r="E88" i="34"/>
  <c r="F88" i="34"/>
  <c r="G88" i="34"/>
  <c r="H88" i="34"/>
  <c r="I88" i="34"/>
  <c r="J88" i="34"/>
  <c r="K88" i="34"/>
  <c r="L88" i="34"/>
  <c r="M88" i="34"/>
  <c r="D86" i="34"/>
  <c r="E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F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G79" i="21"/>
  <c r="U44" i="21"/>
  <c r="S2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BB11" i="3"/>
  <c r="AD5" i="3"/>
  <c r="AE5" i="3"/>
  <c r="AF5" i="3"/>
  <c r="AG5" i="3"/>
  <c r="AH5" i="3"/>
  <c r="AI5" i="3"/>
  <c r="AJ5" i="3"/>
  <c r="AK5" i="3"/>
  <c r="AM5" i="3"/>
  <c r="AN5" i="3"/>
  <c r="AO5" i="3"/>
  <c r="AP5" i="3"/>
  <c r="AQ5" i="3"/>
  <c r="AR5" i="3"/>
  <c r="AS5" i="3"/>
  <c r="I5" i="3"/>
  <c r="L5" i="3"/>
  <c r="M5" i="3"/>
  <c r="N5" i="3"/>
  <c r="O5" i="3"/>
  <c r="P5" i="3"/>
  <c r="Q5" i="3"/>
  <c r="R5" i="3"/>
  <c r="S5" i="3"/>
  <c r="T5" i="3"/>
  <c r="U5" i="3"/>
  <c r="V5" i="3"/>
  <c r="W5" i="3"/>
  <c r="X5" i="3"/>
  <c r="Y5" i="3"/>
  <c r="Z5" i="3"/>
  <c r="AA5" i="3"/>
  <c r="AB5" i="3"/>
  <c r="F5" i="3"/>
  <c r="G27" i="6"/>
  <c r="U34" i="21"/>
  <c r="S43" i="21"/>
  <c r="S38" i="21"/>
  <c r="S36" i="21"/>
  <c r="W40" i="21"/>
  <c r="U10" i="21"/>
  <c r="W34" i="21"/>
  <c r="U36" i="21"/>
  <c r="W33" i="21"/>
  <c r="U33" i="21"/>
  <c r="S33" i="21"/>
  <c r="U26" i="21"/>
  <c r="W19" i="21"/>
  <c r="W12" i="21"/>
  <c r="W26" i="21"/>
  <c r="S41" i="21"/>
  <c r="S10" i="39"/>
  <c r="E103" i="37"/>
  <c r="F103" i="37"/>
  <c r="F39" i="37"/>
  <c r="S39" i="37"/>
  <c r="F29" i="36"/>
  <c r="AA29" i="36"/>
  <c r="F16" i="36"/>
  <c r="AA16" i="36"/>
  <c r="W22" i="36"/>
  <c r="AC31" i="36"/>
  <c r="J33" i="36"/>
  <c r="W33" i="36"/>
  <c r="AC27" i="35"/>
  <c r="W24" i="35"/>
  <c r="S31" i="35"/>
  <c r="W31" i="35"/>
  <c r="F36" i="34"/>
  <c r="S36" i="34"/>
  <c r="S34" i="34"/>
  <c r="H39" i="33"/>
  <c r="AB39" i="33"/>
  <c r="U9" i="33"/>
  <c r="W38" i="33"/>
  <c r="S33" i="33"/>
  <c r="W33" i="33"/>
  <c r="U38" i="33"/>
  <c r="S8" i="21"/>
  <c r="W8" i="21"/>
  <c r="AB27" i="35"/>
  <c r="S10" i="40"/>
  <c r="W10" i="40"/>
  <c r="S11" i="40"/>
  <c r="U11" i="40"/>
  <c r="S36" i="40"/>
  <c r="U36" i="40"/>
  <c r="S36" i="39"/>
  <c r="S11" i="21"/>
  <c r="C29" i="39"/>
  <c r="C23" i="39"/>
  <c r="U36" i="39"/>
  <c r="S42" i="39"/>
  <c r="H32" i="33"/>
  <c r="AB32" i="33"/>
  <c r="U11" i="21"/>
  <c r="W11" i="21"/>
  <c r="U9" i="21"/>
  <c r="J27" i="36"/>
  <c r="W27" i="36"/>
  <c r="J34" i="36"/>
  <c r="J30" i="35"/>
  <c r="W30" i="35"/>
  <c r="F22" i="35"/>
  <c r="AA22" i="35"/>
  <c r="H10" i="35"/>
  <c r="U10" i="35"/>
  <c r="E85" i="36"/>
  <c r="F85" i="36"/>
  <c r="G85" i="36"/>
  <c r="H85" i="36"/>
  <c r="I85" i="36"/>
  <c r="J85" i="36"/>
  <c r="K85" i="36"/>
  <c r="L85" i="36"/>
  <c r="M85" i="36"/>
  <c r="J29" i="36"/>
  <c r="AC29" i="36"/>
  <c r="F24" i="36"/>
  <c r="AA2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J28" i="34"/>
  <c r="W28" i="34"/>
  <c r="E113" i="33"/>
  <c r="F113" i="33"/>
  <c r="G113" i="33"/>
  <c r="H113" i="33"/>
  <c r="I113" i="33"/>
  <c r="J113" i="33"/>
  <c r="K113" i="33"/>
  <c r="L113" i="33"/>
  <c r="M113" i="33"/>
  <c r="F36" i="33"/>
  <c r="S36" i="33"/>
  <c r="F19" i="33"/>
  <c r="S19" i="33"/>
  <c r="J19" i="33"/>
  <c r="S10" i="21"/>
  <c r="AB30" i="36"/>
  <c r="H29" i="35"/>
  <c r="U34" i="37"/>
  <c r="S34" i="37"/>
  <c r="AA34" i="37"/>
  <c r="AC43" i="34"/>
  <c r="AB42" i="34"/>
  <c r="AB40" i="34"/>
  <c r="J19" i="34"/>
  <c r="AC19" i="34"/>
  <c r="H37" i="33"/>
  <c r="AB37" i="33"/>
  <c r="S37" i="33"/>
  <c r="W43" i="34"/>
  <c r="AC42" i="34"/>
  <c r="W42" i="34"/>
  <c r="AA42" i="34"/>
  <c r="AC38" i="34"/>
  <c r="W38" i="34"/>
  <c r="AA38" i="34"/>
  <c r="S38" i="34"/>
  <c r="J37" i="33"/>
  <c r="W37" i="33"/>
  <c r="J44" i="34"/>
  <c r="AC44" i="34"/>
  <c r="F44" i="34"/>
  <c r="S44" i="34"/>
  <c r="J10" i="35"/>
  <c r="W10" i="35"/>
  <c r="AL5" i="3"/>
  <c r="W46" i="21"/>
  <c r="F28" i="33"/>
  <c r="AA28" i="33"/>
  <c r="F33" i="35"/>
  <c r="S33" i="35"/>
  <c r="J33" i="35"/>
  <c r="W33" i="35"/>
  <c r="F30" i="35"/>
  <c r="AA30"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45" i="33"/>
  <c r="W45" i="33"/>
  <c r="F45" i="33"/>
  <c r="S45" i="33"/>
  <c r="F11" i="35"/>
  <c r="S11" i="35"/>
  <c r="H28" i="36"/>
  <c r="U28" i="36"/>
  <c r="H32" i="36"/>
  <c r="AB32" i="36"/>
  <c r="J11" i="36"/>
  <c r="W11" i="36"/>
  <c r="H13" i="36"/>
  <c r="AB13" i="36"/>
  <c r="J13" i="36"/>
  <c r="W13" i="36"/>
  <c r="F13" i="36"/>
  <c r="S13" i="36"/>
  <c r="E89" i="37"/>
  <c r="F89" i="37"/>
  <c r="G89" i="37"/>
  <c r="H89" i="37"/>
  <c r="I89" i="37"/>
  <c r="J89" i="37"/>
  <c r="K89" i="37"/>
  <c r="L89" i="37"/>
  <c r="M89" i="37"/>
  <c r="J29" i="37"/>
  <c r="W29" i="37"/>
  <c r="F29" i="37"/>
  <c r="AA29" i="37"/>
  <c r="AB36" i="37"/>
  <c r="J37" i="37"/>
  <c r="AC37" i="37"/>
  <c r="H37" i="37"/>
  <c r="U37" i="37"/>
  <c r="H40" i="37"/>
  <c r="U40" i="37"/>
  <c r="J40" i="37"/>
  <c r="F40" i="37"/>
  <c r="AA40" i="37"/>
  <c r="F14" i="33"/>
  <c r="AA14" i="33"/>
  <c r="J14" i="33"/>
  <c r="AC14" i="33"/>
  <c r="H30" i="33"/>
  <c r="AB30" i="33"/>
  <c r="F30" i="33"/>
  <c r="S30" i="33"/>
  <c r="J30" i="33"/>
  <c r="W30" i="33"/>
  <c r="H44" i="33"/>
  <c r="U44" i="33"/>
  <c r="J44" i="33"/>
  <c r="AC44" i="33"/>
  <c r="F44" i="33"/>
  <c r="S44" i="33"/>
  <c r="J46" i="33"/>
  <c r="AC46" i="33"/>
  <c r="H46" i="33"/>
  <c r="AB46" i="33"/>
  <c r="J13" i="34"/>
  <c r="W13" i="34"/>
  <c r="J29" i="34"/>
  <c r="AC29" i="34"/>
  <c r="H29" i="34"/>
  <c r="U29" i="34"/>
  <c r="H31" i="34"/>
  <c r="AB31" i="34"/>
  <c r="H45" i="34"/>
  <c r="U45" i="34"/>
  <c r="F45" i="34"/>
  <c r="AA45" i="34"/>
  <c r="F47" i="34"/>
  <c r="AA47" i="34"/>
  <c r="F13" i="35"/>
  <c r="S13" i="35"/>
  <c r="H13" i="35"/>
  <c r="U13" i="35"/>
  <c r="J25" i="35"/>
  <c r="AC25" i="35"/>
  <c r="F25" i="35"/>
  <c r="AA25" i="35"/>
  <c r="H25" i="35"/>
  <c r="AB25" i="35"/>
  <c r="J35" i="35"/>
  <c r="AC35" i="35"/>
  <c r="F35" i="35"/>
  <c r="S35" i="35"/>
  <c r="H35" i="35"/>
  <c r="U35" i="35"/>
  <c r="J25" i="36"/>
  <c r="W25" i="36"/>
  <c r="F25" i="36"/>
  <c r="AA25" i="36"/>
  <c r="H25" i="36"/>
  <c r="AB25" i="36"/>
  <c r="H13" i="37"/>
  <c r="AB13" i="37"/>
  <c r="J13" i="37"/>
  <c r="AC13" i="37"/>
  <c r="J28" i="37"/>
  <c r="AC28" i="37"/>
  <c r="H38" i="37"/>
  <c r="AB38" i="37"/>
  <c r="F38" i="37"/>
  <c r="S38" i="37"/>
  <c r="F14" i="37"/>
  <c r="AA14" i="37"/>
  <c r="F27" i="37"/>
  <c r="AA27" i="37"/>
  <c r="J14" i="37"/>
  <c r="W14" i="37"/>
  <c r="J27" i="37"/>
  <c r="W27" i="37"/>
  <c r="W35" i="35"/>
  <c r="W46" i="33"/>
  <c r="AB40" i="37"/>
  <c r="J36" i="37"/>
  <c r="AC36" i="37"/>
  <c r="G105" i="37"/>
  <c r="AB28" i="36"/>
  <c r="W42" i="21"/>
  <c r="AC13" i="36"/>
  <c r="AB27" i="33"/>
  <c r="S45" i="21"/>
  <c r="S19" i="21"/>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G125" i="33"/>
  <c r="H43" i="33"/>
  <c r="U43" i="33"/>
  <c r="H17" i="37"/>
  <c r="U17" i="37"/>
  <c r="F23" i="37"/>
  <c r="S23" i="37"/>
  <c r="F79" i="37"/>
  <c r="G79"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F123" i="33"/>
  <c r="G123" i="33"/>
  <c r="H123" i="33"/>
  <c r="I123" i="33"/>
  <c r="J123" i="33"/>
  <c r="K123" i="33"/>
  <c r="L123" i="33"/>
  <c r="M123" i="33"/>
  <c r="H42" i="33"/>
  <c r="U42" i="33"/>
  <c r="J43" i="33"/>
  <c r="AC43" i="33"/>
  <c r="J23" i="37"/>
  <c r="W23" i="37"/>
  <c r="F17" i="37"/>
  <c r="AA17" i="37"/>
  <c r="AB43" i="33"/>
  <c r="AC33" i="36"/>
  <c r="AC12" i="35"/>
  <c r="W23" i="35"/>
  <c r="S27" i="37"/>
  <c r="AC8" i="37"/>
  <c r="AC36" i="34"/>
  <c r="AB8" i="34"/>
  <c r="AC37" i="33"/>
  <c r="AA13" i="33"/>
  <c r="AC45" i="33"/>
  <c r="S39" i="33"/>
  <c r="F43" i="33"/>
  <c r="AA43" i="33"/>
  <c r="AA23" i="37"/>
  <c r="S10" i="35"/>
  <c r="AB44" i="33"/>
  <c r="S37" i="21"/>
  <c r="W37" i="21"/>
  <c r="H19" i="34"/>
  <c r="AB19" i="34"/>
  <c r="J10" i="37"/>
  <c r="W10" i="37"/>
  <c r="F36" i="35"/>
  <c r="S36" i="35"/>
  <c r="H9" i="37"/>
  <c r="U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AB10" i="37"/>
  <c r="J11" i="37"/>
  <c r="W11" i="37"/>
  <c r="U31" i="37"/>
  <c r="F21" i="40"/>
  <c r="S21" i="40"/>
  <c r="W36" i="40"/>
  <c r="J21" i="40"/>
  <c r="AC21" i="40"/>
  <c r="S27" i="31"/>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S42" i="33"/>
  <c r="AB17" i="37"/>
  <c r="AA45" i="33"/>
  <c r="AC11" i="36"/>
  <c r="AC10" i="36"/>
  <c r="AC14" i="37"/>
  <c r="S25" i="35"/>
  <c r="AC30" i="33"/>
  <c r="AC29" i="37"/>
  <c r="J33" i="34"/>
  <c r="AC33" i="34"/>
  <c r="AB36" i="34"/>
  <c r="J40" i="34"/>
  <c r="W40" i="34"/>
  <c r="F16" i="35"/>
  <c r="AA16" i="35"/>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39" i="21"/>
  <c r="AC5" i="3"/>
  <c r="S17" i="21"/>
  <c r="U37" i="21"/>
  <c r="S40" i="21"/>
  <c r="AA8" i="33"/>
  <c r="S8" i="33"/>
  <c r="AC8" i="33"/>
  <c r="F10" i="33"/>
  <c r="AA10" i="33"/>
  <c r="F11" i="33"/>
  <c r="S11" i="33"/>
  <c r="J15" i="33"/>
  <c r="W15" i="33"/>
  <c r="H19" i="33"/>
  <c r="AB19" i="33"/>
  <c r="F32" i="33"/>
  <c r="AA32" i="33"/>
  <c r="J32" i="33"/>
  <c r="AC32" i="33"/>
  <c r="F35" i="33"/>
  <c r="AA35" i="33"/>
  <c r="AB39" i="34"/>
  <c r="F11" i="34"/>
  <c r="S11" i="34"/>
  <c r="H17" i="34"/>
  <c r="AB17" i="34"/>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c r="J11" i="35"/>
  <c r="AC11" i="35"/>
  <c r="F96" i="37"/>
  <c r="H32" i="37"/>
  <c r="AB32" i="37"/>
  <c r="U43" i="39"/>
  <c r="W43" i="39"/>
  <c r="F99" i="37"/>
  <c r="U25" i="35"/>
  <c r="U31" i="34"/>
  <c r="AC40" i="37"/>
  <c r="W40" i="37"/>
  <c r="W27" i="33"/>
  <c r="S14" i="21"/>
  <c r="AA44" i="34"/>
  <c r="AB29" i="35"/>
  <c r="U29" i="35"/>
  <c r="AC19" i="33"/>
  <c r="W19" i="33"/>
  <c r="U43" i="34"/>
  <c r="AB43" i="34"/>
  <c r="AC34" i="37"/>
  <c r="S35" i="37"/>
  <c r="AA35" i="37"/>
  <c r="AB10" i="35"/>
  <c r="S32" i="21"/>
  <c r="U38" i="21"/>
  <c r="AB40" i="33"/>
  <c r="U40" i="33"/>
  <c r="AA35" i="34"/>
  <c r="S35" i="34"/>
  <c r="E90" i="34"/>
  <c r="H27" i="34"/>
  <c r="AB27" i="34"/>
  <c r="U8"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H33" i="36"/>
  <c r="U33" i="36"/>
  <c r="F33" i="36"/>
  <c r="AA33" i="36"/>
  <c r="H27" i="36"/>
  <c r="AB27" i="36"/>
  <c r="AA31" i="36"/>
  <c r="AC26" i="37"/>
  <c r="W26" i="37"/>
  <c r="AB29" i="37"/>
  <c r="AA30" i="37"/>
  <c r="S30" i="37"/>
  <c r="AC30" i="37"/>
  <c r="W31" i="37"/>
  <c r="AB14" i="37"/>
  <c r="F17" i="39"/>
  <c r="AA17" i="39"/>
  <c r="U17" i="39"/>
  <c r="W17" i="39"/>
  <c r="F33" i="39"/>
  <c r="AA33" i="39"/>
  <c r="H33" i="39"/>
  <c r="U33" i="39"/>
  <c r="J33" i="39"/>
  <c r="AC33" i="39"/>
  <c r="S44" i="39"/>
  <c r="U44" i="39"/>
  <c r="W44" i="39"/>
  <c r="F46" i="39"/>
  <c r="S46" i="39"/>
  <c r="H46" i="39"/>
  <c r="U46" i="39"/>
  <c r="J46" i="39"/>
  <c r="W46" i="39"/>
  <c r="H39" i="39"/>
  <c r="AB39" i="39"/>
  <c r="J29" i="35"/>
  <c r="AC29" i="35"/>
  <c r="F29" i="35"/>
  <c r="S29" i="35"/>
  <c r="W30" i="36"/>
  <c r="AC30" i="36"/>
  <c r="F37" i="39"/>
  <c r="S37" i="39"/>
  <c r="J37" i="39"/>
  <c r="W37" i="39"/>
  <c r="F36" i="44"/>
  <c r="F114" i="34"/>
  <c r="G114" i="34"/>
  <c r="H114" i="34"/>
  <c r="I114" i="34"/>
  <c r="J114" i="34"/>
  <c r="K114" i="34"/>
  <c r="L114" i="34"/>
  <c r="M114" i="34"/>
  <c r="H38" i="34"/>
  <c r="U38" i="34"/>
  <c r="H30" i="40"/>
  <c r="AB30" i="40"/>
  <c r="G100" i="40"/>
  <c r="J30" i="40"/>
  <c r="AC30" i="40"/>
  <c r="F38" i="40"/>
  <c r="AA38" i="40"/>
  <c r="S35" i="21"/>
  <c r="U8" i="21"/>
  <c r="S34"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S15" i="34"/>
  <c r="W28" i="35"/>
  <c r="J20" i="35"/>
  <c r="AC20" i="35"/>
  <c r="E72" i="35"/>
  <c r="F72" i="35"/>
  <c r="G72" i="35"/>
  <c r="H22" i="35"/>
  <c r="AB22" i="35"/>
  <c r="H23" i="35"/>
  <c r="AB23" i="35"/>
  <c r="AB36" i="35"/>
  <c r="U36" i="35"/>
  <c r="U31" i="36"/>
  <c r="S8" i="37"/>
  <c r="AA8" i="37"/>
  <c r="H14" i="39"/>
  <c r="AB14" i="39"/>
  <c r="F16" i="39"/>
  <c r="AA16" i="39"/>
  <c r="J16" i="39"/>
  <c r="AC16" i="39"/>
  <c r="G97" i="39"/>
  <c r="F15" i="40"/>
  <c r="AA15" i="40"/>
  <c r="J15" i="40"/>
  <c r="H15" i="40"/>
  <c r="AB15" i="40"/>
  <c r="E92" i="40"/>
  <c r="F92" i="40"/>
  <c r="H23" i="40"/>
  <c r="U23" i="40"/>
  <c r="H41" i="40"/>
  <c r="AB41" i="40"/>
  <c r="F41" i="40"/>
  <c r="AA41" i="40"/>
  <c r="J41" i="40"/>
  <c r="W41" i="40"/>
  <c r="H36" i="33"/>
  <c r="AB36" i="33"/>
  <c r="H37" i="34"/>
  <c r="AB37" i="34"/>
  <c r="F15" i="39"/>
  <c r="AA15" i="39"/>
  <c r="H15" i="39"/>
  <c r="U15" i="39"/>
  <c r="J15" i="39"/>
  <c r="AC15" i="39"/>
  <c r="F45" i="39"/>
  <c r="AA45" i="39"/>
  <c r="H45" i="39"/>
  <c r="U45" i="39"/>
  <c r="J45" i="39"/>
  <c r="AC45" i="39"/>
  <c r="F47" i="39"/>
  <c r="AA47" i="39"/>
  <c r="H47" i="39"/>
  <c r="AB47" i="39"/>
  <c r="J47"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H42" i="40"/>
  <c r="AB42" i="40"/>
  <c r="H40" i="40"/>
  <c r="U40" i="40"/>
  <c r="H34" i="40"/>
  <c r="U34" i="40"/>
  <c r="J40" i="40"/>
  <c r="H16" i="40"/>
  <c r="AB16" i="40"/>
  <c r="F32" i="40"/>
  <c r="AA32" i="40"/>
  <c r="M1" i="46"/>
  <c r="M6" i="46"/>
  <c r="M10" i="46"/>
  <c r="N2" i="46"/>
  <c r="N5" i="46"/>
  <c r="F58" i="46"/>
  <c r="F47" i="46"/>
  <c r="H49" i="46"/>
  <c r="N7" i="46"/>
  <c r="M7" i="46"/>
  <c r="M11" i="46"/>
  <c r="N3" i="46"/>
  <c r="N6" i="46"/>
  <c r="N10" i="46"/>
  <c r="H47" i="46"/>
  <c r="J13" i="40"/>
  <c r="W13" i="40"/>
  <c r="F34" i="44"/>
  <c r="F66" i="9"/>
  <c r="P72" i="9"/>
  <c r="F72" i="9"/>
  <c r="W35" i="40"/>
  <c r="S33" i="40"/>
  <c r="AB32" i="40"/>
  <c r="U37" i="34"/>
  <c r="U41" i="40"/>
  <c r="J23" i="40"/>
  <c r="AC23" i="40"/>
  <c r="G92" i="40"/>
  <c r="F23" i="40"/>
  <c r="S23" i="40"/>
  <c r="AC15" i="40"/>
  <c r="W15" i="40"/>
  <c r="AB16" i="39"/>
  <c r="U23" i="35"/>
  <c r="H20" i="35"/>
  <c r="U20" i="35"/>
  <c r="F20" i="35"/>
  <c r="S20" i="35"/>
  <c r="H15" i="34"/>
  <c r="AB15" i="34"/>
  <c r="F78" i="34"/>
  <c r="G78" i="34"/>
  <c r="J15" i="34"/>
  <c r="H41" i="33"/>
  <c r="U41" i="33"/>
  <c r="F30" i="40"/>
  <c r="AA30" i="40"/>
  <c r="H100" i="40"/>
  <c r="I100" i="40"/>
  <c r="J100" i="40"/>
  <c r="K100" i="40"/>
  <c r="L100" i="40"/>
  <c r="M100" i="40"/>
  <c r="AB38" i="34"/>
  <c r="AA29" i="35"/>
  <c r="AB33" i="36"/>
  <c r="AA14" i="35"/>
  <c r="S14" i="35"/>
  <c r="G99" i="37"/>
  <c r="F33" i="37"/>
  <c r="U46" i="34"/>
  <c r="AC30" i="34"/>
  <c r="AA14" i="34"/>
  <c r="W12" i="34"/>
  <c r="U29" i="33"/>
  <c r="AC13" i="33"/>
  <c r="U17" i="34"/>
  <c r="AA11" i="34"/>
  <c r="W32" i="33"/>
  <c r="H15" i="33"/>
  <c r="U15" i="33"/>
  <c r="AA11" i="33"/>
  <c r="U16" i="40"/>
  <c r="AB34" i="40"/>
  <c r="U42" i="40"/>
  <c r="H25" i="40"/>
  <c r="AB25" i="40"/>
  <c r="U47" i="39"/>
  <c r="J37" i="34"/>
  <c r="AC37" i="34"/>
  <c r="J36" i="33"/>
  <c r="S41" i="40"/>
  <c r="AB23" i="40"/>
  <c r="S16" i="39"/>
  <c r="AA15" i="34"/>
  <c r="AA41" i="33"/>
  <c r="AA34" i="33"/>
  <c r="F106" i="33"/>
  <c r="G106" i="33"/>
  <c r="H106" i="33"/>
  <c r="I106" i="33"/>
  <c r="J106" i="33"/>
  <c r="K106" i="33"/>
  <c r="L106" i="33"/>
  <c r="M106" i="33"/>
  <c r="J34" i="33"/>
  <c r="AC34" i="33"/>
  <c r="U30" i="40"/>
  <c r="W29" i="35"/>
  <c r="S39" i="39"/>
  <c r="AB46" i="39"/>
  <c r="S33" i="39"/>
  <c r="U11" i="36"/>
  <c r="F80" i="35"/>
  <c r="G80" i="35"/>
  <c r="H80" i="35"/>
  <c r="I80" i="35"/>
  <c r="J80" i="35"/>
  <c r="K80" i="35"/>
  <c r="L80" i="35"/>
  <c r="M80" i="35"/>
  <c r="W14" i="35"/>
  <c r="F90" i="34"/>
  <c r="G90" i="34"/>
  <c r="H90" i="34"/>
  <c r="I90" i="34"/>
  <c r="J90" i="34"/>
  <c r="K90" i="34"/>
  <c r="L90" i="34"/>
  <c r="M90" i="34"/>
  <c r="F27" i="34"/>
  <c r="S27" i="34"/>
  <c r="S43" i="39"/>
  <c r="G96" i="37"/>
  <c r="H96" i="37"/>
  <c r="I96" i="37"/>
  <c r="J96" i="37"/>
  <c r="K96" i="37"/>
  <c r="L96" i="37"/>
  <c r="M96" i="37"/>
  <c r="F32" i="37"/>
  <c r="S32" i="37"/>
  <c r="AB11" i="35"/>
  <c r="U32" i="34"/>
  <c r="AC14" i="34"/>
  <c r="AB13" i="33"/>
  <c r="F17" i="34"/>
  <c r="AA17" i="34"/>
  <c r="J17" i="34"/>
  <c r="AC17" i="34"/>
  <c r="H11" i="34"/>
  <c r="AB11" i="34"/>
  <c r="J35" i="33"/>
  <c r="W35" i="33"/>
  <c r="S32" i="33"/>
  <c r="H11" i="33"/>
  <c r="U11" i="33"/>
  <c r="H10" i="33"/>
  <c r="U10" i="33"/>
  <c r="I66" i="33"/>
  <c r="J10" i="33"/>
  <c r="AC10" i="33"/>
  <c r="U40" i="21"/>
  <c r="AC16" i="35"/>
  <c r="AC13" i="40"/>
  <c r="J11" i="34"/>
  <c r="W11" i="34"/>
  <c r="S17" i="34"/>
  <c r="F25" i="40"/>
  <c r="AA25" i="40"/>
  <c r="J11" i="33"/>
  <c r="W11" i="33"/>
  <c r="H33" i="37"/>
  <c r="AB33" i="37"/>
  <c r="W15" i="34"/>
  <c r="AC15" i="34"/>
  <c r="W23" i="40"/>
  <c r="D73" i="9"/>
  <c r="N73" i="9"/>
  <c r="AP11" i="1"/>
  <c r="B11" i="1"/>
  <c r="E11" i="1"/>
  <c r="B9" i="1"/>
  <c r="E9" i="1"/>
  <c r="B7" i="1"/>
  <c r="E7" i="1"/>
  <c r="C20" i="43"/>
  <c r="F103" i="39"/>
  <c r="G103" i="39"/>
  <c r="U29" i="39"/>
  <c r="U19" i="39"/>
  <c r="U34" i="39"/>
  <c r="W19" i="39"/>
  <c r="S19" i="39"/>
  <c r="W15" i="39"/>
  <c r="F95" i="39"/>
  <c r="G95" i="39"/>
  <c r="S21" i="39"/>
  <c r="W21" i="39"/>
  <c r="W33" i="39"/>
  <c r="W27" i="39"/>
  <c r="S23" i="39"/>
  <c r="A14" i="55"/>
  <c r="B65" i="63"/>
  <c r="A2" i="55"/>
  <c r="B55" i="63"/>
  <c r="A11" i="55"/>
  <c r="B62" i="63"/>
  <c r="G12" i="1"/>
  <c r="AB20" i="35"/>
  <c r="W36" i="33"/>
  <c r="AC36" i="33"/>
  <c r="W32" i="40"/>
  <c r="AC41" i="40"/>
  <c r="S47" i="39"/>
  <c r="F27" i="43"/>
  <c r="F71" i="9"/>
  <c r="AC40" i="40"/>
  <c r="W40" i="40"/>
  <c r="W16" i="40"/>
  <c r="AC16" i="40"/>
  <c r="W47" i="39"/>
  <c r="AC47" i="39"/>
  <c r="U25" i="39"/>
  <c r="U27" i="39"/>
  <c r="AA46" i="33"/>
  <c r="S46" i="33"/>
  <c r="AC31" i="34"/>
  <c r="W31" i="34"/>
  <c r="U37" i="39"/>
  <c r="AB37" i="39"/>
  <c r="W34" i="36"/>
  <c r="AC34" i="36"/>
  <c r="AC40" i="33"/>
  <c r="W40" i="33"/>
  <c r="AC8" i="34"/>
  <c r="W8" i="34"/>
  <c r="AC36" i="35"/>
  <c r="W36" i="35"/>
  <c r="H9" i="35"/>
  <c r="AB9" i="35"/>
  <c r="J9" i="35"/>
  <c r="W9" i="35"/>
  <c r="F31" i="33"/>
  <c r="J31" i="33"/>
  <c r="AC31" i="33"/>
  <c r="J12" i="36"/>
  <c r="F12" i="36"/>
  <c r="S12" i="36"/>
  <c r="H25" i="37"/>
  <c r="U25" i="37"/>
  <c r="J25" i="37"/>
  <c r="U23" i="37"/>
  <c r="H28" i="33"/>
  <c r="J28" i="33"/>
  <c r="J26" i="33"/>
  <c r="AC26" i="33"/>
  <c r="F26" i="33"/>
  <c r="AA26" i="33"/>
  <c r="J9" i="34"/>
  <c r="F9" i="34"/>
  <c r="AA9" i="34"/>
  <c r="S28" i="34"/>
  <c r="AA28" i="34"/>
  <c r="H34" i="36"/>
  <c r="F34" i="36"/>
  <c r="S34" i="36"/>
  <c r="AB30" i="37"/>
  <c r="U30" i="37"/>
  <c r="AB31" i="35"/>
  <c r="U31" i="35"/>
  <c r="U11" i="37"/>
  <c r="AC15" i="33"/>
  <c r="U12" i="34"/>
  <c r="U14" i="34"/>
  <c r="S46" i="34"/>
  <c r="S17" i="39"/>
  <c r="AA37" i="39"/>
  <c r="U17" i="21"/>
  <c r="AA11" i="36"/>
  <c r="U39" i="39"/>
  <c r="H14" i="40"/>
  <c r="J34" i="40"/>
  <c r="J42" i="40"/>
  <c r="AC42" i="40"/>
  <c r="J14" i="40"/>
  <c r="J14" i="39"/>
  <c r="F23" i="35"/>
  <c r="AA23" i="35"/>
  <c r="AA36" i="34"/>
  <c r="J39" i="39"/>
  <c r="S9" i="35"/>
  <c r="S28" i="33"/>
  <c r="S45" i="34"/>
  <c r="AC27" i="37"/>
  <c r="W9" i="21"/>
  <c r="S24" i="36"/>
  <c r="W44" i="33"/>
  <c r="AB35" i="35"/>
  <c r="AB45" i="34"/>
  <c r="AC29" i="33"/>
  <c r="U32" i="33"/>
  <c r="AA36" i="37"/>
  <c r="U12" i="37"/>
  <c r="F9" i="37"/>
  <c r="S9" i="37"/>
  <c r="U19" i="21"/>
  <c r="S25" i="37"/>
  <c r="AC23" i="37"/>
  <c r="AC41" i="34"/>
  <c r="AB27" i="37"/>
  <c r="AA27" i="33"/>
  <c r="AB45" i="33"/>
  <c r="U30" i="33"/>
  <c r="AB13" i="35"/>
  <c r="AA38" i="37"/>
  <c r="H28" i="37"/>
  <c r="U28" i="37"/>
  <c r="J47" i="34"/>
  <c r="AC47" i="34"/>
  <c r="F31" i="34"/>
  <c r="S31" i="34"/>
  <c r="F13" i="34"/>
  <c r="AA13" i="34"/>
  <c r="H31" i="33"/>
  <c r="H26" i="33"/>
  <c r="U26" i="33"/>
  <c r="S30" i="21"/>
  <c r="S22" i="35"/>
  <c r="F86" i="40"/>
  <c r="G86" i="40"/>
  <c r="U22" i="36"/>
  <c r="S12" i="33"/>
  <c r="AA12" i="33"/>
  <c r="AB33" i="33"/>
  <c r="U33" i="33"/>
  <c r="AA38" i="33"/>
  <c r="S38" i="33"/>
  <c r="H9" i="34"/>
  <c r="AC39" i="34"/>
  <c r="W39" i="34"/>
  <c r="AB34" i="35"/>
  <c r="U34" i="35"/>
  <c r="J34" i="35"/>
  <c r="AC34" i="35"/>
  <c r="F34" i="35"/>
  <c r="H12" i="36"/>
  <c r="U12" i="36"/>
  <c r="J23" i="36"/>
  <c r="AB26" i="36"/>
  <c r="U26" i="36"/>
  <c r="J24" i="36"/>
  <c r="H24" i="36"/>
  <c r="F32" i="36"/>
  <c r="S32" i="36"/>
  <c r="J32" i="36"/>
  <c r="AB29" i="36"/>
  <c r="U29" i="36"/>
  <c r="J39" i="37"/>
  <c r="H39" i="37"/>
  <c r="W41" i="21"/>
  <c r="H5" i="3"/>
  <c r="C92" i="9"/>
  <c r="A30" i="64"/>
  <c r="A30" i="51"/>
  <c r="B22" i="63"/>
  <c r="I21" i="57"/>
  <c r="D1" i="57"/>
  <c r="E10" i="57"/>
  <c r="C52" i="15"/>
  <c r="F6" i="1"/>
  <c r="AP6" i="1"/>
  <c r="G11" i="1"/>
  <c r="M22" i="44"/>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AC38" i="39"/>
  <c r="W29" i="39"/>
  <c r="S14" i="39"/>
  <c r="AB15" i="39"/>
  <c r="U11" i="39"/>
  <c r="U41" i="39"/>
  <c r="U23" i="39"/>
  <c r="AB38" i="39"/>
  <c r="U31" i="39"/>
  <c r="S25" i="39"/>
  <c r="S38" i="39"/>
  <c r="S22" i="31"/>
  <c r="M44" i="9"/>
  <c r="M43" i="9"/>
  <c r="M20" i="15"/>
  <c r="D96" i="9"/>
  <c r="M18" i="15"/>
  <c r="A18" i="64"/>
  <c r="B74" i="63"/>
  <c r="C53" i="10"/>
  <c r="A25" i="64"/>
  <c r="A18" i="51"/>
  <c r="B14" i="63"/>
  <c r="C19" i="46"/>
  <c r="F3" i="35"/>
  <c r="K1" i="43"/>
  <c r="K1" i="12"/>
  <c r="G1" i="44"/>
  <c r="I4" i="6"/>
  <c r="G3" i="46"/>
  <c r="H22" i="46"/>
  <c r="E413"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B45" i="46"/>
  <c r="E58" i="46"/>
  <c r="A4" i="64"/>
  <c r="A4" i="51"/>
  <c r="C51" i="10"/>
  <c r="H58" i="46"/>
  <c r="H61" i="46"/>
  <c r="H62" i="46"/>
  <c r="H71" i="46"/>
  <c r="H75" i="46"/>
  <c r="H76" i="46"/>
  <c r="I100" i="46"/>
  <c r="B56" i="46"/>
  <c r="C24" i="46"/>
  <c r="N100" i="46"/>
  <c r="H100" i="46"/>
  <c r="F108" i="46"/>
  <c r="H80" i="46"/>
  <c r="AB11" i="46"/>
  <c r="AB13" i="46"/>
  <c r="E100" i="46"/>
  <c r="G100" i="46"/>
  <c r="H84" i="46"/>
  <c r="H65" i="46"/>
  <c r="H66" i="46"/>
  <c r="C100" i="46"/>
  <c r="J100" i="46"/>
  <c r="M100" i="46"/>
  <c r="AA12" i="36"/>
  <c r="U12" i="35"/>
  <c r="AB12" i="35"/>
  <c r="W11" i="35"/>
  <c r="AA11" i="35"/>
  <c r="S14" i="37"/>
  <c r="U13" i="37"/>
  <c r="S13" i="21"/>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B73" i="39"/>
  <c r="P23" i="46"/>
  <c r="P22" i="46"/>
  <c r="H7" i="33"/>
  <c r="C72" i="39"/>
  <c r="D70" i="39"/>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S45" i="39"/>
  <c r="W41" i="39"/>
  <c r="AB33" i="39"/>
  <c r="AC46" i="39"/>
  <c r="S34" i="39"/>
  <c r="W42" i="39"/>
  <c r="W36" i="39"/>
  <c r="W23"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45" i="44"/>
  <c r="F15" i="44"/>
  <c r="M28" i="15"/>
  <c r="F28" i="44"/>
  <c r="J15" i="15"/>
  <c r="M23" i="15"/>
  <c r="M24" i="15"/>
  <c r="M25" i="44"/>
  <c r="F11" i="44"/>
  <c r="M24" i="44"/>
  <c r="J36" i="15"/>
  <c r="L47" i="15"/>
  <c r="F18" i="44"/>
  <c r="M11" i="44"/>
  <c r="M26" i="44"/>
  <c r="J17" i="44"/>
  <c r="F40" i="44"/>
  <c r="F38" i="44"/>
  <c r="F43" i="44"/>
  <c r="M31" i="44"/>
  <c r="F10" i="44"/>
  <c r="L48" i="44"/>
  <c r="M10" i="44"/>
  <c r="M8" i="44"/>
  <c r="F39" i="44"/>
  <c r="F8" i="44"/>
  <c r="M28" i="44"/>
  <c r="L49" i="44"/>
  <c r="M30" i="44"/>
  <c r="F9" i="44"/>
  <c r="S29" i="39"/>
  <c r="U21" i="39"/>
  <c r="AB39" i="37"/>
  <c r="U39" i="37"/>
  <c r="W32" i="36"/>
  <c r="AC32" i="36"/>
  <c r="AB24" i="36"/>
  <c r="U24" i="36"/>
  <c r="AC23" i="36"/>
  <c r="W23" i="36"/>
  <c r="AA34" i="35"/>
  <c r="S34" i="35"/>
  <c r="AB9" i="34"/>
  <c r="U9" i="34"/>
  <c r="U28" i="21"/>
  <c r="U31" i="33"/>
  <c r="AB31" i="33"/>
  <c r="W14" i="40"/>
  <c r="AC14" i="40"/>
  <c r="AC34" i="40"/>
  <c r="W34" i="40"/>
  <c r="AB34" i="36"/>
  <c r="U34" i="36"/>
  <c r="AC9" i="34"/>
  <c r="W9" i="34"/>
  <c r="U28" i="33"/>
  <c r="AB28" i="33"/>
  <c r="AC12" i="36"/>
  <c r="W12" i="36"/>
  <c r="AA31" i="33"/>
  <c r="S31" i="33"/>
  <c r="U46" i="21"/>
  <c r="U30" i="21"/>
  <c r="W14" i="21"/>
  <c r="S12" i="21"/>
  <c r="C16" i="46"/>
  <c r="C5" i="46"/>
  <c r="AC39" i="37"/>
  <c r="W39" i="37"/>
  <c r="W24" i="36"/>
  <c r="AC24" i="36"/>
  <c r="AC39" i="39"/>
  <c r="W39" i="39"/>
  <c r="AC14" i="39"/>
  <c r="W14" i="39"/>
  <c r="U14" i="40"/>
  <c r="AB14" i="40"/>
  <c r="W28" i="33"/>
  <c r="AC28" i="33"/>
  <c r="W25" i="37"/>
  <c r="AC25" i="37"/>
  <c r="S46" i="21"/>
  <c r="W30" i="21"/>
  <c r="U14" i="21"/>
  <c r="U12" i="21"/>
  <c r="G6" i="1"/>
  <c r="L58" i="15"/>
  <c r="Q74" i="15"/>
  <c r="L59" i="15"/>
  <c r="Q75" i="15"/>
  <c r="I54" i="15"/>
  <c r="I55" i="44"/>
  <c r="J54" i="44"/>
  <c r="L60" i="44"/>
  <c r="Q63" i="44"/>
  <c r="L59" i="44"/>
  <c r="Q75" i="44"/>
  <c r="J60" i="44"/>
  <c r="J58" i="44"/>
  <c r="J56" i="44"/>
  <c r="J59" i="44"/>
  <c r="Q52" i="44"/>
  <c r="L57" i="44"/>
  <c r="J61" i="44"/>
  <c r="Q50" i="44"/>
  <c r="E86" i="3"/>
  <c r="AE11" i="46"/>
  <c r="AE13" i="46"/>
  <c r="Q73" i="44"/>
  <c r="AJ11" i="46"/>
  <c r="AJ13" i="46"/>
  <c r="AF11" i="46"/>
  <c r="AF13" i="46"/>
  <c r="AI11" i="46"/>
  <c r="AI13" i="46"/>
  <c r="AA11" i="46"/>
  <c r="AA13" i="46"/>
  <c r="E297" i="3"/>
  <c r="AO6" i="3"/>
  <c r="E561" i="3"/>
  <c r="E476" i="3"/>
  <c r="C23" i="46"/>
  <c r="C21" i="46"/>
  <c r="C29" i="46"/>
  <c r="E29" i="46"/>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C36" i="46"/>
  <c r="E36" i="46"/>
  <c r="C34" i="46"/>
  <c r="C35" i="46"/>
  <c r="E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E13" i="6"/>
  <c r="E11" i="6"/>
  <c r="H70" i="46"/>
  <c r="H72" i="46"/>
  <c r="F26" i="44"/>
  <c r="C26" i="44"/>
  <c r="F21" i="43"/>
  <c r="C23" i="43"/>
  <c r="D21" i="43"/>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H7" i="36"/>
  <c r="AB7" i="36"/>
  <c r="T36" i="36"/>
  <c r="G36" i="36"/>
  <c r="G40" i="36"/>
  <c r="H40" i="36"/>
  <c r="D72" i="39"/>
  <c r="E70" i="39"/>
  <c r="W7" i="33"/>
  <c r="AC7" i="33"/>
  <c r="V48" i="33"/>
  <c r="I48" i="33"/>
  <c r="I52" i="33"/>
  <c r="J52" i="33"/>
  <c r="U7" i="33"/>
  <c r="AB7" i="33"/>
  <c r="T48" i="33"/>
  <c r="G48" i="33"/>
  <c r="D67" i="40"/>
  <c r="E65" i="40"/>
  <c r="S7" i="33"/>
  <c r="AA7" i="33"/>
  <c r="R48" i="33"/>
  <c r="R49" i="33"/>
  <c r="C39" i="46"/>
  <c r="G39" i="46"/>
  <c r="I39" i="46"/>
  <c r="G33" i="46"/>
  <c r="I33" i="46"/>
  <c r="C37" i="46"/>
  <c r="G37" i="46"/>
  <c r="I37" i="46"/>
  <c r="F18" i="11"/>
  <c r="C18" i="11"/>
  <c r="C19" i="11"/>
  <c r="AP16" i="1"/>
  <c r="F22" i="11"/>
  <c r="E4" i="4"/>
  <c r="C4" i="4"/>
  <c r="Q72" i="15"/>
  <c r="F63" i="15"/>
  <c r="F49" i="15"/>
  <c r="F70" i="15"/>
  <c r="L56" i="15"/>
  <c r="J57" i="15"/>
  <c r="J55" i="15"/>
  <c r="J58" i="15"/>
  <c r="Q51" i="15"/>
  <c r="F65" i="15"/>
  <c r="G66" i="36"/>
  <c r="J18" i="36"/>
  <c r="AE8" i="1"/>
  <c r="F33" i="44"/>
  <c r="M19" i="44"/>
  <c r="M29" i="15"/>
  <c r="AE6" i="1"/>
  <c r="C18" i="44"/>
  <c r="F46" i="44"/>
  <c r="M22" i="15"/>
  <c r="M26" i="15"/>
  <c r="F31" i="15"/>
  <c r="J7" i="35"/>
  <c r="AC7" i="35"/>
  <c r="V38" i="35"/>
  <c r="I38" i="35"/>
  <c r="F7" i="34"/>
  <c r="F67" i="15"/>
  <c r="F50" i="15"/>
  <c r="C48" i="15"/>
  <c r="F64" i="15"/>
  <c r="J7" i="36"/>
  <c r="W7" i="36"/>
  <c r="F7" i="36"/>
  <c r="H7" i="35"/>
  <c r="AB7" i="35"/>
  <c r="T38" i="35"/>
  <c r="G38" i="35"/>
  <c r="G42" i="35"/>
  <c r="H42" i="35"/>
  <c r="F7" i="35"/>
  <c r="H7" i="34"/>
  <c r="AB7" i="34"/>
  <c r="T49" i="34"/>
  <c r="G49" i="34"/>
  <c r="G53" i="34"/>
  <c r="H53" i="34"/>
  <c r="J7" i="34"/>
  <c r="I116" i="46"/>
  <c r="J116" i="46"/>
  <c r="K116" i="46"/>
  <c r="L116" i="46"/>
  <c r="M116" i="46"/>
  <c r="K102" i="46"/>
  <c r="K103" i="46"/>
  <c r="K106" i="46"/>
  <c r="F105" i="46"/>
  <c r="F104" i="46"/>
  <c r="F102" i="46"/>
  <c r="C109" i="46"/>
  <c r="C102" i="46"/>
  <c r="C103" i="46"/>
  <c r="J102" i="46"/>
  <c r="J106" i="46"/>
  <c r="H7" i="37"/>
  <c r="Q62" i="44"/>
  <c r="Q76" i="44"/>
  <c r="J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c r="I36" i="36"/>
  <c r="I40" i="36"/>
  <c r="J40" i="36"/>
  <c r="W18" i="36"/>
  <c r="AC18" i="36"/>
  <c r="U7" i="36"/>
  <c r="G41" i="36"/>
  <c r="H41" i="36"/>
  <c r="W7" i="35"/>
  <c r="S7" i="37"/>
  <c r="J18" i="15"/>
  <c r="J8" i="44"/>
  <c r="J7" i="44"/>
  <c r="E48" i="33"/>
  <c r="E52" i="33"/>
  <c r="F52" i="33"/>
  <c r="AG6" i="1"/>
  <c r="AC6" i="3"/>
  <c r="D12" i="11"/>
  <c r="C12" i="11"/>
  <c r="E59" i="40"/>
  <c r="E58" i="40"/>
  <c r="E63" i="39"/>
  <c r="E16" i="6"/>
  <c r="F24" i="43"/>
  <c r="E60" i="40"/>
  <c r="E65" i="39"/>
  <c r="K26" i="6"/>
  <c r="M26" i="6"/>
  <c r="I26" i="6"/>
  <c r="S26" i="6"/>
  <c r="K24" i="6"/>
  <c r="M24" i="6"/>
  <c r="I24" i="6"/>
  <c r="S24" i="6"/>
  <c r="K22" i="6"/>
  <c r="K23" i="6"/>
  <c r="M23" i="6"/>
  <c r="I23" i="6"/>
  <c r="S23" i="6"/>
  <c r="K25" i="6"/>
  <c r="M25" i="6"/>
  <c r="I25" i="6"/>
  <c r="S25" i="6"/>
  <c r="K21" i="6"/>
  <c r="E30" i="6"/>
  <c r="E31" i="6"/>
  <c r="L19" i="6"/>
  <c r="K15" i="1"/>
  <c r="E62" i="40"/>
  <c r="E67" i="39"/>
  <c r="E66" i="39"/>
  <c r="E61" i="40"/>
  <c r="E37" i="46"/>
  <c r="G35" i="46"/>
  <c r="I35" i="46"/>
  <c r="E38" i="46"/>
  <c r="G36" i="46"/>
  <c r="I36" i="46"/>
  <c r="E33" i="46"/>
  <c r="C30" i="46"/>
  <c r="E30" i="46"/>
  <c r="G34" i="46"/>
  <c r="I34" i="46"/>
  <c r="B21" i="55"/>
  <c r="B72" i="63"/>
  <c r="B20" i="55"/>
  <c r="B70" i="63"/>
  <c r="S7" i="36"/>
  <c r="AA7" i="36"/>
  <c r="R36" i="36"/>
  <c r="E36" i="36"/>
  <c r="E40" i="36"/>
  <c r="F40" i="36"/>
  <c r="S7" i="35"/>
  <c r="AA7" i="35"/>
  <c r="R38" i="35"/>
  <c r="R39" i="35"/>
  <c r="C38" i="35"/>
  <c r="W7" i="34"/>
  <c r="AC7" i="34"/>
  <c r="V49" i="34"/>
  <c r="I49" i="34"/>
  <c r="G54" i="34"/>
  <c r="H54" i="34"/>
  <c r="S7" i="34"/>
  <c r="AA7" i="34"/>
  <c r="R49" i="34"/>
  <c r="AC7" i="37"/>
  <c r="V42" i="37"/>
  <c r="I42" i="37"/>
  <c r="I46" i="37"/>
  <c r="J46" i="37"/>
  <c r="W7" i="37"/>
  <c r="G43" i="35"/>
  <c r="H43" i="35"/>
  <c r="I42" i="35"/>
  <c r="J42" i="35"/>
  <c r="G52" i="33"/>
  <c r="H52" i="33"/>
  <c r="G53" i="33"/>
  <c r="H53" i="33"/>
  <c r="E67" i="40"/>
  <c r="F65" i="40"/>
  <c r="E72" i="39"/>
  <c r="F70" i="39"/>
  <c r="E39" i="46"/>
  <c r="I53" i="34"/>
  <c r="J53" i="34"/>
  <c r="Q61" i="15"/>
  <c r="Q62" i="15"/>
  <c r="Q53" i="15"/>
  <c r="C20" i="11"/>
  <c r="C21" i="11"/>
  <c r="C22" i="11"/>
  <c r="C23" i="11"/>
  <c r="B2" i="11"/>
  <c r="E46" i="37"/>
  <c r="F46" i="37"/>
  <c r="C48" i="33"/>
  <c r="C49" i="33"/>
  <c r="B3" i="33"/>
  <c r="B2" i="33"/>
  <c r="M17" i="15"/>
  <c r="F58" i="15"/>
  <c r="F7" i="67"/>
  <c r="L52" i="44"/>
  <c r="M29" i="44"/>
  <c r="M27" i="15"/>
  <c r="F68" i="15"/>
  <c r="S6" i="46"/>
  <c r="T6" i="46"/>
  <c r="V6" i="46"/>
  <c r="S7" i="46"/>
  <c r="T7" i="46"/>
  <c r="V7" i="46"/>
  <c r="S4" i="46"/>
  <c r="T4" i="46"/>
  <c r="V4" i="46"/>
  <c r="S5" i="46"/>
  <c r="T5" i="46"/>
  <c r="V5" i="46"/>
  <c r="S2" i="46"/>
  <c r="T2" i="46"/>
  <c r="V2" i="46"/>
  <c r="S3" i="46"/>
  <c r="T3" i="46"/>
  <c r="V3" i="46"/>
  <c r="U7" i="34"/>
  <c r="C34" i="44"/>
  <c r="U7" i="37"/>
  <c r="AB7" i="37"/>
  <c r="T42" i="37"/>
  <c r="G42" i="37"/>
  <c r="E6" i="3"/>
  <c r="Q69" i="44"/>
  <c r="L58" i="44"/>
  <c r="L61" i="44"/>
  <c r="D113" i="46"/>
  <c r="J22" i="46"/>
  <c r="E4" i="67"/>
  <c r="E41" i="36"/>
  <c r="F41" i="36"/>
  <c r="I47" i="37"/>
  <c r="J47" i="37"/>
  <c r="G47" i="37"/>
  <c r="H47" i="37"/>
  <c r="E53" i="33"/>
  <c r="F53" i="33"/>
  <c r="I53" i="33"/>
  <c r="J53" i="33"/>
  <c r="L27" i="6"/>
  <c r="E38" i="35"/>
  <c r="I43" i="35"/>
  <c r="J43" i="35"/>
  <c r="I41" i="36"/>
  <c r="J41" i="36"/>
  <c r="R37" i="36"/>
  <c r="C26" i="46"/>
  <c r="C26" i="43"/>
  <c r="D24" i="43"/>
  <c r="K16" i="1"/>
  <c r="S20" i="6"/>
  <c r="K27" i="6"/>
  <c r="M19" i="6"/>
  <c r="M21" i="6"/>
  <c r="I21" i="6"/>
  <c r="S21" i="6"/>
  <c r="M22" i="6"/>
  <c r="I22" i="6"/>
  <c r="S22" i="6"/>
  <c r="B3" i="11"/>
  <c r="R43" i="37"/>
  <c r="C27" i="46"/>
  <c r="R50" i="34"/>
  <c r="C50" i="34"/>
  <c r="B3" i="34"/>
  <c r="B2" i="34"/>
  <c r="E49" i="34"/>
  <c r="C39" i="35"/>
  <c r="B3" i="35"/>
  <c r="B2" i="35"/>
  <c r="I48" i="21"/>
  <c r="W7" i="21"/>
  <c r="U7" i="21"/>
  <c r="G48" i="21"/>
  <c r="S7" i="21"/>
  <c r="F72" i="39"/>
  <c r="G70" i="39"/>
  <c r="F67" i="40"/>
  <c r="G65" i="40"/>
  <c r="J24" i="15"/>
  <c r="J20" i="44"/>
  <c r="J26" i="44"/>
  <c r="E7" i="67"/>
  <c r="C19" i="44"/>
  <c r="G46" i="37"/>
  <c r="H46" i="37"/>
  <c r="E47" i="37"/>
  <c r="F47" i="37"/>
  <c r="L47" i="44"/>
  <c r="Q59" i="44"/>
  <c r="Q68" i="44"/>
  <c r="E3" i="67"/>
  <c r="B2" i="46"/>
  <c r="D4" i="46"/>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D10" i="11"/>
  <c r="L38" i="9"/>
  <c r="B14" i="66"/>
  <c r="B1" i="66"/>
  <c r="M16" i="1"/>
  <c r="C43" i="37"/>
  <c r="B3" i="37"/>
  <c r="B2" i="37"/>
  <c r="C42" i="37"/>
  <c r="C49" i="34"/>
  <c r="E54" i="34"/>
  <c r="F54" i="34"/>
  <c r="I54" i="34"/>
  <c r="J54" i="34"/>
  <c r="E53" i="34"/>
  <c r="F53" i="34"/>
  <c r="I52" i="21"/>
  <c r="J52" i="21"/>
  <c r="E48" i="21"/>
  <c r="G52" i="21"/>
  <c r="H52" i="21"/>
  <c r="G53" i="21"/>
  <c r="H53" i="21"/>
  <c r="G67" i="40"/>
  <c r="H65" i="40"/>
  <c r="G72" i="39"/>
  <c r="H70" i="39"/>
  <c r="B7" i="67"/>
  <c r="C40" i="68"/>
  <c r="E68" i="39"/>
  <c r="E63" i="40"/>
  <c r="B2" i="67"/>
  <c r="B4" i="46"/>
  <c r="B3" i="46"/>
  <c r="T10" i="1"/>
  <c r="T9" i="1"/>
  <c r="T6" i="1"/>
  <c r="T11" i="1"/>
  <c r="T8" i="1"/>
  <c r="T12" i="1"/>
  <c r="O16" i="1"/>
  <c r="C13" i="43"/>
  <c r="L16" i="1"/>
  <c r="N16" i="1"/>
  <c r="C29" i="43"/>
  <c r="D13" i="11"/>
  <c r="C13" i="11"/>
  <c r="I27" i="6"/>
  <c r="S19" i="6"/>
  <c r="S27" i="6"/>
  <c r="H19" i="6"/>
  <c r="C22" i="4"/>
  <c r="K38" i="9"/>
  <c r="C14" i="66"/>
  <c r="B2" i="66"/>
  <c r="D10" i="6"/>
  <c r="D11" i="6"/>
  <c r="D13" i="6"/>
  <c r="D12" i="6"/>
  <c r="H21" i="6"/>
  <c r="H24" i="6"/>
  <c r="H25" i="6"/>
  <c r="D6" i="6"/>
  <c r="D9" i="6"/>
  <c r="D5" i="6"/>
  <c r="D14" i="6"/>
  <c r="H22" i="6"/>
  <c r="R22" i="6"/>
  <c r="R9" i="1"/>
  <c r="D15" i="6"/>
  <c r="D8" i="6"/>
  <c r="H26" i="6"/>
  <c r="H23" i="6"/>
  <c r="B4" i="11"/>
  <c r="B5" i="11"/>
  <c r="E53" i="21"/>
  <c r="F53" i="21"/>
  <c r="E52" i="21"/>
  <c r="F52" i="21"/>
  <c r="C48" i="21"/>
  <c r="I53" i="21"/>
  <c r="J53" i="21"/>
  <c r="I70" i="39"/>
  <c r="H72" i="39"/>
  <c r="I65" i="40"/>
  <c r="H67" i="40"/>
  <c r="C16" i="44"/>
  <c r="J40" i="68"/>
  <c r="H40" i="68"/>
  <c r="F40" i="68"/>
  <c r="C20" i="44"/>
  <c r="C17" i="44"/>
  <c r="B3" i="67"/>
  <c r="B4" i="67"/>
  <c r="T16" i="1"/>
  <c r="H27" i="6"/>
  <c r="R24" i="6"/>
  <c r="D16" i="6"/>
  <c r="R23" i="6"/>
  <c r="R25" i="6"/>
  <c r="R21" i="6"/>
  <c r="R8" i="1"/>
  <c r="R19" i="6"/>
  <c r="R6" i="1"/>
  <c r="A6" i="51"/>
  <c r="B7" i="63"/>
  <c r="A20" i="64"/>
  <c r="A6" i="64"/>
  <c r="A20" i="51"/>
  <c r="B15" i="63"/>
  <c r="N5" i="54"/>
  <c r="B43" i="63"/>
  <c r="R26" i="6"/>
  <c r="C17" i="43"/>
  <c r="C14" i="43"/>
  <c r="J65" i="40"/>
  <c r="I67" i="40"/>
  <c r="J70" i="39"/>
  <c r="I72" i="39"/>
  <c r="C47" i="15"/>
  <c r="F37" i="44"/>
  <c r="M23" i="44"/>
  <c r="M21" i="15"/>
  <c r="W40" i="39"/>
  <c r="U40" i="39"/>
  <c r="AB40" i="68"/>
  <c r="U40" i="68"/>
  <c r="S40" i="39"/>
  <c r="S40" i="68"/>
  <c r="AA40" i="68"/>
  <c r="W40" i="68"/>
  <c r="AC40" i="68"/>
  <c r="C21" i="44"/>
  <c r="C22" i="44"/>
  <c r="C25" i="44"/>
  <c r="J20" i="15"/>
  <c r="C36" i="44"/>
  <c r="F62" i="15"/>
  <c r="C61" i="15"/>
  <c r="J22" i="44"/>
  <c r="R16" i="1"/>
  <c r="R27" i="6"/>
  <c r="C18" i="43"/>
  <c r="K70" i="39"/>
  <c r="J72" i="39"/>
  <c r="K65" i="40"/>
  <c r="J67" i="40"/>
  <c r="C65" i="15"/>
  <c r="C59" i="15"/>
  <c r="C13" i="68"/>
  <c r="C28" i="44"/>
  <c r="C31" i="44"/>
  <c r="C35" i="44"/>
  <c r="I5" i="6"/>
  <c r="J59" i="15"/>
  <c r="Q49" i="15"/>
  <c r="C19" i="43"/>
  <c r="C22" i="43"/>
  <c r="C21" i="43"/>
  <c r="K67" i="40"/>
  <c r="L65" i="40"/>
  <c r="K72" i="39"/>
  <c r="L70" i="39"/>
  <c r="J13" i="68"/>
  <c r="F13" i="68"/>
  <c r="H13" i="68"/>
  <c r="C33" i="44"/>
  <c r="J21" i="44"/>
  <c r="J19" i="44"/>
  <c r="Q51" i="44"/>
  <c r="C15" i="44"/>
  <c r="C38" i="44"/>
  <c r="J16" i="44"/>
  <c r="J15" i="44"/>
  <c r="J25" i="44"/>
  <c r="J19" i="15"/>
  <c r="J17" i="15"/>
  <c r="J14" i="15"/>
  <c r="J22" i="15"/>
  <c r="C56" i="15"/>
  <c r="C63" i="15"/>
  <c r="Q50" i="15"/>
  <c r="J35" i="15"/>
  <c r="C25" i="43"/>
  <c r="C24" i="43"/>
  <c r="C28" i="43"/>
  <c r="C30" i="43"/>
  <c r="L72" i="39"/>
  <c r="M70" i="39"/>
  <c r="M65" i="40"/>
  <c r="L67" i="40"/>
  <c r="W13" i="39"/>
  <c r="S13" i="39"/>
  <c r="S13" i="68"/>
  <c r="AA13" i="68"/>
  <c r="R49" i="68"/>
  <c r="U13" i="39"/>
  <c r="U13" i="68"/>
  <c r="AB13" i="68"/>
  <c r="T49" i="68"/>
  <c r="G49" i="68"/>
  <c r="W13" i="68"/>
  <c r="AC13" i="68"/>
  <c r="V49" i="68"/>
  <c r="I49" i="68"/>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I53" i="68"/>
  <c r="J53" i="68"/>
  <c r="G54" i="68"/>
  <c r="H54" i="68"/>
  <c r="G53" i="68"/>
  <c r="H53" i="68"/>
  <c r="E49" i="68"/>
  <c r="I54" i="68"/>
  <c r="J54" i="68"/>
  <c r="R50" i="68"/>
  <c r="C44" i="44"/>
  <c r="C45" i="44"/>
  <c r="B2" i="44"/>
  <c r="B4" i="44"/>
  <c r="Q70" i="15"/>
  <c r="Q69" i="15"/>
  <c r="C58" i="15"/>
  <c r="C57" i="15"/>
  <c r="C66" i="15"/>
  <c r="C67" i="15"/>
  <c r="C70" i="15"/>
  <c r="Q70" i="44"/>
  <c r="Q49" i="44"/>
  <c r="Q55" i="44"/>
  <c r="Q58" i="44"/>
  <c r="Q64" i="44"/>
  <c r="B3" i="43"/>
  <c r="B5" i="43"/>
  <c r="B4" i="43"/>
  <c r="J9" i="40"/>
  <c r="F9" i="40"/>
  <c r="H9" i="40"/>
  <c r="J9" i="39"/>
  <c r="C49" i="68"/>
  <c r="C50" i="68"/>
  <c r="E53" i="68"/>
  <c r="F53" i="68"/>
  <c r="E54" i="68"/>
  <c r="F54" i="68"/>
  <c r="Q48" i="15"/>
  <c r="Q54" i="15"/>
  <c r="J39" i="15"/>
  <c r="J40" i="15"/>
  <c r="B5" i="44"/>
  <c r="B3" i="44"/>
  <c r="S9" i="39"/>
  <c r="W9" i="39"/>
  <c r="AC9" i="39"/>
  <c r="AA9" i="40"/>
  <c r="R44" i="40"/>
  <c r="S9" i="40"/>
  <c r="U9" i="39"/>
  <c r="AB9" i="40"/>
  <c r="T44" i="40"/>
  <c r="G44" i="40"/>
  <c r="U9" i="40"/>
  <c r="AC9" i="40"/>
  <c r="V44" i="40"/>
  <c r="I44" i="40"/>
  <c r="W9" i="40"/>
  <c r="L51" i="15"/>
  <c r="B60" i="68"/>
  <c r="F60" i="68"/>
  <c r="B67" i="68"/>
  <c r="F67" i="68"/>
  <c r="B65" i="68"/>
  <c r="F65" i="68"/>
  <c r="B63" i="68"/>
  <c r="F63" i="68"/>
  <c r="B59" i="68"/>
  <c r="F59" i="68"/>
  <c r="B62" i="68"/>
  <c r="F62" i="68"/>
  <c r="B58" i="68"/>
  <c r="F58" i="68"/>
  <c r="F68" i="68"/>
  <c r="B2" i="68"/>
  <c r="B66" i="68"/>
  <c r="F66" i="68"/>
  <c r="B64" i="68"/>
  <c r="F64" i="68"/>
  <c r="B61" i="68"/>
  <c r="F61" i="68"/>
  <c r="C46" i="15"/>
  <c r="Q66" i="15"/>
  <c r="L57" i="15"/>
  <c r="L60" i="15"/>
  <c r="Q67" i="15"/>
  <c r="Q68" i="15"/>
  <c r="Q57" i="15"/>
  <c r="C43" i="15"/>
  <c r="J42" i="15"/>
  <c r="J43" i="15"/>
  <c r="I48" i="40"/>
  <c r="J48" i="40"/>
  <c r="G48" i="40"/>
  <c r="H48" i="40"/>
  <c r="G49" i="40"/>
  <c r="H49" i="40"/>
  <c r="E44" i="40"/>
  <c r="R45" i="40"/>
  <c r="B3" i="68"/>
  <c r="B5" i="68"/>
  <c r="B4" i="68"/>
  <c r="Q76" i="15"/>
  <c r="Q58" i="15"/>
  <c r="Q63" i="15"/>
  <c r="E48" i="40"/>
  <c r="F48" i="40"/>
  <c r="E49" i="40"/>
  <c r="F49" i="40"/>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B3" i="40"/>
  <c r="B4" i="40"/>
  <c r="B5" i="40"/>
  <c r="C45" i="9"/>
  <c r="H14" i="66"/>
  <c r="B7" i="66"/>
  <c r="D7" i="66"/>
  <c r="C7" i="66"/>
  <c r="L44" i="9"/>
  <c r="B4" i="12"/>
  <c r="B3" i="12"/>
  <c r="B5" i="12"/>
  <c r="D45" i="9"/>
  <c r="E45" i="9"/>
  <c r="O40" i="9"/>
  <c r="F45" i="9"/>
  <c r="D21" i="9"/>
  <c r="D20" i="9"/>
  <c r="K31" i="9"/>
  <c r="K32" i="9"/>
  <c r="R7" i="54"/>
  <c r="B52" i="63"/>
  <c r="N76" i="9"/>
  <c r="C46" i="9"/>
  <c r="F46" i="9"/>
  <c r="O41" i="9"/>
  <c r="I14" i="66"/>
  <c r="B8" i="66"/>
  <c r="E46" i="9"/>
  <c r="D46" i="9"/>
  <c r="K33" i="9"/>
  <c r="K34" i="9"/>
  <c r="C8" i="66"/>
  <c r="D8" i="66"/>
  <c r="R8" i="54"/>
  <c r="B54" i="63"/>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C44" i="9"/>
  <c r="N69" i="9"/>
  <c r="D63" i="9"/>
  <c r="D71" i="9"/>
  <c r="D66" i="9"/>
  <c r="N72" i="9"/>
  <c r="C103" i="9"/>
  <c r="C111" i="9"/>
  <c r="C104" i="9"/>
  <c r="C113" i="9"/>
  <c r="C114" i="9"/>
  <c r="C115" i="9"/>
  <c r="D76" i="9"/>
  <c r="D74" i="9"/>
  <c r="N74" i="9"/>
  <c r="D77" i="9"/>
  <c r="N75" i="9"/>
  <c r="O77" i="9"/>
  <c r="O79" i="9"/>
  <c r="O80" i="9"/>
  <c r="O81" i="9"/>
  <c r="Q77" i="9"/>
  <c r="O78" i="9"/>
  <c r="C90" i="9"/>
  <c r="C96" i="9"/>
  <c r="C91" i="9"/>
  <c r="C97" i="9"/>
  <c r="C98" i="9"/>
  <c r="C99" i="9"/>
  <c r="E114" i="9"/>
  <c r="E115" i="9"/>
  <c r="E98" i="9"/>
  <c r="E99" i="9"/>
  <c r="D14" i="66"/>
  <c r="B5" i="66"/>
  <c r="D5" i="66"/>
  <c r="C5" i="66"/>
  <c r="M83" i="9"/>
  <c r="N83" i="9"/>
  <c r="M84" i="9"/>
  <c r="N84" i="9"/>
  <c r="M85" i="9"/>
  <c r="N85" i="9"/>
  <c r="M86" i="9"/>
  <c r="N86" i="9"/>
  <c r="M87" i="9"/>
  <c r="N87" i="9"/>
  <c r="M88" i="9"/>
  <c r="N88" i="9"/>
  <c r="N89" i="9"/>
  <c r="O89" i="9"/>
  <c r="E14" i="66"/>
  <c r="F14" i="66"/>
  <c r="C82" i="9"/>
  <c r="C81" i="9"/>
  <c r="C85" i="9"/>
  <c r="C86" i="9"/>
  <c r="D72" i="9"/>
  <c r="D70" i="9"/>
  <c r="N68" i="9"/>
  <c r="R5" i="54"/>
  <c r="B48" i="63"/>
  <c r="C34" i="9"/>
  <c r="M38" i="9"/>
  <c r="K27" i="9"/>
  <c r="E42" i="9"/>
  <c r="P5" i="54"/>
  <c r="B46" i="63"/>
  <c r="O38" i="9"/>
  <c r="K26" i="9"/>
  <c r="K25" i="9"/>
  <c r="C33" i="9"/>
  <c r="N38" i="9"/>
  <c r="K28" i="9"/>
  <c r="D42" i="9"/>
  <c r="Q5" i="54"/>
  <c r="B47" i="63"/>
  <c r="O39" i="9"/>
  <c r="R6" i="54"/>
  <c r="B50" i="63"/>
  <c r="K29" i="9"/>
  <c r="K30" i="9"/>
  <c r="C35" i="9"/>
  <c r="F42" i="9"/>
  <c r="O43" i="9"/>
  <c r="F44" i="9"/>
  <c r="E44" i="9"/>
  <c r="D44" i="9"/>
  <c r="G14" i="66"/>
  <c r="B6" i="66"/>
  <c r="C6" i="66"/>
  <c r="G22" i="9"/>
  <c r="N43" i="9"/>
  <c r="B3" i="39"/>
  <c r="C20" i="9"/>
  <c r="G20" i="9"/>
  <c r="B4" i="39"/>
  <c r="C21" i="9"/>
  <c r="G21" i="9"/>
  <c r="D6" i="66"/>
  <c r="D22" i="9"/>
  <c r="B5" i="39"/>
  <c r="L43" i="9"/>
  <c r="I49" i="39"/>
  <c r="E49" i="39"/>
  <c r="I54" i="39"/>
  <c r="J54" i="39"/>
  <c r="C49" i="39"/>
  <c r="E53" i="39"/>
  <c r="F53" i="39"/>
  <c r="G49" i="39"/>
  <c r="E54" i="39"/>
  <c r="F54" i="39"/>
  <c r="I53" i="39"/>
  <c r="J53" i="39"/>
  <c r="G54" i="39"/>
  <c r="H54" i="39"/>
  <c r="G53" i="39"/>
  <c r="H53" i="39"/>
  <c r="H12" i="40"/>
  <c r="U12" i="40"/>
  <c r="W12" i="39"/>
  <c r="S12" i="39"/>
  <c r="F12" i="40"/>
  <c r="S12" i="40"/>
  <c r="J12" i="40"/>
  <c r="W12" i="40"/>
  <c r="AC12" i="40"/>
  <c r="AA12" i="40"/>
  <c r="U12" i="39"/>
  <c r="AB12"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<sst xmlns="http://schemas.openxmlformats.org/spreadsheetml/2006/main" count="8848" uniqueCount="3503">
  <si>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</si>
  <si>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</si>
  <si>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</si>
  <si>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</si>
  <si>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</si>
  <si>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</si>
  <si>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</si>
  <si>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</si>
  <si>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</si>
  <si>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</si>
  <si>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</si>
  <si>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</si>
  <si>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</si>
  <si>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</si>
  <si>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</si>
  <si>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</si>
  <si>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</si>
  <si>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</si>
  <si>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</si>
  <si>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</si>
  <si>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</si>
  <si>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</si>
  <si>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</si>
  <si>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</si>
  <si>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</si>
  <si>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</si>
  <si>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</si>
  <si>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</si>
  <si>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</si>
  <si>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</si>
  <si>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</si>
  <si>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</si>
  <si>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</si>
  <si>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</si>
  <si>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</si>
  <si>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</si>
  <si>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</si>
  <si>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</si>
  <si>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</si>
  <si>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</si>
  <si>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</si>
  <si>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</si>
  <si>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</si>
  <si>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</si>
  <si>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</si>
  <si>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</si>
  <si>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</si>
  <si>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</si>
  <si>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</si>
  <si>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</si>
  <si>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</si>
  <si>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</si>
  <si>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</si>
  <si>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</si>
  <si>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</si>
  <si>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</si>
  <si>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</si>
  <si>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</si>
  <si>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</si>
  <si>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</si>
  <si>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</si>
  <si>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</si>
  <si>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</si>
  <si>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</si>
  <si>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</si>
  <si>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</si>
  <si>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</si>
  <si>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</si>
  <si>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</si>
  <si>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</si>
  <si>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</si>
  <si>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</si>
  <si>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</si>
  <si>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</si>
  <si>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</si>
  <si>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</si>
  <si>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</si>
  <si>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</si>
  <si>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</si>
  <si>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</si>
  <si>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</si>
  <si>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</si>
  <si>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</si>
  <si>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</si>
  <si>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</si>
  <si>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</si>
  <si>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</si>
  <si>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</si>
  <si>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</si>
  <si>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</si>
  <si>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</si>
  <si>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</si>
  <si>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</si>
  <si>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</si>
  <si>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</si>
  <si>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</si>
  <si>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</si>
  <si>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</si>
  <si>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</si>
  <si>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</si>
  <si>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</si>
  <si>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</si>
  <si>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</si>
  <si>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</si>
  <si>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</si>
  <si>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</si>
  <si>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</si>
  <si>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</si>
  <si>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</si>
  <si>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</si>
  <si>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</si>
  <si>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</si>
  <si>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</si>
  <si>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</si>
  <si>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</si>
  <si>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</si>
  <si>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</si>
  <si>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</si>
  <si>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</si>
  <si>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</si>
  <si>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</si>
  <si>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</si>
  <si>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</si>
  <si>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</si>
  <si>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</si>
  <si>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</si>
  <si>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</si>
  <si>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</si>
  <si>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</si>
  <si>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</si>
  <si>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</si>
  <si>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</si>
  <si>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</si>
  <si>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</si>
  <si>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</si>
  <si>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</si>
  <si>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</si>
  <si>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</si>
  <si>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</si>
  <si>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</si>
  <si>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</si>
  <si>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</si>
  <si>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</si>
  <si>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</si>
  <si>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</si>
  <si>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</si>
  <si>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</si>
  <si>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</si>
  <si>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</si>
  <si>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</si>
  <si>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</si>
  <si>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</si>
  <si>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</si>
  <si>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</si>
  <si>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</si>
  <si>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</si>
  <si>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</si>
  <si>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</si>
  <si>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</si>
  <si>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</si>
  <si>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</si>
  <si>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</si>
  <si>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</si>
  <si>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</si>
  <si>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</si>
  <si>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</si>
  <si>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</si>
  <si>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</si>
  <si>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</si>
  <si>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</si>
  <si>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</si>
  <si>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</si>
  <si>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</si>
  <si>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</si>
  <si>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</si>
  <si>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</si>
  <si>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</si>
  <si>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</si>
  <si>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</si>
  <si>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</si>
  <si>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</si>
  <si>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</si>
  <si>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</si>
  <si>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</si>
  <si>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</si>
  <si>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</si>
  <si>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</si>
  <si>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</si>
  <si>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</si>
  <si>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</si>
  <si>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</si>
  <si>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</si>
  <si>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</si>
  <si>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</si>
  <si>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</si>
  <si>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</si>
  <si>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</si>
  <si>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</si>
  <si>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</si>
  <si>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</si>
  <si>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</si>
  <si>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</si>
  <si>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</si>
  <si>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</si>
  <si>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</si>
  <si>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</si>
  <si>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</si>
  <si>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</si>
  <si>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</si>
  <si>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</si>
  <si>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</si>
  <si>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</si>
  <si>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</si>
  <si>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</si>
  <si>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</si>
  <si>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</si>
  <si>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</si>
  <si>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</si>
  <si>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</si>
  <si>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</si>
  <si>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</si>
  <si>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</si>
  <si>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</si>
  <si>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</si>
  <si>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</si>
  <si>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</si>
  <si>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</si>
  <si>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</si>
  <si>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</si>
  <si>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</si>
  <si>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</si>
  <si>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</si>
  <si>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</si>
  <si>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</si>
  <si>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</si>
  <si>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</si>
  <si>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</si>
  <si>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</si>
  <si>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</si>
  <si>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</si>
  <si>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</si>
  <si>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</si>
  <si>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</si>
  <si>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</si>
  <si>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</si>
  <si>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</si>
  <si>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</si>
  <si>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</si>
  <si>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</si>
  <si>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</si>
  <si>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</si>
  <si>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</si>
  <si>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</si>
  <si>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</si>
  <si>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</si>
  <si>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</si>
  <si>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</si>
  <si>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</si>
  <si>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</si>
  <si>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</si>
  <si>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</si>
  <si>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</si>
  <si>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</si>
  <si>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</si>
  <si>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</si>
  <si>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</si>
  <si>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</si>
  <si>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</si>
  <si>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</si>
  <si>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</si>
  <si>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</si>
  <si>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</si>
  <si>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</si>
  <si>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</si>
  <si>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</si>
  <si>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</si>
  <si>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</si>
  <si>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</si>
  <si>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</si>
  <si>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</si>
  <si>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</si>
  <si>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</si>
  <si>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</si>
  <si>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</si>
  <si>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</si>
  <si>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</si>
  <si>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</si>
  <si>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</si>
  <si>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</si>
  <si>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</si>
  <si>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</si>
  <si>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</si>
  <si>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</si>
  <si>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</si>
  <si>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</si>
  <si>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</si>
  <si>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</si>
  <si>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</si>
  <si>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</si>
  <si>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</si>
  <si>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</si>
  <si>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</si>
  <si>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</si>
  <si>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</si>
  <si>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</si>
  <si>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</si>
  <si>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</si>
  <si>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</si>
  <si>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</si>
  <si>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</si>
  <si>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</si>
  <si>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</si>
  <si>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</si>
  <si>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</si>
  <si>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</si>
  <si>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</si>
  <si>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</si>
  <si>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</si>
  <si>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</si>
  <si>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</si>
  <si>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</si>
  <si>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</si>
  <si>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</si>
  <si>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</si>
  <si>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</si>
  <si>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</si>
  <si>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</si>
  <si>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</si>
  <si>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</si>
  <si>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</si>
  <si>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</si>
  <si>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</si>
  <si>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</si>
  <si>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</si>
  <si>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</si>
  <si>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</si>
  <si>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</si>
  <si>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</si>
  <si>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</si>
  <si>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</si>
  <si>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</si>
  <si>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</si>
  <si>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</si>
  <si>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</si>
  <si>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</si>
  <si>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</si>
  <si>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</si>
  <si>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</si>
  <si>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</si>
  <si>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</si>
  <si>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</si>
  <si>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</si>
  <si>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</si>
  <si>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</si>
  <si>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</si>
  <si>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</si>
  <si>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</si>
  <si>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</si>
  <si>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</si>
  <si>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</si>
  <si>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</si>
  <si>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</si>
  <si>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</si>
  <si>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</si>
  <si>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</si>
  <si>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</si>
  <si>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</si>
  <si>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</si>
  <si>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</si>
  <si>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</si>
  <si>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</si>
  <si>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</si>
  <si>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</si>
  <si>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</si>
  <si>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</si>
  <si>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</si>
  <si>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</si>
  <si>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</si>
  <si>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</si>
  <si>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</si>
  <si>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</si>
  <si>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</si>
  <si>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</si>
  <si>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</si>
  <si>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</si>
  <si>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</si>
  <si>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</si>
  <si>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</si>
  <si>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</si>
  <si>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</si>
  <si>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</si>
  <si>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</si>
  <si>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</si>
  <si>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</si>
  <si>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</si>
  <si>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</si>
  <si>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</si>
  <si>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</si>
  <si>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</si>
  <si>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</si>
  <si>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</si>
  <si>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</si>
  <si>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</si>
  <si>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</si>
  <si>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</si>
  <si>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</si>
  <si>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</si>
  <si>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</si>
  <si>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</si>
  <si>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</si>
  <si>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</si>
  <si>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</si>
  <si>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</si>
  <si>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</si>
  <si>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</si>
  <si>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</si>
  <si>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</si>
  <si>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</si>
  <si>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</si>
  <si>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</si>
  <si>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</si>
  <si>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</si>
  <si>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</si>
  <si>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</si>
  <si>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</si>
  <si>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</si>
  <si>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</si>
  <si>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</si>
  <si>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</si>
  <si>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</si>
  <si>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</si>
  <si>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</si>
  <si>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</si>
  <si>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</si>
  <si>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</si>
  <si>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</si>
  <si>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</si>
  <si>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</si>
  <si>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</si>
  <si>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</si>
  <si>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</si>
  <si>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</si>
  <si>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</si>
  <si>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</si>
  <si>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</si>
  <si>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</si>
  <si>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</si>
  <si>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</si>
  <si>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</si>
  <si>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</si>
  <si>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</si>
  <si>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</si>
  <si>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</si>
  <si>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</si>
  <si>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</si>
  <si>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</si>
  <si>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</si>
  <si>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</si>
  <si>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</si>
  <si>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</si>
  <si>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</si>
  <si>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</si>
  <si>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</si>
  <si>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</si>
  <si>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</si>
  <si>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</si>
  <si>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</si>
  <si>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</si>
  <si>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</si>
  <si>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</si>
  <si>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</si>
  <si>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</si>
  <si>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</si>
  <si>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</si>
  <si>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</si>
  <si>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</si>
  <si>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</si>
  <si>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</si>
  <si>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</si>
  <si>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</si>
  <si>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</si>
  <si>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</si>
  <si>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</si>
  <si>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</si>
  <si>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</si>
  <si>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</si>
  <si>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</si>
  <si>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</si>
  <si>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</si>
  <si>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</si>
  <si>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</si>
  <si>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</si>
  <si>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</si>
  <si>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</si>
  <si>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</si>
  <si>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</si>
  <si>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</si>
  <si>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</si>
  <si>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</si>
  <si>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</si>
  <si>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</si>
  <si>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</si>
  <si>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</si>
  <si>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</si>
  <si>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</si>
  <si>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</si>
  <si>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</si>
  <si>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</si>
  <si>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</si>
  <si>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</si>
  <si>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</si>
  <si>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</si>
  <si>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</si>
  <si>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</si>
  <si>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</si>
  <si>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</si>
  <si>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</si>
  <si>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</si>
  <si>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</si>
  <si>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</si>
  <si>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</si>
  <si>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</si>
  <si>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</si>
  <si>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</si>
  <si>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</si>
  <si>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</si>
  <si>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</si>
  <si>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</si>
  <si>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</si>
  <si>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</si>
  <si>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</si>
  <si>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</si>
  <si>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</si>
  <si>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</si>
  <si>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</si>
  <si>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</si>
  <si>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</si>
  <si>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</si>
  <si>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</si>
  <si>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</si>
  <si>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</si>
  <si>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</si>
  <si>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</si>
  <si>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</si>
  <si>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</si>
  <si>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</si>
  <si>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</si>
  <si>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</si>
  <si>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</si>
  <si>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</si>
  <si>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</si>
  <si>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</si>
  <si>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</si>
  <si>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</si>
  <si>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</si>
  <si>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</si>
  <si>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</si>
  <si>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</si>
  <si>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</si>
  <si>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</si>
  <si>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</si>
  <si>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</si>
  <si>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</si>
  <si>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</si>
  <si>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</si>
  <si>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</si>
  <si>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</si>
  <si>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</si>
  <si>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</si>
  <si>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</si>
  <si>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</si>
  <si>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</si>
  <si>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</si>
  <si>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</si>
  <si>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</si>
  <si>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</si>
  <si>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</si>
  <si>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</si>
  <si>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</si>
  <si>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</si>
  <si>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</si>
  <si>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</si>
  <si>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</si>
  <si>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</si>
  <si>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</si>
  <si>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</si>
  <si>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</si>
  <si>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</si>
  <si>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</si>
  <si>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</si>
  <si>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</si>
  <si>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</si>
  <si>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</si>
  <si>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</si>
  <si>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</si>
  <si>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</si>
  <si>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</si>
  <si>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</si>
  <si>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</si>
  <si>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</si>
  <si>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</si>
  <si>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</si>
  <si>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</si>
  <si>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</si>
  <si>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</si>
  <si>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</si>
  <si>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</si>
  <si>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</si>
  <si>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</si>
  <si>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</si>
  <si>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</si>
  <si>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</si>
  <si>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</si>
  <si>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</si>
  <si>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</si>
  <si>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</si>
  <si>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</si>
  <si>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</si>
  <si>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</si>
  <si>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</si>
  <si>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</si>
  <si>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</si>
  <si>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</si>
  <si>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</si>
  <si>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</si>
  <si>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</si>
  <si>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</si>
  <si>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</si>
  <si>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</si>
  <si>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</si>
  <si>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</si>
  <si>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</si>
  <si>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</si>
  <si>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</si>
  <si>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</si>
  <si>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</si>
  <si>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</si>
  <si>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</si>
  <si>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</si>
  <si>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</si>
  <si>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</si>
  <si>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</si>
  <si>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</si>
  <si>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</si>
  <si>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</si>
  <si>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</si>
  <si>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</si>
  <si>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</si>
  <si>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</si>
  <si>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</si>
  <si>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</si>
  <si>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</si>
  <si>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</si>
  <si>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</si>
  <si>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</si>
  <si>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</si>
  <si>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</si>
  <si>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</si>
  <si>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</si>
  <si>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</si>
  <si>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</si>
  <si>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</si>
  <si>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</si>
  <si>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</si>
  <si>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</si>
  <si>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</si>
  <si>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</si>
  <si>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</si>
  <si>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</si>
  <si>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</si>
  <si>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</si>
  <si>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</si>
  <si>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</si>
  <si>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</si>
  <si>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</si>
  <si>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</si>
  <si>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</si>
  <si>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</si>
  <si>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</si>
  <si>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</si>
  <si>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</si>
  <si>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</si>
  <si>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</si>
  <si>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</si>
  <si>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</si>
  <si>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</si>
  <si>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</si>
  <si>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</si>
  <si>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</si>
  <si>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</si>
  <si>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</si>
  <si>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</si>
  <si>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</si>
  <si>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</si>
  <si>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</si>
  <si>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</si>
  <si>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</si>
  <si>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</si>
  <si>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</si>
  <si>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</si>
  <si>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</si>
  <si>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</si>
  <si>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</si>
  <si>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</si>
  <si>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</si>
  <si>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</si>
  <si>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</si>
  <si>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</si>
  <si>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</si>
  <si>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</si>
  <si>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</si>
  <si>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</si>
  <si>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</si>
  <si>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</si>
  <si>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</si>
  <si>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</si>
  <si>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</si>
  <si>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</si>
  <si>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</si>
  <si>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</si>
  <si>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</si>
  <si>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</si>
  <si>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</si>
  <si>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</si>
  <si>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</si>
  <si>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</si>
  <si>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</si>
  <si>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</si>
  <si>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</si>
  <si>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</si>
  <si>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</si>
  <si>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</si>
  <si>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</si>
  <si>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</si>
  <si>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</si>
  <si>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</si>
  <si>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</si>
  <si>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</si>
  <si>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</si>
  <si>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</si>
  <si>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</si>
  <si>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</si>
  <si>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</si>
  <si>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</si>
  <si>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</si>
  <si>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</si>
  <si>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</si>
  <si>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</si>
  <si>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</si>
  <si>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</si>
  <si>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</si>
  <si>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</si>
  <si>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</si>
  <si>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</si>
  <si>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</si>
  <si>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</si>
  <si>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</si>
  <si>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</si>
  <si>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</si>
  <si>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</si>
  <si>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</si>
  <si>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</si>
  <si>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</si>
  <si>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</si>
  <si>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</si>
  <si>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</si>
  <si>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</si>
  <si>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</si>
  <si>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</si>
  <si>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</si>
  <si>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</si>
  <si>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</si>
  <si>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</si>
  <si>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</si>
  <si>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</si>
  <si>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</si>
  <si>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</si>
  <si>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</si>
  <si>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</si>
  <si>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</si>
  <si>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</si>
  <si>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</si>
  <si>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</si>
  <si>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</si>
  <si>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</si>
  <si>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</si>
  <si>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</si>
  <si>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</si>
  <si>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</si>
  <si>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</si>
  <si>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</si>
  <si>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</si>
  <si>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</si>
  <si>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</si>
  <si>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</si>
  <si>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</si>
  <si>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</si>
  <si>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</si>
  <si>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</si>
  <si>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</si>
  <si>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</si>
  <si>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</si>
  <si>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</si>
  <si>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</si>
  <si>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</si>
  <si>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</si>
  <si>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</si>
  <si>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</si>
  <si>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</si>
  <si>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</si>
  <si>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</si>
  <si>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</si>
  <si>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</si>
  <si>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</si>
  <si>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</si>
  <si>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</si>
  <si>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</si>
  <si>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</si>
  <si>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</si>
  <si>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</si>
  <si>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</si>
  <si>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</si>
  <si>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</si>
  <si>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</si>
  <si>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</si>
  <si>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</si>
  <si>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</si>
  <si>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</si>
  <si>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</si>
  <si>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</si>
  <si>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</si>
  <si>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</si>
  <si>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</si>
  <si>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</si>
  <si>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</si>
  <si>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</si>
  <si>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</si>
  <si>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</si>
  <si>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</si>
  <si>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</si>
  <si>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</si>
  <si>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</si>
  <si>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</si>
  <si>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</si>
  <si>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</si>
  <si>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</si>
  <si>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</si>
  <si>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</si>
  <si>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</si>
  <si>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</si>
  <si>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</si>
  <si>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</si>
  <si>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</si>
  <si>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</si>
  <si>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</si>
  <si>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</si>
  <si>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</si>
  <si>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</si>
  <si>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</si>
  <si>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</si>
  <si>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</si>
  <si>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</si>
  <si>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</si>
  <si>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</si>
  <si>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</si>
  <si>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</si>
  <si>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</si>
  <si>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</si>
  <si>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</si>
  <si>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</si>
  <si>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</si>
  <si>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</si>
  <si>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</si>
  <si>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</si>
  <si>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</si>
  <si>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</si>
  <si>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</si>
  <si>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</si>
  <si>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</si>
  <si>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</si>
  <si>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</si>
  <si>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</si>
  <si>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</si>
  <si>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</si>
  <si>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</si>
  <si>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</si>
  <si>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</si>
  <si>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</si>
  <si>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</si>
  <si>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</si>
  <si>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</si>
  <si>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</si>
  <si>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</si>
  <si>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</si>
  <si>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</si>
  <si>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</si>
  <si>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</si>
  <si>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</si>
  <si>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</si>
  <si>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</si>
  <si>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</si>
  <si>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</si>
  <si>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</si>
  <si>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</si>
  <si>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</si>
  <si>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</si>
  <si>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</si>
  <si>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</si>
  <si>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</si>
  <si>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</si>
  <si>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</si>
  <si>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</si>
  <si>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</si>
  <si>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</si>
  <si>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</si>
  <si>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</si>
  <si>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</si>
  <si>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</si>
  <si>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</si>
  <si>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</si>
  <si>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</si>
  <si>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</si>
  <si>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</si>
  <si>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</si>
  <si>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</si>
  <si>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</si>
  <si>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</si>
  <si>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</si>
  <si>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</si>
  <si>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</si>
  <si>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</si>
  <si>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</si>
  <si>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</si>
  <si>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</si>
  <si>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</si>
  <si>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</si>
  <si>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</si>
  <si>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</si>
  <si>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</si>
  <si>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</si>
  <si>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</si>
  <si>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</si>
  <si>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</si>
  <si>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</si>
  <si>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</si>
  <si>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</si>
  <si>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</si>
  <si>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</si>
  <si>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</si>
  <si>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</si>
  <si>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</si>
  <si>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</si>
  <si>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</si>
  <si>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</si>
  <si>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</si>
  <si>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</si>
  <si>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</si>
  <si>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</si>
  <si>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</si>
  <si>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</si>
  <si>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</si>
  <si>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</si>
  <si>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</si>
  <si>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</si>
  <si>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</si>
  <si>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</si>
  <si>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</si>
  <si>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</si>
  <si>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</si>
  <si>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</si>
  <si>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</si>
  <si>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</si>
  <si>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</si>
  <si>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</si>
  <si>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</si>
  <si>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</si>
  <si>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</si>
  <si>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</si>
  <si>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</si>
  <si>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</si>
  <si>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</si>
  <si>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</si>
  <si>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</si>
  <si>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</si>
  <si>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</si>
  <si>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</si>
  <si>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</si>
  <si>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</si>
  <si>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</si>
  <si>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</si>
  <si>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</si>
  <si>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</si>
  <si>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</si>
  <si>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</si>
  <si>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</si>
  <si>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</si>
  <si>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</si>
  <si>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</si>
  <si>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</si>
  <si>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</si>
  <si>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</si>
  <si>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</si>
  <si>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</si>
  <si>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</si>
  <si>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</si>
  <si>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</si>
  <si>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</si>
  <si>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</si>
  <si>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</si>
  <si>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</si>
  <si>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</si>
  <si>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</si>
  <si>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</si>
  <si>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</si>
  <si>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</si>
  <si>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</si>
  <si>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</si>
  <si>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</si>
  <si>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</si>
  <si>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</si>
  <si>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</si>
  <si>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</si>
  <si>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</si>
  <si>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</si>
  <si>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</si>
  <si>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</si>
  <si>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</si>
  <si>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</si>
  <si>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</si>
  <si>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</si>
  <si>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</si>
  <si>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</si>
  <si>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</si>
  <si>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</si>
  <si>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</si>
  <si>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</si>
  <si>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</si>
  <si>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</si>
  <si>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</si>
  <si>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</si>
  <si>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</si>
  <si>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</si>
  <si>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</si>
  <si>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</si>
  <si>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</si>
  <si>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</si>
  <si>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</si>
  <si>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</si>
  <si>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</si>
  <si>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</si>
  <si>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</si>
  <si>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</si>
  <si>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</si>
  <si>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</si>
  <si>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</si>
  <si>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</si>
  <si>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</si>
  <si>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</si>
  <si>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</si>
  <si>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</si>
  <si>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</si>
  <si>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</si>
  <si>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</si>
  <si>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</si>
  <si>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</si>
  <si>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</si>
  <si>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</si>
  <si>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</si>
  <si>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</si>
  <si>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</si>
  <si>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</si>
  <si>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</si>
  <si>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</si>
  <si>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</si>
  <si>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</si>
  <si>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</si>
  <si>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</si>
  <si>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</si>
  <si>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</si>
  <si>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</si>
  <si>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</si>
  <si>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</si>
  <si>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</si>
  <si>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</si>
  <si>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</si>
  <si>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</si>
  <si>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</si>
  <si>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</si>
  <si>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</si>
  <si>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</si>
  <si>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</si>
  <si>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</si>
  <si>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</si>
  <si>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</si>
  <si>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</si>
  <si>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</si>
  <si>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</si>
  <si>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</si>
  <si>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</si>
  <si>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</si>
  <si>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</si>
  <si>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</si>
  <si>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</si>
  <si>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</si>
  <si>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</si>
  <si>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</si>
  <si>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</si>
  <si>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</si>
  <si>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</si>
  <si>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</si>
  <si>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</si>
  <si>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</si>
  <si>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</si>
  <si>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</si>
  <si>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</si>
  <si>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</si>
  <si>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</si>
  <si>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</si>
  <si>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</si>
  <si>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</si>
  <si>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</si>
  <si>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</si>
  <si>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</si>
  <si>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</si>
  <si>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</si>
  <si>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</si>
  <si>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</si>
  <si>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</si>
  <si>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</si>
  <si>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</si>
  <si>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</si>
  <si>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</si>
  <si>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</si>
  <si>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</si>
  <si>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</si>
  <si>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</si>
  <si>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</si>
  <si>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</si>
  <si>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</si>
  <si>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</si>
  <si>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</si>
  <si>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</si>
  <si>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</si>
  <si>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</si>
  <si>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</si>
  <si>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</si>
  <si>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</si>
  <si>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</si>
  <si>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</si>
  <si>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</si>
  <si>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</si>
  <si>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</si>
  <si>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</si>
  <si>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</si>
  <si>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</si>
  <si>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</si>
  <si>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</si>
  <si>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</si>
  <si>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</si>
  <si>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</si>
  <si>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</si>
  <si>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</si>
  <si>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</si>
  <si>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</si>
  <si>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</si>
  <si>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</si>
  <si>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</si>
  <si>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</si>
  <si>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</si>
  <si>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</si>
  <si>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</si>
  <si>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</si>
  <si>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</si>
  <si>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</si>
  <si>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</si>
  <si>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</si>
  <si>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</si>
  <si>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</si>
  <si>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</si>
  <si>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</si>
  <si>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</si>
  <si>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</si>
  <si>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</si>
  <si>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</si>
  <si>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</si>
  <si>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</si>
  <si>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</si>
  <si>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</si>
  <si>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</si>
  <si>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</si>
  <si>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</si>
  <si>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</si>
  <si>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</si>
  <si>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</si>
  <si>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</si>
  <si>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</si>
  <si>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</si>
  <si>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</si>
  <si>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</si>
  <si>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</si>
  <si>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</si>
  <si>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</si>
  <si>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</si>
  <si>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</si>
  <si>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</si>
  <si>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</si>
  <si>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</si>
  <si>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</si>
  <si>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</si>
  <si>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</si>
  <si>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</si>
  <si>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</si>
  <si>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</si>
  <si>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</si>
  <si>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</si>
  <si>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</si>
  <si>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</si>
  <si>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</si>
  <si>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</si>
  <si>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</si>
  <si>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</si>
  <si>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</si>
  <si>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</si>
  <si>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</si>
  <si>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</si>
  <si>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</si>
  <si>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</si>
  <si>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</si>
  <si>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</si>
  <si>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</si>
  <si>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</si>
  <si>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</si>
  <si>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</si>
  <si>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</si>
  <si>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</si>
  <si>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</si>
  <si>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</si>
  <si>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</si>
  <si>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</si>
  <si>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</si>
  <si>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</si>
  <si>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</si>
  <si>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</si>
  <si>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</si>
  <si>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</si>
  <si>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</si>
  <si>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</si>
  <si>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</si>
  <si>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</si>
  <si>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</si>
  <si>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</si>
  <si>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</si>
  <si>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</si>
  <si>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</si>
  <si>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</si>
  <si>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</si>
  <si>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</si>
  <si>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</si>
  <si>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</si>
  <si>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</si>
  <si>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</si>
  <si>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</si>
  <si>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</si>
  <si>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</si>
  <si>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</si>
  <si>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</si>
  <si>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</si>
  <si>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</si>
  <si>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</si>
  <si>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</si>
  <si>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</si>
  <si>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</si>
  <si>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</si>
  <si>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</si>
  <si>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</si>
  <si>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</si>
  <si>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</si>
  <si>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</si>
  <si>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</si>
  <si>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</si>
  <si>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</si>
  <si>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</si>
  <si>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</si>
  <si>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</si>
  <si>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</si>
  <si>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</si>
  <si>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</si>
  <si>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</si>
  <si>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</si>
  <si>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</si>
  <si>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</si>
  <si>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</si>
  <si>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</si>
  <si>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</si>
  <si>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</si>
  <si>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</si>
  <si>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</si>
  <si>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</si>
  <si>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</si>
  <si>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</si>
  <si>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</si>
  <si>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</si>
  <si>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</si>
  <si>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</si>
  <si>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</si>
  <si>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</si>
  <si>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</si>
  <si>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</si>
  <si>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</si>
  <si>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</si>
  <si>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</si>
  <si>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</si>
  <si>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</si>
  <si>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</si>
  <si>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</si>
  <si>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</si>
  <si>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</si>
  <si>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</si>
  <si>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</si>
  <si>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</si>
  <si>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</si>
  <si>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</si>
  <si>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</si>
  <si>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</si>
  <si>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</si>
  <si>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</si>
  <si>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</si>
  <si>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</si>
  <si>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</si>
  <si>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</si>
  <si>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</si>
  <si>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</si>
  <si>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</si>
  <si>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</si>
  <si>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</si>
  <si>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</si>
  <si>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</si>
  <si>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</si>
  <si>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</si>
  <si>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</si>
  <si>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</si>
  <si>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</si>
  <si>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</si>
  <si>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</si>
  <si>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</si>
  <si>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</si>
  <si>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</si>
  <si>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</si>
  <si>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</si>
  <si>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</si>
  <si>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</si>
  <si>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</si>
  <si>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</si>
  <si>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</si>
  <si>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</si>
  <si>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</si>
  <si>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</si>
  <si>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</si>
  <si>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</si>
  <si>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</si>
  <si>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</si>
  <si>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</si>
  <si>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</si>
  <si>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</si>
  <si>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</si>
  <si>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</si>
  <si>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</si>
  <si>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</si>
  <si>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</si>
  <si>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</si>
  <si>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</si>
  <si>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</si>
  <si>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</si>
  <si>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</si>
  <si>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</si>
  <si>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</si>
  <si>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</si>
  <si>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</si>
  <si>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</si>
  <si>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</si>
  <si>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</si>
  <si>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</si>
  <si>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</si>
  <si>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</si>
  <si>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</si>
  <si>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</si>
  <si>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</si>
  <si>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</si>
  <si>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</si>
  <si>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</si>
  <si>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</si>
  <si>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</si>
  <si>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</si>
  <si>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</si>
  <si>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</si>
  <si>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</si>
  <si>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</si>
  <si>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</si>
  <si>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</si>
  <si>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</si>
  <si>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</si>
  <si>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</si>
  <si>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</si>
  <si>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</si>
  <si>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</si>
  <si>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</si>
  <si>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</si>
  <si>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</si>
  <si>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</si>
  <si>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</si>
  <si>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</si>
  <si>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</si>
  <si>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</si>
  <si>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</si>
  <si>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</si>
  <si>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</si>
  <si>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</si>
  <si>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</si>
  <si>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</si>
  <si>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</si>
  <si>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</si>
  <si>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</si>
  <si>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</si>
  <si>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</si>
  <si>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</si>
  <si>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</si>
  <si>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</si>
  <si>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</si>
  <si>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</si>
  <si>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</si>
  <si>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</si>
  <si>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</si>
  <si>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</si>
  <si>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</si>
  <si>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</si>
  <si>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</si>
  <si>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</si>
  <si>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</si>
  <si>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</si>
  <si>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</si>
  <si>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</si>
  <si>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</si>
  <si>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</si>
  <si>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</si>
  <si>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</si>
  <si>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</si>
  <si>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</si>
  <si>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</si>
  <si>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</si>
  <si>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</si>
  <si>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</si>
  <si>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</si>
  <si>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</si>
  <si>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</si>
  <si>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</si>
  <si>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</si>
  <si>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</si>
  <si>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</si>
  <si>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</si>
  <si>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</si>
  <si>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</si>
  <si>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</si>
  <si>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</si>
  <si>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</si>
  <si>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</si>
  <si>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</si>
  <si>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</si>
  <si>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</si>
  <si>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</si>
  <si>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</si>
  <si>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</si>
  <si>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</si>
  <si>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</si>
  <si>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</si>
  <si>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</si>
  <si>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</si>
  <si>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</si>
  <si>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</si>
  <si>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</si>
  <si>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</si>
  <si>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</si>
  <si>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</si>
  <si>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</si>
  <si>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</si>
  <si>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</si>
  <si>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</si>
  <si>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</si>
  <si>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</si>
  <si>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</si>
  <si>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</si>
  <si>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</si>
  <si>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</si>
  <si>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</si>
  <si>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</si>
  <si>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</si>
  <si>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</si>
  <si>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</si>
  <si>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</si>
  <si>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</si>
  <si>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</si>
  <si>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</si>
  <si>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</si>
  <si>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</si>
  <si>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</si>
  <si>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</si>
  <si>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</si>
  <si>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</si>
  <si>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</si>
  <si>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</si>
  <si>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</si>
  <si>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</si>
  <si>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</si>
  <si>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</si>
  <si>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</si>
  <si>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</si>
  <si>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</si>
  <si>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</si>
  <si>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</si>
  <si>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</si>
  <si>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</si>
  <si>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</si>
  <si>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</si>
  <si>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</si>
  <si>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</si>
  <si>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</si>
  <si>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</si>
  <si>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</si>
  <si>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</si>
  <si>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</si>
  <si>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</si>
  <si>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</si>
  <si>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</si>
  <si>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</si>
  <si>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</si>
  <si>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</si>
  <si>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</si>
  <si>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</si>
  <si>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</si>
  <si>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</si>
  <si>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</si>
  <si>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</si>
  <si>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</si>
  <si>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</si>
  <si>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</si>
  <si>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</si>
  <si>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</si>
  <si>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</si>
  <si>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</si>
  <si>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</si>
  <si>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</si>
  <si>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</si>
  <si>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</si>
  <si>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</si>
  <si>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</si>
  <si>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</si>
  <si>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</si>
  <si>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</si>
  <si>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</si>
  <si>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</si>
  <si>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</si>
  <si>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</si>
  <si>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</si>
  <si>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</si>
  <si>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</si>
  <si>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</si>
  <si>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</si>
  <si>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</si>
  <si>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</si>
  <si>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</si>
  <si>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</si>
  <si>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</si>
  <si>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</si>
  <si>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</si>
  <si>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</si>
  <si>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</si>
  <si>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</si>
  <si>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</si>
  <si>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</si>
  <si>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</si>
  <si>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</si>
  <si>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</si>
  <si>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</si>
  <si>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</si>
  <si>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</si>
  <si>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</si>
  <si>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</si>
  <si>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</si>
  <si>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</si>
  <si>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</si>
  <si>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</si>
  <si>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</si>
  <si>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</si>
  <si>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</si>
  <si>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</si>
  <si>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</si>
  <si>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</si>
  <si>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</si>
  <si>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</si>
  <si>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</si>
  <si>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</si>
  <si>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</si>
  <si>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</si>
  <si>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</si>
  <si>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</si>
  <si>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</si>
  <si>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</si>
  <si>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</si>
  <si>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</si>
  <si>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</si>
  <si>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</si>
  <si>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</si>
  <si>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</si>
  <si>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</si>
  <si>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</si>
  <si>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</si>
  <si>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</si>
  <si>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</si>
  <si>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</si>
  <si>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</si>
  <si>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</si>
  <si>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</si>
  <si>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</si>
  <si>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</si>
  <si>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</si>
  <si>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</si>
  <si>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</si>
  <si>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</si>
  <si>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</si>
  <si>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</si>
  <si>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</si>
  <si>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</si>
  <si>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</si>
  <si>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</si>
  <si>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</si>
  <si>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</si>
  <si>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</si>
  <si>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</si>
  <si>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</si>
  <si>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</si>
  <si>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</si>
  <si>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</si>
  <si>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</si>
  <si>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</si>
  <si>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</si>
  <si>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</si>
  <si>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</si>
  <si>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</si>
  <si>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</si>
  <si>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</si>
  <si>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</si>
  <si>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</si>
  <si>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</si>
  <si>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</si>
  <si>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</si>
  <si>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</si>
  <si>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</si>
  <si>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</si>
  <si>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</si>
  <si>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</si>
  <si>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</si>
  <si>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</si>
  <si>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</si>
  <si>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</si>
  <si>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</si>
  <si>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</si>
  <si>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</si>
  <si>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</si>
  <si>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</si>
  <si>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</si>
  <si>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</si>
  <si>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</si>
  <si>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</si>
  <si>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</si>
  <si>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</si>
  <si>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</si>
  <si>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</si>
  <si>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</si>
  <si>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</si>
  <si>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</si>
  <si>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</si>
  <si>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</si>
  <si>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</si>
  <si>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</si>
  <si>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</si>
  <si>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</si>
  <si>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</si>
  <si>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</si>
  <si>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</si>
  <si>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</si>
  <si>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</si>
  <si>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</si>
  <si>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</si>
  <si>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</si>
  <si>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</si>
  <si>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</si>
  <si>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</si>
  <si>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</si>
  <si>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</si>
  <si>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</si>
  <si>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</si>
  <si>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</si>
  <si>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</si>
  <si>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</si>
  <si>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</si>
  <si>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</si>
  <si>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</si>
  <si>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</si>
  <si>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</si>
  <si>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</si>
  <si>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</si>
  <si>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</si>
  <si>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</si>
  <si>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</si>
  <si>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</si>
  <si>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</si>
  <si>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</si>
  <si>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</si>
  <si>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</si>
  <si>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</si>
  <si>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</si>
  <si>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</si>
  <si>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</si>
  <si>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</si>
  <si>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</si>
  <si>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</si>
  <si>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</si>
  <si>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</si>
  <si>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</si>
  <si>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</si>
  <si>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</si>
  <si>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</si>
  <si>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</si>
  <si>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</si>
  <si>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</si>
  <si>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</si>
  <si>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</si>
  <si>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</si>
  <si>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</si>
  <si>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</si>
  <si>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</si>
  <si>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</si>
  <si>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</si>
  <si>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</si>
  <si>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</si>
  <si>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</si>
  <si>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</si>
  <si>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</si>
  <si>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</si>
  <si>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</si>
  <si>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</si>
  <si>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</si>
  <si>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</si>
  <si>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</si>
  <si>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</si>
  <si>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</si>
  <si>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</si>
  <si>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</si>
  <si>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</si>
  <si>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</si>
  <si>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</si>
  <si>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</si>
  <si>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</si>
  <si>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</si>
  <si>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</si>
  <si>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</si>
  <si>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</si>
  <si>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</si>
  <si>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</si>
  <si>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</si>
  <si>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</si>
  <si>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</si>
  <si>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</si>
  <si>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</si>
  <si>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</si>
  <si>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</si>
  <si>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</si>
  <si>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</si>
  <si>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</si>
  <si>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</si>
  <si>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</si>
  <si>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</si>
  <si>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</si>
  <si>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</si>
  <si>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</si>
  <si>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</si>
  <si>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</si>
  <si>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</si>
  <si>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</si>
  <si>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</si>
  <si>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</si>
  <si>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</si>
  <si>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</si>
  <si>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</si>
  <si>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</si>
  <si>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</si>
  <si>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</si>
  <si>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</si>
  <si>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</si>
  <si>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</si>
  <si>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</si>
  <si>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</si>
  <si>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</si>
  <si>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</si>
  <si>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</si>
  <si>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</si>
  <si>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</si>
  <si>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</si>
  <si>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</si>
  <si>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</si>
  <si>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</si>
  <si>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</si>
  <si>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</si>
  <si>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</si>
  <si>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</si>
  <si>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</si>
  <si>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</si>
  <si>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</si>
  <si>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</si>
  <si>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</si>
  <si>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</si>
  <si>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</si>
  <si>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</si>
  <si>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</si>
  <si>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</si>
  <si>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</si>
  <si>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</si>
  <si>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</si>
  <si>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</si>
  <si>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</si>
  <si>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</si>
  <si>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</si>
  <si>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</si>
  <si>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</si>
  <si>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</si>
  <si>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</si>
  <si>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</si>
  <si>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</si>
  <si>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</si>
  <si>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</si>
  <si>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</si>
  <si>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</si>
  <si>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</si>
  <si>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</si>
  <si>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</si>
  <si>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</si>
  <si>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</si>
  <si>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</si>
  <si>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</si>
  <si>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</si>
  <si>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</si>
  <si>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</si>
  <si>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</si>
  <si>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</si>
  <si>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</si>
  <si>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</si>
  <si>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</si>
  <si>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</si>
  <si>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</si>
  <si>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</si>
  <si>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</si>
  <si>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</si>
  <si>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</si>
  <si>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</si>
  <si>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</si>
  <si>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</si>
  <si>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</si>
  <si>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</si>
  <si>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</si>
  <si>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</si>
  <si>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</si>
  <si>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</si>
  <si>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</si>
  <si>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</si>
  <si>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</si>
  <si>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</si>
  <si>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</si>
  <si>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</si>
  <si>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</si>
  <si>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</si>
  <si>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</si>
  <si>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</si>
  <si>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</si>
  <si>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</si>
  <si>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</si>
  <si>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</si>
  <si>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</si>
  <si>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</si>
  <si>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</si>
  <si>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</si>
  <si>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</si>
  <si>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</si>
  <si>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</si>
  <si>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</si>
  <si>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</si>
  <si>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</si>
  <si>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</si>
  <si>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</si>
  <si>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</si>
  <si>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</si>
  <si>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</si>
  <si>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</si>
  <si>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</si>
  <si>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</si>
  <si>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</si>
  <si>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</si>
  <si>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</si>
  <si>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</si>
  <si>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</si>
  <si>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</si>
  <si>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</si>
  <si>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</si>
  <si>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</si>
  <si>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</si>
  <si>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</si>
  <si>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</si>
  <si>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</si>
  <si>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</si>
  <si>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</si>
  <si>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</si>
  <si>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</si>
  <si>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</si>
  <si>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</si>
  <si>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</si>
  <si>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</si>
  <si>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</si>
  <si>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</si>
  <si>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</si>
  <si>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</si>
  <si>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</si>
  <si>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</si>
  <si>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</si>
  <si>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</si>
  <si>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</si>
  <si>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</si>
  <si>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</si>
  <si>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</si>
  <si>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</si>
  <si>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</si>
  <si>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</si>
  <si>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</si>
  <si>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</si>
  <si>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</si>
  <si>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</si>
  <si>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</si>
  <si>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</si>
  <si>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</si>
  <si>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</si>
  <si>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</si>
  <si>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</si>
  <si>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</si>
  <si>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</si>
  <si>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</si>
  <si>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</si>
  <si>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</si>
  <si>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</si>
  <si>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</si>
  <si>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</si>
  <si>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</si>
  <si>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</si>
  <si>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</si>
  <si>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</si>
  <si>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</si>
  <si>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</si>
  <si>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</si>
  <si>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</si>
  <si>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</si>
  <si>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</si>
  <si>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</si>
  <si>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</si>
  <si>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</si>
  <si>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</si>
  <si>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</si>
  <si>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</si>
  <si>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</si>
  <si>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</si>
  <si>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</si>
  <si>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</si>
  <si>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</si>
  <si>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</si>
  <si>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</si>
  <si>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</si>
  <si>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</si>
  <si>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</si>
  <si>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</si>
  <si>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</si>
  <si>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</si>
  <si>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</si>
  <si>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</si>
  <si>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</si>
  <si>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</si>
  <si>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</si>
  <si>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</si>
  <si>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</si>
  <si>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</si>
  <si>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</si>
  <si>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</si>
  <si>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</si>
  <si>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</si>
  <si>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</si>
  <si>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</si>
  <si>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</si>
  <si>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</si>
  <si>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</si>
  <si>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</si>
  <si>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</si>
  <si>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</si>
  <si>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</si>
  <si>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</si>
  <si>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</si>
  <si>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</si>
  <si>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</si>
  <si>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</si>
  <si>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</si>
  <si>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</si>
  <si>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</si>
  <si>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</si>
  <si>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</si>
  <si>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</si>
  <si>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</si>
  <si>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</si>
  <si>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</si>
  <si>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</si>
  <si>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</si>
  <si>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</si>
  <si>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</si>
  <si>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</si>
  <si>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</si>
  <si>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</si>
  <si>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</si>
  <si>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</si>
  <si>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</si>
  <si>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</si>
  <si>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</si>
  <si>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</si>
  <si>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</si>
  <si>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</si>
  <si>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</si>
  <si>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</si>
  <si>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</si>
  <si>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</si>
  <si>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</si>
  <si>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</si>
  <si>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</si>
  <si>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</si>
  <si>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</si>
  <si>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</si>
  <si>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</si>
  <si>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</si>
  <si>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</si>
  <si>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</si>
  <si>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</si>
  <si>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</si>
  <si>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</si>
  <si>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</si>
  <si>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</si>
  <si>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</si>
  <si>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</si>
  <si>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</si>
  <si>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</si>
  <si>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</si>
  <si>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</si>
  <si>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</si>
  <si>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</si>
  <si>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</si>
  <si>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</si>
  <si>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</si>
  <si>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</si>
  <si>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</si>
  <si>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</si>
  <si>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</si>
  <si>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</si>
  <si>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</si>
  <si>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</si>
  <si>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</si>
  <si>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</si>
  <si>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</si>
  <si>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</si>
  <si>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</si>
  <si>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</si>
  <si>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</si>
  <si>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</si>
  <si>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</si>
  <si>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</si>
  <si>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</si>
  <si>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</si>
  <si>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</si>
  <si>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</si>
  <si>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</si>
  <si>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</si>
  <si>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</si>
  <si>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</si>
  <si>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</si>
  <si>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</si>
  <si>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</si>
  <si>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</si>
  <si>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</si>
  <si>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</si>
  <si>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</si>
  <si>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</si>
  <si>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</si>
  <si>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</si>
  <si>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</si>
  <si>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</si>
  <si>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</si>
  <si>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</si>
  <si>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</si>
  <si>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</si>
  <si>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</si>
  <si>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</si>
  <si>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</si>
  <si>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</si>
  <si>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</si>
  <si>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</si>
  <si>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</si>
  <si>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</si>
  <si>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</si>
  <si>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</si>
  <si>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</si>
  <si>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</si>
  <si>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</si>
  <si>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</si>
  <si>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</si>
  <si>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</si>
  <si>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</si>
  <si>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</si>
  <si>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</si>
  <si>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</si>
  <si>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</si>
  <si>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</si>
  <si>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</si>
  <si>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</si>
  <si>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</si>
  <si>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</si>
  <si>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</si>
  <si>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</si>
  <si>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</si>
  <si>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</si>
  <si>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</si>
  <si>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</si>
  <si>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</si>
  <si>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</si>
  <si>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</si>
  <si>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</si>
  <si>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</si>
  <si>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</si>
  <si>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</si>
  <si>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</si>
  <si>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</si>
  <si>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</si>
  <si>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</si>
  <si>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</si>
  <si>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</si>
  <si>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</si>
  <si>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</si>
  <si>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</si>
  <si>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</si>
  <si>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</si>
  <si>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</si>
  <si>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</si>
  <si>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</si>
  <si>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</si>
  <si>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</si>
  <si>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</si>
  <si>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</si>
  <si>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</si>
  <si>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</si>
  <si>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</si>
  <si>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</si>
  <si>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</si>
  <si>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</si>
  <si>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</si>
  <si>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</si>
  <si>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</si>
  <si>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</si>
  <si>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</si>
  <si>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</si>
  <si>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</si>
  <si>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</si>
  <si>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</si>
  <si>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</si>
  <si>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</si>
  <si>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</si>
  <si>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</si>
  <si>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</si>
  <si>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</si>
  <si>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</si>
  <si>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</si>
  <si>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</si>
  <si>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</si>
  <si>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</si>
  <si>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</si>
  <si>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</si>
  <si>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</si>
  <si>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</si>
  <si>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</si>
  <si>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</si>
  <si>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</si>
  <si>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</si>
  <si>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</si>
  <si>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</si>
  <si>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</si>
  <si>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</si>
  <si>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</si>
  <si>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</si>
  <si>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</si>
  <si>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</si>
  <si>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</si>
  <si>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</si>
  <si>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</si>
  <si>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</si>
  <si>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</si>
  <si>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</si>
  <si>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</si>
  <si>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</si>
  <si>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</si>
  <si>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</si>
  <si>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</si>
  <si>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</si>
  <si>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</si>
  <si>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</si>
  <si>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</si>
  <si>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</si>
  <si>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</si>
  <si>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</si>
  <si>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</si>
  <si>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</si>
  <si>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</si>
  <si>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</si>
  <si>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</si>
  <si>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</si>
  <si>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</si>
  <si>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</si>
  <si>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</si>
  <si>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</si>
  <si>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</si>
  <si>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</si>
  <si>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</si>
  <si>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</si>
  <si>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</si>
  <si>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</si>
  <si>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</si>
  <si>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</si>
  <si>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</si>
  <si>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</si>
  <si>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</si>
  <si>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</si>
  <si>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</si>
  <si>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</si>
  <si>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</si>
  <si>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</si>
  <si>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</si>
  <si>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</si>
  <si>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</si>
  <si>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</si>
  <si>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</si>
  <si>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</si>
  <si>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</si>
  <si>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</si>
  <si>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</si>
  <si>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</si>
  <si>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</si>
  <si>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</si>
  <si>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</si>
  <si>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</si>
  <si>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</si>
  <si>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</si>
  <si>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</si>
  <si>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</si>
  <si>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</si>
  <si>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</si>
  <si>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</si>
  <si>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</si>
  <si>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</si>
  <si>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</si>
  <si>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</si>
  <si>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</si>
  <si>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</si>
  <si>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</si>
  <si>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</si>
  <si>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</si>
  <si>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</si>
  <si>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</si>
  <si>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</si>
  <si>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</si>
  <si>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</si>
  <si>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</si>
  <si>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</si>
  <si>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</si>
  <si>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</si>
  <si>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</si>
  <si>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</si>
  <si>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</si>
  <si>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</si>
  <si>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</si>
  <si>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</si>
  <si>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</si>
  <si>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</si>
  <si>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</si>
  <si>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</si>
  <si>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</si>
  <si>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</si>
  <si>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</si>
  <si>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</si>
  <si>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</si>
  <si>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</si>
  <si>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</si>
  <si>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</si>
  <si>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</si>
  <si>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</si>
  <si>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</si>
  <si>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</si>
  <si>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</si>
  <si>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</si>
  <si>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</si>
  <si>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</si>
  <si>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</si>
  <si>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</si>
  <si>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</si>
  <si>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</si>
  <si>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</si>
  <si>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</si>
  <si>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</si>
  <si>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</si>
  <si>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</si>
  <si>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</si>
  <si>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</si>
  <si>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</si>
  <si>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</si>
  <si>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</si>
  <si>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</si>
  <si>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</si>
  <si>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</si>
  <si>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</si>
  <si>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</si>
  <si>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</si>
  <si>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</si>
  <si>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</si>
  <si>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</si>
  <si>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</si>
  <si>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</si>
  <si>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</si>
  <si>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</si>
  <si>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</si>
  <si>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</si>
  <si>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</si>
  <si>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</si>
  <si>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</si>
  <si>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</si>
  <si>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</si>
  <si>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</si>
  <si>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</si>
  <si>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</si>
  <si>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</si>
  <si>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</si>
  <si>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</si>
  <si>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</si>
  <si>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</si>
  <si>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</si>
  <si>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</si>
  <si>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</si>
  <si>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</si>
  <si>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</si>
  <si>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</si>
  <si>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</si>
  <si>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</si>
  <si>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</si>
  <si>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</si>
  <si>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</si>
  <si>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</si>
  <si>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</si>
  <si>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</si>
  <si>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</si>
  <si>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</si>
  <si>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</si>
  <si>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</si>
  <si>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</si>
  <si>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</si>
  <si>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</si>
  <si>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</si>
  <si>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</si>
  <si>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</si>
  <si>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</si>
  <si>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</si>
  <si>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</si>
  <si>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</si>
  <si>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</si>
  <si>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</si>
  <si>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</si>
  <si>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</si>
  <si>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</si>
  <si>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</si>
  <si>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</si>
  <si>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</si>
  <si>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</si>
  <si>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</si>
  <si>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</si>
  <si>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</si>
  <si>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</si>
  <si>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</si>
  <si>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</si>
  <si>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</si>
  <si>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</si>
  <si>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</si>
  <si>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</si>
  <si>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</si>
  <si>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</si>
  <si>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</si>
  <si>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</si>
  <si>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</si>
  <si>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</si>
  <si>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</si>
  <si>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</si>
  <si>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</si>
  <si>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</si>
  <si>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</si>
  <si>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</si>
  <si>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</si>
  <si>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</si>
  <si>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</si>
  <si>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</si>
  <si>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</si>
  <si>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</si>
  <si>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</si>
  <si>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</si>
  <si>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</si>
  <si>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</si>
  <si>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</si>
  <si>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</si>
  <si>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</si>
  <si>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</si>
  <si>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</si>
  <si>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</si>
  <si>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</si>
  <si>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</si>
  <si>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</si>
  <si>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</si>
  <si>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</si>
  <si>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</si>
  <si>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</si>
  <si>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</si>
  <si>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</si>
  <si>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</si>
  <si>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</si>
  <si>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</si>
  <si>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</si>
  <si>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</si>
  <si>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</si>
  <si>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</si>
  <si>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</si>
  <si>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</si>
  <si>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</si>
  <si>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</si>
  <si>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</si>
  <si>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</si>
  <si>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</si>
  <si>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</si>
  <si>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</si>
  <si>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</si>
  <si>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</si>
  <si>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</si>
  <si>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</si>
  <si>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</si>
  <si>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</si>
  <si>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</si>
  <si>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</si>
  <si>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</si>
  <si>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</si>
  <si>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</si>
  <si>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</si>
  <si>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</si>
  <si>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</si>
  <si>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</si>
  <si>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</si>
  <si>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</si>
  <si>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</si>
  <si>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</si>
  <si>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</si>
  <si>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</si>
  <si>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</si>
  <si>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</si>
  <si>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</si>
  <si>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</si>
  <si>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</si>
  <si>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</si>
  <si>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</si>
  <si>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</si>
  <si>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</si>
  <si>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</si>
  <si>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</si>
  <si>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</si>
  <si>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</si>
  <si>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</si>
  <si>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</si>
  <si>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</si>
  <si>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</si>
  <si>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</si>
  <si>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</si>
  <si>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</si>
  <si>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</si>
  <si>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</si>
  <si>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</si>
  <si>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</si>
  <si>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</si>
  <si>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</si>
  <si>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</si>
  <si>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</si>
  <si>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</si>
  <si>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</si>
  <si>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</si>
  <si>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</si>
  <si>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</si>
  <si>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</si>
  <si>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</si>
  <si>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</si>
  <si>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</si>
  <si>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</si>
  <si>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</si>
  <si>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</si>
  <si>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</si>
  <si>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</si>
  <si>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</si>
  <si>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</si>
  <si>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</si>
  <si>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</si>
  <si>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</si>
  <si>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</si>
  <si>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</si>
  <si>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</si>
  <si>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</si>
  <si>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</si>
  <si>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</si>
  <si>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</si>
  <si>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</si>
  <si>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</si>
  <si>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</si>
  <si>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</si>
  <si>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</si>
  <si>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</si>
  <si>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</si>
  <si>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</si>
  <si>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</si>
  <si>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</si>
  <si>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</si>
  <si>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</si>
  <si>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</si>
  <si>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</si>
  <si>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</si>
  <si>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</si>
  <si>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</si>
  <si>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</si>
  <si>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</si>
  <si>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</si>
  <si>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</si>
  <si>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</si>
  <si>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</si>
  <si>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</si>
  <si>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</si>
  <si>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</si>
  <si>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</si>
  <si>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</si>
  <si>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</si>
  <si>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</si>
  <si>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</si>
  <si>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</si>
  <si>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</si>
  <si>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</si>
  <si>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</si>
  <si>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</si>
  <si>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</si>
  <si>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</si>
  <si>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</si>
  <si>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</si>
  <si>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</si>
  <si>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</si>
  <si>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</si>
  <si>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</si>
  <si>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</si>
  <si>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</si>
  <si>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</si>
  <si>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</si>
  <si>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</si>
  <si>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</si>
  <si>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</si>
  <si>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</si>
  <si>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</si>
  <si>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</si>
  <si>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</si>
  <si>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</si>
  <si>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</si>
  <si>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</si>
  <si>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</si>
  <si>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</si>
  <si>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</si>
  <si>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</si>
  <si>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</si>
  <si>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</si>
  <si>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</si>
  <si>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</si>
  <si>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</si>
  <si>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</si>
  <si>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</si>
  <si>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</si>
  <si>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</si>
  <si>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</si>
  <si>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</si>
  <si>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</si>
  <si>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</si>
  <si>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</si>
  <si>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</si>
  <si>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</si>
  <si>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</si>
  <si>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</si>
  <si>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</si>
  <si>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</si>
  <si>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</si>
  <si>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</si>
  <si>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</si>
  <si>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</si>
  <si>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</si>
  <si>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</si>
  <si>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</si>
  <si>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</si>
  <si>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</si>
  <si>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</si>
  <si>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</si>
  <si>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</si>
  <si>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</si>
  <si>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</si>
  <si>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</si>
  <si>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</si>
  <si>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</si>
  <si>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</si>
  <si>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</si>
  <si>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</si>
  <si>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</si>
  <si>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</si>
  <si>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</si>
  <si>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</si>
  <si>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</si>
  <si>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</si>
  <si>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</si>
  <si>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</si>
  <si>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</si>
  <si>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</si>
  <si>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</si>
  <si>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</si>
  <si>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</si>
  <si>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</si>
  <si>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</si>
  <si>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</si>
  <si>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</si>
  <si>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</si>
  <si>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</si>
  <si>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</si>
  <si>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</si>
  <si>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</si>
  <si>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</si>
  <si>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</si>
  <si>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</si>
  <si>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</si>
  <si>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</si>
  <si>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</si>
  <si>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</si>
  <si>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</si>
  <si>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</si>
  <si>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</si>
  <si>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</si>
  <si>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</si>
  <si>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</si>
  <si>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</si>
  <si>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</si>
  <si>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</si>
  <si>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</si>
  <si>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</si>
  <si>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</si>
  <si>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</si>
  <si>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</si>
  <si>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</si>
  <si>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</si>
  <si>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</si>
  <si>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</si>
  <si>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</si>
  <si>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</si>
  <si>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</si>
  <si>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</si>
  <si>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</si>
  <si>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</si>
  <si>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</si>
  <si>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</si>
  <si>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</si>
  <si>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</si>
  <si>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</si>
  <si>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</si>
  <si>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</si>
  <si>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</si>
  <si>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</si>
  <si>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</si>
  <si>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</si>
  <si>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</si>
  <si>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</si>
  <si>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</si>
  <si>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</si>
  <si>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</si>
  <si>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</si>
  <si>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</si>
  <si>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</si>
  <si>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</si>
  <si>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</si>
  <si>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</si>
  <si>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</si>
  <si>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</si>
  <si>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</si>
  <si>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</si>
  <si>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</si>
  <si>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</si>
  <si>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</si>
  <si>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</si>
  <si>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</si>
  <si>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</si>
  <si>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</si>
  <si>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</si>
  <si>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</si>
  <si>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</si>
  <si>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</si>
  <si>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</si>
  <si>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</si>
  <si>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</si>
  <si>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</si>
  <si>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</si>
  <si>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</si>
  <si>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</si>
  <si>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</si>
  <si>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</si>
  <si>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</si>
  <si>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</si>
  <si>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</si>
  <si>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</si>
  <si>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</si>
  <si>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</si>
  <si>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</si>
  <si>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</si>
  <si>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</si>
  <si>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</si>
  <si>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</si>
  <si>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</si>
  <si>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</si>
  <si>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</si>
  <si>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</si>
  <si>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</si>
  <si>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</si>
  <si>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</si>
  <si>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</si>
  <si>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</si>
  <si>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</si>
  <si>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</si>
  <si>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</si>
  <si>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</si>
  <si>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</si>
  <si>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</si>
  <si>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</si>
  <si>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</si>
  <si>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</si>
  <si>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</si>
  <si>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</si>
  <si>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</si>
  <si>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</si>
  <si>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</si>
  <si>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</si>
  <si>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</si>
  <si>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</si>
  <si>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</si>
  <si>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</si>
  <si>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</si>
  <si>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</si>
  <si>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</si>
  <si>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</si>
  <si>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</si>
  <si>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</si>
  <si>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</si>
  <si>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</si>
  <si>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</si>
  <si>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</si>
  <si>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</si>
  <si>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</si>
  <si>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</si>
  <si>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</si>
  <si>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</si>
  <si>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</si>
  <si>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</si>
  <si>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</si>
  <si>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</si>
  <si>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</si>
  <si>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</si>
  <si>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</si>
  <si>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</si>
  <si>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</si>
  <si>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</si>
  <si>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</si>
  <si>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</si>
  <si>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</si>
  <si>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</si>
  <si>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</si>
  <si>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</si>
  <si>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</si>
  <si>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</si>
  <si>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</si>
  <si>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</si>
  <si>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</si>
  <si>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</si>
  <si>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</si>
  <si>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</si>
  <si>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</si>
  <si>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</si>
  <si>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</si>
  <si>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</si>
  <si>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</si>
  <si>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</si>
  <si>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</si>
  <si>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</si>
  <si>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</si>
  <si>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</si>
  <si>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</si>
  <si>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</si>
  <si>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</si>
  <si>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</si>
  <si>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</si>
  <si>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</si>
  <si>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</si>
  <si>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</si>
  <si>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</si>
  <si>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</si>
  <si>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</si>
  <si>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</si>
  <si>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</si>
  <si>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</si>
  <si>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</si>
  <si>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</si>
  <si>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</si>
  <si>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</si>
  <si>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</si>
  <si>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</si>
  <si>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</si>
  <si>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</si>
  <si>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</si>
  <si>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</si>
  <si>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</si>
  <si>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</si>
  <si>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</si>
  <si>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</si>
  <si>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</si>
  <si>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</si>
  <si>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</si>
  <si>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</si>
  <si>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</si>
  <si>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</si>
  <si>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</si>
  <si>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</si>
  <si>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</si>
  <si>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</si>
  <si>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</si>
  <si>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</si>
  <si>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</si>
  <si>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</si>
  <si>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</si>
  <si>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</si>
  <si>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</si>
  <si>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</si>
  <si>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</si>
  <si>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</si>
  <si>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</si>
  <si>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</si>
  <si>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</si>
  <si>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</si>
  <si>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</si>
  <si>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</si>
  <si>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</si>
  <si>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</si>
  <si>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</si>
  <si>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</si>
  <si>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</si>
  <si>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</si>
  <si>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</si>
  <si>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</si>
  <si>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</si>
  <si>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</si>
  <si>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</si>
  <si>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</si>
  <si>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</si>
  <si>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</si>
  <si>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</si>
  <si>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</si>
  <si>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</si>
  <si>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</si>
  <si>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</si>
  <si>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</si>
  <si>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</si>
  <si>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</si>
  <si>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</si>
  <si>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</si>
  <si>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</si>
  <si>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</si>
  <si>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</si>
  <si>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</si>
  <si>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</si>
  <si>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</si>
  <si>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</si>
  <si>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</si>
  <si>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</si>
  <si>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</si>
  <si>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</si>
  <si>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</si>
  <si>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</si>
  <si>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</si>
  <si>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</si>
  <si>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</si>
  <si>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</si>
  <si>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</si>
  <si>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</si>
  <si>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</si>
  <si>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</si>
  <si>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</si>
  <si>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</si>
  <si>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</si>
  <si>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</si>
  <si>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</si>
  <si>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</si>
  <si>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</si>
  <si>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</si>
  <si>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</si>
  <si>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</si>
  <si>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</si>
  <si>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</si>
  <si>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</si>
  <si>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</si>
  <si>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</si>
  <si>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</si>
  <si>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</si>
  <si>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</si>
  <si>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</si>
  <si>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</si>
  <si>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</si>
  <si>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</si>
  <si>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</si>
  <si>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</si>
  <si>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</si>
  <si>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</si>
  <si>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</si>
  <si>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</si>
  <si>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</si>
  <si>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</si>
  <si>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</si>
  <si>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</si>
  <si>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</si>
  <si>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</si>
  <si>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</si>
  <si>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</si>
  <si>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</si>
  <si>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</si>
  <si>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</si>
  <si>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</si>
  <si>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</si>
  <si>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</si>
  <si>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</si>
  <si>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</si>
  <si>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</si>
  <si>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</si>
  <si>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</si>
  <si>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</si>
  <si>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</si>
  <si>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</si>
  <si>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</si>
  <si>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</si>
  <si>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</si>
  <si>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</si>
  <si>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</si>
  <si>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</si>
  <si>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</si>
  <si>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出让</t>
  </si>
  <si>
    <t>商业</t>
  </si>
  <si>
    <t>否</t>
  </si>
  <si>
    <t>地上</t>
  </si>
  <si>
    <t>不动产收益法</t>
  </si>
  <si>
    <t>土地（套用方法）</t>
  </si>
  <si>
    <t>钢混</t>
  </si>
  <si>
    <t>按租金收入计税</t>
  </si>
  <si>
    <t>剩余法-待开发</t>
  </si>
  <si>
    <t>土地</t>
  </si>
  <si>
    <t>王鹏</t>
  </si>
  <si>
    <t>郑燚</t>
  </si>
  <si>
    <t>中信信托有限责任公司</t>
    <phoneticPr fontId="3" type="noConversion"/>
  </si>
  <si>
    <t>其他：</t>
  </si>
  <si>
    <t>企业</t>
  </si>
  <si>
    <t>通路</t>
  </si>
  <si>
    <t>通电</t>
  </si>
  <si>
    <t>通讯</t>
  </si>
  <si>
    <t>通上水</t>
  </si>
  <si>
    <t>通下水</t>
  </si>
  <si>
    <t>未平整</t>
  </si>
  <si>
    <t>符合</t>
  </si>
  <si>
    <t>平整费</t>
    <phoneticPr fontId="9" type="noConversion"/>
  </si>
  <si>
    <r>
      <rPr>
        <b/>
        <sz val="16"/>
        <color indexed="10"/>
        <rFont val="仿宋_GB2312"/>
        <family val="3"/>
        <charset val="134"/>
      </rPr>
      <t>套用比较法</t>
    </r>
    <phoneticPr fontId="3" type="noConversion"/>
  </si>
  <si>
    <r>
      <rPr>
        <b/>
        <sz val="16"/>
        <rFont val="仿宋_GB2312"/>
        <family val="3"/>
        <charset val="134"/>
      </rPr>
      <t>住宅、综合</t>
    </r>
    <phoneticPr fontId="3"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</si>
  <si>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3" type="noConversion"/>
  </si>
  <si>
    <r>
      <rPr>
        <b/>
        <sz val="12"/>
        <rFont val="仿宋_GB2312"/>
        <family val="3"/>
        <charset val="134"/>
      </rPr>
      <t>总价</t>
    </r>
    <phoneticPr fontId="3" type="noConversion"/>
  </si>
  <si>
    <t>楼面地价</t>
    <phoneticPr fontId="3" type="noConversion"/>
  </si>
  <si>
    <r>
      <rPr>
        <b/>
        <sz val="12"/>
        <rFont val="仿宋_GB2312"/>
        <family val="3"/>
        <charset val="134"/>
      </rPr>
      <t>单位面积地价</t>
    </r>
    <phoneticPr fontId="3"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</si>
  <si>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3"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</si>
  <si>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</si>
  <si>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</si>
  <si>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</si>
  <si>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</si>
  <si>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</si>
  <si>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</si>
  <si>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</si>
  <si>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</si>
  <si>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</si>
  <si>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</si>
  <si>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</si>
  <si>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项目位置</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</si>
  <si>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</si>
  <si>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</si>
  <si>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</si>
  <si>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t>100/</t>
    <phoneticPr fontId="3" type="noConversion"/>
  </si>
  <si>
    <t>正常</t>
  </si>
  <si>
    <t>100/</t>
    <phoneticPr fontId="3" type="noConversion"/>
  </si>
  <si>
    <t>其他商服用地</t>
  </si>
  <si>
    <t>40</t>
    <phoneticPr fontId="3" type="noConversion"/>
  </si>
  <si>
    <r>
      <rPr>
        <b/>
        <sz val="11"/>
        <color indexed="8"/>
        <rFont val="仿宋_GB2312"/>
        <family val="3"/>
        <charset val="134"/>
      </rPr>
      <t>配建</t>
    </r>
    <phoneticPr fontId="3" type="noConversion"/>
  </si>
  <si>
    <t>区域因素</t>
    <phoneticPr fontId="3" type="noConversion"/>
  </si>
  <si>
    <r>
      <rPr>
        <sz val="11"/>
        <rFont val="仿宋_GB2312"/>
        <family val="3"/>
        <charset val="134"/>
      </rPr>
      <t>区位状况</t>
    </r>
    <phoneticPr fontId="3" type="noConversion"/>
  </si>
  <si>
    <t>较差</t>
  </si>
  <si>
    <t>一般</t>
  </si>
  <si>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</si>
  <si>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</si>
  <si>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</si>
  <si>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t>较好</t>
  </si>
  <si>
    <r>
      <rPr>
        <sz val="11"/>
        <color indexed="8"/>
        <rFont val="仿宋_GB2312"/>
        <family val="3"/>
        <charset val="134"/>
      </rPr>
      <t>自然及人文环境状况</t>
    </r>
    <phoneticPr fontId="3" type="noConversion"/>
  </si>
  <si>
    <t>公共配套设施</t>
    <phoneticPr fontId="3" type="noConversion"/>
  </si>
  <si>
    <t>基础设施水平</t>
    <phoneticPr fontId="3" type="noConversion"/>
  </si>
  <si>
    <t>六通</t>
  </si>
  <si>
    <r>
      <rPr>
        <sz val="11"/>
        <color indexed="8"/>
        <rFont val="仿宋_GB2312"/>
        <family val="3"/>
        <charset val="134"/>
      </rPr>
      <t>临街状况</t>
    </r>
    <phoneticPr fontId="3" type="noConversion"/>
  </si>
  <si>
    <t>次干道</t>
  </si>
  <si>
    <r>
      <rPr>
        <sz val="11"/>
        <color indexed="8"/>
        <rFont val="仿宋_GB2312"/>
        <family val="3"/>
        <charset val="134"/>
      </rPr>
      <t>土地级别</t>
    </r>
    <phoneticPr fontId="3" type="noConversion"/>
  </si>
  <si>
    <r>
      <rPr>
        <sz val="11"/>
        <rFont val="仿宋_GB2312"/>
        <family val="3"/>
        <charset val="134"/>
      </rPr>
      <t>实物状况</t>
    </r>
    <phoneticPr fontId="3" type="noConversion"/>
  </si>
  <si>
    <t>个别因素</t>
    <phoneticPr fontId="3"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</si>
  <si>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</si>
  <si>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</si>
  <si>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t>较规则</t>
  </si>
  <si>
    <r>
      <rPr>
        <sz val="11"/>
        <color indexed="8"/>
        <rFont val="仿宋_GB2312"/>
        <family val="3"/>
        <charset val="134"/>
      </rPr>
      <t>临街宽度及深度</t>
    </r>
    <phoneticPr fontId="3" type="noConversion"/>
  </si>
  <si>
    <t>五通一平</t>
  </si>
  <si>
    <r>
      <rPr>
        <sz val="11"/>
        <color indexed="8"/>
        <rFont val="仿宋_GB2312"/>
        <family val="3"/>
        <charset val="134"/>
      </rPr>
      <t>工程地质条件</t>
    </r>
    <phoneticPr fontId="3" type="noConversion"/>
  </si>
  <si>
    <t>楼面地价</t>
  </si>
  <si>
    <r>
      <rPr>
        <b/>
        <sz val="11"/>
        <rFont val="仿宋_GB2312"/>
        <family val="3"/>
        <charset val="134"/>
      </rPr>
      <t>比较价格（元</t>
    </r>
    <r>
      <rPr>
        <b/>
        <sz val="11"/>
        <rFont val="Arial"/>
        <family val="2"/>
      </rPr>
      <t>/</t>
    </r>
    <r>
      <rPr>
        <b/>
        <sz val="11"/>
        <rFont val="仿宋_GB2312"/>
        <family val="3"/>
        <charset val="134"/>
      </rPr>
      <t>平方米）</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</si>
  <si>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</si>
  <si>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</si>
  <si>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</si>
  <si>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</si>
  <si>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3" type="noConversion"/>
  </si>
  <si>
    <r>
      <rPr>
        <sz val="11"/>
        <rFont val="仿宋_GB2312"/>
        <family val="3"/>
        <charset val="134"/>
      </rPr>
      <t>修正单价</t>
    </r>
    <phoneticPr fontId="3" type="noConversion"/>
  </si>
  <si>
    <t>政府土地出让收益比例</t>
    <phoneticPr fontId="3" type="noConversion"/>
  </si>
  <si>
    <r>
      <rPr>
        <sz val="11"/>
        <rFont val="仿宋_GB2312"/>
        <family val="3"/>
        <charset val="134"/>
      </rPr>
      <t>建筑面积</t>
    </r>
    <phoneticPr fontId="3" type="noConversion"/>
  </si>
  <si>
    <r>
      <rPr>
        <sz val="11"/>
        <rFont val="仿宋_GB2312"/>
        <family val="3"/>
        <charset val="134"/>
      </rPr>
      <t>总价</t>
    </r>
    <phoneticPr fontId="3" type="noConversion"/>
  </si>
  <si>
    <t>对应的地上用途及土地级别（北京市）</t>
    <phoneticPr fontId="3" type="noConversion"/>
  </si>
  <si>
    <t>北京市</t>
    <phoneticPr fontId="3" type="noConversion"/>
  </si>
  <si>
    <t>外省市地下修正系数请自行录入</t>
    <phoneticPr fontId="3" type="noConversion"/>
  </si>
  <si>
    <r>
      <rPr>
        <sz val="10"/>
        <rFont val="仿宋_GB2312"/>
        <family val="3"/>
        <charset val="134"/>
      </rPr>
      <t>地上</t>
    </r>
    <phoneticPr fontId="3" type="noConversion"/>
  </si>
  <si>
    <r>
      <rPr>
        <sz val="10"/>
        <rFont val="仿宋_GB2312"/>
        <family val="3"/>
        <charset val="134"/>
      </rPr>
      <t>地下商业（</t>
    </r>
    <r>
      <rPr>
        <sz val="10"/>
        <rFont val="Arial"/>
        <family val="2"/>
      </rPr>
      <t>-1</t>
    </r>
    <r>
      <rPr>
        <sz val="10"/>
        <rFont val="仿宋_GB2312"/>
        <family val="3"/>
        <charset val="134"/>
      </rPr>
      <t>）</t>
    </r>
    <phoneticPr fontId="3" type="noConversion"/>
  </si>
  <si>
    <t>对应商业级别</t>
    <phoneticPr fontId="3" type="noConversion"/>
  </si>
  <si>
    <r>
      <rPr>
        <sz val="10"/>
        <rFont val="仿宋_GB2312"/>
        <family val="3"/>
        <charset val="134"/>
      </rPr>
      <t>地下商业（</t>
    </r>
    <r>
      <rPr>
        <sz val="10"/>
        <rFont val="Arial"/>
        <family val="2"/>
      </rPr>
      <t>-2</t>
    </r>
    <r>
      <rPr>
        <sz val="10"/>
        <rFont val="仿宋_GB2312"/>
        <family val="3"/>
        <charset val="134"/>
      </rPr>
      <t>）</t>
    </r>
    <phoneticPr fontId="3" type="noConversion"/>
  </si>
  <si>
    <r>
      <rPr>
        <sz val="10"/>
        <rFont val="仿宋_GB2312"/>
        <family val="3"/>
        <charset val="134"/>
      </rPr>
      <t>地下商业（</t>
    </r>
    <r>
      <rPr>
        <sz val="10"/>
        <rFont val="Arial"/>
        <family val="2"/>
      </rPr>
      <t>-3</t>
    </r>
    <r>
      <rPr>
        <sz val="10"/>
        <rFont val="仿宋_GB2312"/>
        <family val="3"/>
        <charset val="134"/>
      </rPr>
      <t>）</t>
    </r>
    <phoneticPr fontId="3" type="noConversion"/>
  </si>
  <si>
    <r>
      <rPr>
        <sz val="10"/>
        <rFont val="仿宋_GB2312"/>
        <family val="3"/>
        <charset val="134"/>
      </rPr>
      <t>地下商业（</t>
    </r>
    <r>
      <rPr>
        <sz val="10"/>
        <rFont val="Arial"/>
        <family val="2"/>
      </rPr>
      <t>-4</t>
    </r>
    <r>
      <rPr>
        <sz val="10"/>
        <rFont val="仿宋_GB2312"/>
        <family val="3"/>
        <charset val="134"/>
      </rPr>
      <t>）</t>
    </r>
    <phoneticPr fontId="3" type="noConversion"/>
  </si>
  <si>
    <t>地下办公（含物业）</t>
    <phoneticPr fontId="3" type="noConversion"/>
  </si>
  <si>
    <t>对应办公级别</t>
    <phoneticPr fontId="3" type="noConversion"/>
  </si>
  <si>
    <r>
      <rPr>
        <sz val="10"/>
        <rFont val="仿宋_GB2312"/>
        <family val="3"/>
        <charset val="134"/>
      </rPr>
      <t>地下仓储</t>
    </r>
    <phoneticPr fontId="3" type="noConversion"/>
  </si>
  <si>
    <r>
      <rPr>
        <sz val="10"/>
        <rFont val="仿宋_GB2312"/>
        <family val="3"/>
        <charset val="134"/>
      </rPr>
      <t>地下车库</t>
    </r>
    <phoneticPr fontId="3" type="noConversion"/>
  </si>
  <si>
    <r>
      <rPr>
        <sz val="10"/>
        <rFont val="仿宋_GB2312"/>
        <family val="3"/>
        <charset val="134"/>
      </rPr>
      <t>地下车库</t>
    </r>
    <r>
      <rPr>
        <sz val="10"/>
        <rFont val="Arial"/>
        <family val="2"/>
      </rPr>
      <t>-</t>
    </r>
    <r>
      <rPr>
        <sz val="10"/>
        <rFont val="仿宋_GB2312"/>
        <family val="3"/>
        <charset val="134"/>
      </rPr>
      <t>商业</t>
    </r>
    <phoneticPr fontId="3" type="noConversion"/>
  </si>
  <si>
    <t>对应商业级别</t>
    <phoneticPr fontId="3" type="noConversion"/>
  </si>
  <si>
    <r>
      <rPr>
        <sz val="10"/>
        <rFont val="仿宋_GB2312"/>
        <family val="3"/>
        <charset val="134"/>
      </rPr>
      <t>地下车库</t>
    </r>
    <r>
      <rPr>
        <sz val="10"/>
        <rFont val="Arial"/>
        <family val="2"/>
      </rPr>
      <t>-</t>
    </r>
    <r>
      <rPr>
        <sz val="10"/>
        <rFont val="仿宋_GB2312"/>
        <family val="3"/>
        <charset val="134"/>
      </rPr>
      <t>办公</t>
    </r>
    <phoneticPr fontId="3" type="noConversion"/>
  </si>
  <si>
    <t>对应办公级别</t>
    <phoneticPr fontId="3" type="noConversion"/>
  </si>
  <si>
    <r>
      <rPr>
        <b/>
        <sz val="10"/>
        <rFont val="仿宋_GB2312"/>
        <family val="3"/>
        <charset val="134"/>
      </rPr>
      <t>土地购买价格</t>
    </r>
    <phoneticPr fontId="3" type="noConversion"/>
  </si>
  <si>
    <t>-</t>
    <phoneticPr fontId="3"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</si>
  <si>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</si>
  <si>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t>交易时间（按季度修正）</t>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</si>
  <si>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</si>
  <si>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</si>
  <si>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phoneticPr fontId="3" type="noConversion"/>
  </si>
  <si>
    <r>
      <rPr>
        <b/>
        <sz val="11"/>
        <rFont val="仿宋_GB2312"/>
        <family val="3"/>
        <charset val="134"/>
      </rPr>
      <t>权益状况</t>
    </r>
    <phoneticPr fontId="3" type="noConversion"/>
  </si>
  <si>
    <r>
      <rPr>
        <sz val="11"/>
        <color indexed="8"/>
        <rFont val="仿宋_GB2312"/>
        <family val="3"/>
        <charset val="134"/>
      </rPr>
      <t>用途</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</si>
  <si>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</si>
  <si>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</si>
  <si>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</si>
  <si>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</si>
  <si>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</si>
  <si>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</si>
  <si>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</si>
  <si>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</si>
  <si>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</si>
  <si>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</si>
  <si>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t>基础设施水平</t>
    <phoneticPr fontId="3" type="noConversion"/>
  </si>
  <si>
    <r>
      <rPr>
        <sz val="11"/>
        <rFont val="仿宋_GB2312"/>
        <family val="3"/>
        <charset val="134"/>
      </rPr>
      <t>多面临街</t>
    </r>
    <phoneticPr fontId="3" type="noConversion"/>
  </si>
  <si>
    <r>
      <rPr>
        <sz val="11"/>
        <rFont val="仿宋_GB2312"/>
        <family val="3"/>
        <charset val="134"/>
      </rPr>
      <t>双面临街</t>
    </r>
    <phoneticPr fontId="3" type="noConversion"/>
  </si>
  <si>
    <r>
      <rPr>
        <sz val="11"/>
        <rFont val="仿宋_GB2312"/>
        <family val="3"/>
        <charset val="134"/>
      </rPr>
      <t>单面临街</t>
    </r>
    <phoneticPr fontId="3" type="noConversion"/>
  </si>
  <si>
    <r>
      <rPr>
        <sz val="11"/>
        <rFont val="仿宋_GB2312"/>
        <family val="3"/>
        <charset val="134"/>
      </rPr>
      <t>不临街</t>
    </r>
    <phoneticPr fontId="3" type="noConversion"/>
  </si>
  <si>
    <r>
      <rPr>
        <sz val="11"/>
        <color indexed="8"/>
        <rFont val="仿宋_GB2312"/>
        <family val="3"/>
        <charset val="134"/>
      </rPr>
      <t>毗邻道路的类型与等级</t>
    </r>
    <phoneticPr fontId="3" type="noConversion"/>
  </si>
  <si>
    <t>快速路</t>
    <phoneticPr fontId="3" type="noConversion"/>
  </si>
  <si>
    <t>主干道</t>
    <phoneticPr fontId="3" type="noConversion"/>
  </si>
  <si>
    <t>次干道</t>
    <phoneticPr fontId="3" type="noConversion"/>
  </si>
  <si>
    <t>支路</t>
    <phoneticPr fontId="3" type="noConversion"/>
  </si>
  <si>
    <r>
      <rPr>
        <sz val="11"/>
        <color indexed="8"/>
        <rFont val="仿宋_GB2312"/>
        <family val="3"/>
        <charset val="134"/>
      </rPr>
      <t>土地级别</t>
    </r>
    <phoneticPr fontId="3" type="noConversion"/>
  </si>
  <si>
    <r>
      <rPr>
        <b/>
        <sz val="11"/>
        <rFont val="仿宋_GB2312"/>
        <family val="3"/>
        <charset val="134"/>
      </rPr>
      <t>实物状况</t>
    </r>
    <phoneticPr fontId="3" type="noConversion"/>
  </si>
  <si>
    <t>较规则</t>
    <phoneticPr fontId="3" type="noConversion"/>
  </si>
  <si>
    <t>宗地开发程度</t>
    <phoneticPr fontId="3" type="noConversion"/>
  </si>
  <si>
    <t>五通一平</t>
    <phoneticPr fontId="3" type="noConversion"/>
  </si>
  <si>
    <t>较好</t>
    <phoneticPr fontId="3" type="noConversion"/>
  </si>
  <si>
    <t>商务（办公）</t>
  </si>
  <si>
    <r>
      <t>比较法</t>
    </r>
    <r>
      <rPr>
        <sz val="11"/>
        <color theme="1"/>
        <rFont val="Arial"/>
        <family val="2"/>
      </rPr>
      <t>-</t>
    </r>
    <r>
      <rPr>
        <sz val="11"/>
        <color theme="1"/>
        <rFont val="宋体"/>
        <family val="3"/>
        <charset val="134"/>
      </rPr>
      <t>住宅、综合</t>
    </r>
    <r>
      <rPr>
        <sz val="11"/>
        <color theme="1"/>
        <rFont val="Arial"/>
        <family val="2"/>
      </rPr>
      <t xml:space="preserve"> (2)</t>
    </r>
  </si>
  <si>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</si>
  <si>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</si>
  <si>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</si>
  <si>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</si>
  <si>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</si>
  <si>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</si>
  <si>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</si>
  <si>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</si>
  <si>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</si>
  <si>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</si>
  <si>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</si>
  <si>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</si>
  <si>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</si>
  <si>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白云区艳山红镇观云大道东侧</t>
  </si>
  <si>
    <t>贵阳市</t>
  </si>
  <si>
    <t>商业/办公用地</t>
  </si>
  <si>
    <t>挂牌</t>
  </si>
  <si>
    <t>≤0.5</t>
  </si>
  <si>
    <t>2018-03-05</t>
  </si>
  <si>
    <t>中国石油天然气股份有限公司贵州销售分公司</t>
  </si>
  <si>
    <t>40年</t>
  </si>
  <si>
    <t>白云区艳山红镇观云大道西侧</t>
  </si>
  <si>
    <t>2018-01-24</t>
  </si>
  <si>
    <t>贵州迈达盛集团有限公司</t>
  </si>
  <si>
    <t>白云区艳山红镇原氧化铝厂片区</t>
  </si>
  <si>
    <t>≤2.5</t>
  </si>
  <si>
    <t>2017-12-11</t>
  </si>
  <si>
    <t>恒大地产集团贵阳置业有限公司</t>
  </si>
  <si>
    <t>≤3</t>
  </si>
  <si>
    <t>绿地集团(贵阳)置业有限公司</t>
  </si>
  <si>
    <t>≤3.5</t>
  </si>
  <si>
    <t>白云区麦架镇麦架村白修线西侧</t>
  </si>
  <si>
    <t>≤0.8</t>
  </si>
  <si>
    <t>2017-11-15</t>
  </si>
  <si>
    <t>中国石化销售有限公司贵州贵阳石油分公司</t>
  </si>
  <si>
    <t>白云区艳山红镇云环路西侧</t>
  </si>
  <si>
    <t>商业用地</t>
  </si>
  <si>
    <t>2017-03-08</t>
  </si>
  <si>
    <t>贵阳云中能源投资有限公司</t>
  </si>
  <si>
    <t>白云区龙井路南侧、金湖路北侧、诚信北路沿线西侧</t>
  </si>
  <si>
    <t>拍卖</t>
  </si>
  <si>
    <t>≤1</t>
  </si>
  <si>
    <t>2017-02-27</t>
  </si>
  <si>
    <t>贵阳仟坤文创置业有限公司</t>
  </si>
  <si>
    <t>白云区龙井路南侧、金湖路北侧、云峰大道西侧</t>
  </si>
  <si>
    <t>白云区黑石头二号路</t>
  </si>
  <si>
    <t>≤0.4</t>
  </si>
  <si>
    <t>2017-01-10</t>
  </si>
  <si>
    <t>贵阳监测指标情况一览表</t>
  </si>
  <si>
    <t>时间</t>
  </si>
  <si>
    <t>水平值</t>
  </si>
  <si>
    <t>环比增长率</t>
  </si>
  <si>
    <t>指数</t>
  </si>
  <si>
    <t>五通一平</t>
    <phoneticPr fontId="3" type="noConversion"/>
  </si>
  <si>
    <t>较好</t>
    <phoneticPr fontId="3" type="noConversion"/>
  </si>
  <si>
    <t>住宅</t>
    <phoneticPr fontId="7" type="noConversion"/>
  </si>
  <si>
    <t>商业</t>
    <phoneticPr fontId="7" type="noConversion"/>
  </si>
  <si>
    <t>比较法-住宅、综合</t>
  </si>
  <si>
    <t>板块</t>
  </si>
  <si>
    <t>土地位置</t>
  </si>
  <si>
    <t>地块编号</t>
  </si>
  <si>
    <t>公告编号</t>
  </si>
  <si>
    <t>成交每亩价(万元/亩)</t>
  </si>
  <si>
    <t>海安高新区钟庄路东侧、黄海大道北侧</t>
  </si>
  <si>
    <t>南通市</t>
  </si>
  <si>
    <t>住宅用地</t>
  </si>
  <si>
    <t>其他普通商品住房用地</t>
  </si>
  <si>
    <t>1.0＜且≤2.6</t>
  </si>
  <si>
    <t>2018-10-28</t>
  </si>
  <si>
    <t>海国土网挂[2018]028号</t>
  </si>
  <si>
    <t>万达地产集团有限公司</t>
  </si>
  <si>
    <t>70年</t>
  </si>
  <si>
    <t>高新区光华村15组</t>
  </si>
  <si>
    <t>＞1,≤3.2</t>
  </si>
  <si>
    <t>2018-10-26</t>
  </si>
  <si>
    <t>海国土网挂[2018]022号-13</t>
  </si>
  <si>
    <t>海安县力源投资有限公司</t>
  </si>
  <si>
    <t>高新区孙庄村17组</t>
  </si>
  <si>
    <t>海国土网挂[2018]022号-14</t>
  </si>
  <si>
    <t>海安高新区田庄村23、25组</t>
  </si>
  <si>
    <t>＞1,≤2.6</t>
  </si>
  <si>
    <t>2018-05-11</t>
  </si>
  <si>
    <t>海国土网挂[2018]009号-3</t>
  </si>
  <si>
    <t>江苏文凤化纤集团有限公司</t>
  </si>
  <si>
    <t>海安高新区田庄村25组、园庄村23组</t>
  </si>
  <si>
    <t>海国土网挂[2018]009号-2</t>
  </si>
  <si>
    <t>海安高新区园庄村23组</t>
  </si>
  <si>
    <t>海国土网挂[2018]009号-4</t>
  </si>
  <si>
    <t>海国土网挂[2018]009号-1</t>
  </si>
  <si>
    <t>海安高新区东庙村24组</t>
  </si>
  <si>
    <t>＞1,≤3</t>
  </si>
  <si>
    <t>2018-04-10</t>
  </si>
  <si>
    <t>海国土网挂[2018]008号-2</t>
  </si>
  <si>
    <t>江苏海安县海穗工业园区发展有限公司</t>
  </si>
  <si>
    <t>海安高新区祖师庙村1组</t>
  </si>
  <si>
    <t>海国土网挂[2018]008号-3</t>
  </si>
  <si>
    <t>海安高新区安平西路96、98号</t>
  </si>
  <si>
    <t>＞1,≤2.28</t>
  </si>
  <si>
    <t>2017-10-12</t>
  </si>
  <si>
    <t>海国土网挂[2017]034号</t>
  </si>
  <si>
    <t>江苏润宇建设有限公司</t>
  </si>
  <si>
    <t>海安高新区开元大道东侧、谭港路北侧</t>
  </si>
  <si>
    <t>2017-09-07</t>
  </si>
  <si>
    <t>海国土网挂[2017]028号-2</t>
  </si>
  <si>
    <t>南通永大管业股份有限公司</t>
  </si>
  <si>
    <t>海国土网挂[2017]028号-1</t>
  </si>
  <si>
    <t>2017-08-30</t>
  </si>
  <si>
    <t>海国土网挂[2017]027号</t>
  </si>
  <si>
    <t>2017-08-25</t>
  </si>
  <si>
    <t>海国土网挂[2017]025号</t>
  </si>
  <si>
    <t>2017-08-20</t>
  </si>
  <si>
    <t>海国土网挂[2017]024号</t>
  </si>
  <si>
    <t>海安县海安高新区凤山村5、11、12组</t>
  </si>
  <si>
    <t>＞1且≤3.3</t>
  </si>
  <si>
    <t>2016-12-02</t>
  </si>
  <si>
    <t>海国土网挂[2016]029号</t>
  </si>
  <si>
    <t>江苏海安凤山港务有限公司</t>
  </si>
  <si>
    <t>海安高新区凤山村34组</t>
  </si>
  <si>
    <t>综合用地(含住宅)</t>
  </si>
  <si>
    <t>商住</t>
  </si>
  <si>
    <t>＞1且≤3</t>
  </si>
  <si>
    <t>2016-11-10</t>
  </si>
  <si>
    <t>海国土网挂[2016]023号-4</t>
  </si>
  <si>
    <t>海安高新区平桥村10、12组</t>
  </si>
  <si>
    <t>海国土网挂[2016]023号-7</t>
  </si>
  <si>
    <t>海安高新区海南村15组</t>
  </si>
  <si>
    <t>海国土网挂[2016]023号-3</t>
  </si>
  <si>
    <t>海安高新区凤山村26、27组</t>
  </si>
  <si>
    <t>海国土网挂[2016]023号-2</t>
  </si>
  <si>
    <t>海安高新区平桥村4、6、26组</t>
  </si>
  <si>
    <t>海国土网挂[2016]023号-10</t>
  </si>
  <si>
    <t>海安高新区平桥村4、6、27组</t>
  </si>
  <si>
    <t>海国土网挂[2016]023号-9</t>
  </si>
  <si>
    <t>海国土网挂[2016]023号-5</t>
  </si>
  <si>
    <t>海安高新区东庙村15组</t>
  </si>
  <si>
    <t>海国土网挂[2016]023号-11</t>
  </si>
  <si>
    <t>海安高新区二里村1组、平桥村4、6组</t>
  </si>
  <si>
    <t>海国土网挂[2016]023号-8</t>
  </si>
  <si>
    <t>海安高新区平桥村10、11组</t>
  </si>
  <si>
    <t>海国土网挂[2016]023号-1</t>
  </si>
  <si>
    <t>海国土网挂[2016]023号-6</t>
  </si>
  <si>
    <r>
      <rPr>
        <sz val="10"/>
        <rFont val="宋体"/>
        <family val="3"/>
        <charset val="134"/>
      </rPr>
      <t>高新区孙庄村</t>
    </r>
    <r>
      <rPr>
        <sz val="10"/>
        <rFont val="Arial"/>
        <family val="2"/>
      </rPr>
      <t>17</t>
    </r>
    <r>
      <rPr>
        <sz val="10"/>
        <rFont val="宋体"/>
        <family val="3"/>
        <charset val="134"/>
      </rPr>
      <t>组</t>
    </r>
    <phoneticPr fontId="233" type="noConversion"/>
  </si>
  <si>
    <t>白甸镇、白甸村13组</t>
  </si>
  <si>
    <t>海国土网挂[2018]023号-4</t>
  </si>
  <si>
    <t>江苏甸湖城镇化建设投资有限公司</t>
  </si>
  <si>
    <t>白甸镇傅舍村4组</t>
  </si>
  <si>
    <t>海国土网挂[2018]023号-5</t>
  </si>
  <si>
    <t>白甸镇白甸村13组</t>
  </si>
  <si>
    <t>海国土网挂[2018]023号-1</t>
  </si>
  <si>
    <t>白甸镇白甸村8组</t>
  </si>
  <si>
    <t>海国土网挂[2018]023号-8</t>
  </si>
  <si>
    <t>海国土网挂[2018]023号-2</t>
  </si>
  <si>
    <t>海安镇闸东路4号</t>
  </si>
  <si>
    <t>海国土网挂[2018]022号-11</t>
  </si>
  <si>
    <t>孙庄镇营溪村4组</t>
  </si>
  <si>
    <t>海国土网挂[2018]022号-8</t>
  </si>
  <si>
    <t>孙庄镇孙庄村16组</t>
  </si>
  <si>
    <t>海国土网挂[2018]022号-4</t>
  </si>
  <si>
    <t>二里村一组</t>
  </si>
  <si>
    <t>海国土网挂[2018]022号-2</t>
  </si>
  <si>
    <t>海安镇新丰村12、14、15、16组</t>
  </si>
  <si>
    <t>海国土网挂[2018]022号-12</t>
  </si>
  <si>
    <t>孙庄村中心组</t>
  </si>
  <si>
    <t>海国土网挂[2018]022号-5</t>
  </si>
  <si>
    <t>黄海大道北、胡孙线西侧</t>
  </si>
  <si>
    <t>海国土网挂[2018]022号-15</t>
  </si>
  <si>
    <t>闸东村1组</t>
  </si>
  <si>
    <t>海国土网挂[2018]022号-3</t>
  </si>
  <si>
    <t>孙庄镇孙庄村17组</t>
  </si>
  <si>
    <t>海国土网挂[2018]022号-7</t>
  </si>
  <si>
    <t>孙庄镇营溪村9组</t>
  </si>
  <si>
    <t>海国土网挂[2018]022号-9</t>
  </si>
  <si>
    <t>孙庄镇祖师庙村9组</t>
  </si>
  <si>
    <t>海国土网挂[2018]022号-6</t>
  </si>
  <si>
    <t>孙庄镇夏岔村18组</t>
  </si>
  <si>
    <t>海国土网挂[2018]022号-10</t>
  </si>
  <si>
    <t>三墉村1组</t>
  </si>
  <si>
    <t>海国土网挂[2018]022号-1</t>
  </si>
  <si>
    <t>李堡镇勤政路东、蒋富路北</t>
  </si>
  <si>
    <t>2018-09-12</t>
  </si>
  <si>
    <t>海国土网挂[2018]018号-4</t>
  </si>
  <si>
    <t>海安东泽城镇建设投资有限公司</t>
  </si>
  <si>
    <t>李堡镇包场北路10号</t>
  </si>
  <si>
    <t>海国土网挂[2018]018号-3</t>
  </si>
  <si>
    <t>南莫镇兴南村14组</t>
  </si>
  <si>
    <t>2018-06-29</t>
  </si>
  <si>
    <t>海国土网挂[2018]012号</t>
  </si>
  <si>
    <t>海安县青墩旅游开发有限公司</t>
  </si>
  <si>
    <t>曲塘镇刘圩村4组</t>
  </si>
  <si>
    <t>2018-06-15</t>
  </si>
  <si>
    <t>海国土网挂[2018]011号-8</t>
  </si>
  <si>
    <t>江苏曲水园城镇化建设投资有限公司</t>
  </si>
  <si>
    <t>曲塘镇曲塘村20组</t>
  </si>
  <si>
    <t>海国土网挂[2018]011号-13</t>
  </si>
  <si>
    <t>曲塘镇胡庄村17、18组</t>
  </si>
  <si>
    <t>海国土网挂[2018]011号-4</t>
  </si>
  <si>
    <t>曲塘镇刘圩村35组</t>
  </si>
  <si>
    <t>海国土网挂[2018]011号-14</t>
  </si>
  <si>
    <t>曲塘镇花庄村8组</t>
  </si>
  <si>
    <t>海国土网挂[2018]011号-1</t>
  </si>
  <si>
    <t>曲塘镇崔母村10组</t>
  </si>
  <si>
    <t>海国土网挂[2018]011号-10</t>
  </si>
  <si>
    <t>曲塘镇郭楼村1组</t>
  </si>
  <si>
    <t>海国土网挂[2018]011号-6</t>
  </si>
  <si>
    <t>曲塘镇罗町村</t>
  </si>
  <si>
    <t>海国土网挂[2018]011号-5</t>
  </si>
  <si>
    <t>曲塘镇曲塘村10组</t>
  </si>
  <si>
    <t>海国土网挂[2018]011号-11</t>
  </si>
  <si>
    <t>曲塘镇</t>
  </si>
  <si>
    <t>海国土网挂[2018]011号-12</t>
  </si>
  <si>
    <t>海国土网挂[2018]011号-2</t>
  </si>
  <si>
    <t>曲塘镇罗町村14组、15组、16组</t>
  </si>
  <si>
    <t>海国土网挂[2018]011号-15</t>
  </si>
  <si>
    <t>曲塘镇胡庄村27组</t>
  </si>
  <si>
    <t>海国土网挂[2018]011号-7</t>
  </si>
  <si>
    <t>曲塘镇胡庄村18组</t>
  </si>
  <si>
    <t>海国土网挂[2018]011号-3</t>
  </si>
  <si>
    <t>2018-04-07</t>
  </si>
  <si>
    <t>海国土网挂[2018]007号</t>
  </si>
  <si>
    <t>墩头镇新海村19组</t>
  </si>
  <si>
    <t>＞1且≤2.8</t>
  </si>
  <si>
    <t>2018-02-27</t>
  </si>
  <si>
    <t>海国土网挂[2018]003号-3</t>
  </si>
  <si>
    <t>江苏兴墩城镇化建设投资有限公司</t>
  </si>
  <si>
    <t>墩头镇新海村17组</t>
  </si>
  <si>
    <t>＞1且≤2</t>
  </si>
  <si>
    <t>海国土网挂[2018]003号-1</t>
  </si>
  <si>
    <t>墩头镇墩西村6组</t>
  </si>
  <si>
    <t>海国土网挂[2018]003号-6</t>
  </si>
  <si>
    <t>墩头镇西湖村1组</t>
  </si>
  <si>
    <t>海国土网挂[2018]003号-5</t>
  </si>
  <si>
    <t>李堡镇丁所村</t>
  </si>
  <si>
    <t>2018-02-08</t>
  </si>
  <si>
    <t>海国土网挂[2018]002号-6</t>
  </si>
  <si>
    <t>70</t>
    <phoneticPr fontId="3" type="noConversion"/>
  </si>
  <si>
    <t>70</t>
    <phoneticPr fontId="26" type="noConversion"/>
  </si>
  <si>
    <t>支路</t>
  </si>
  <si>
    <t>富力海陵府</t>
    <phoneticPr fontId="3" type="noConversion"/>
  </si>
  <si>
    <t>奥体新城</t>
    <phoneticPr fontId="3" type="noConversion"/>
  </si>
  <si>
    <t>金石翡丽郡</t>
    <phoneticPr fontId="3" type="noConversion"/>
  </si>
  <si>
    <t>住宅</t>
    <phoneticPr fontId="21" type="noConversion"/>
  </si>
  <si>
    <t>售价</t>
  </si>
  <si>
    <t>60-70（含）</t>
  </si>
  <si>
    <t>高层</t>
  </si>
  <si>
    <t>高层</t>
    <phoneticPr fontId="21" type="noConversion"/>
  </si>
  <si>
    <t>钢混</t>
    <phoneticPr fontId="21" type="noConversion"/>
  </si>
  <si>
    <t>中档</t>
  </si>
  <si>
    <t>中档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</si>
  <si>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</si>
  <si>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</si>
  <si>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</si>
  <si>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</si>
  <si>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</si>
  <si>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</si>
  <si>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</si>
  <si>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精装</t>
  </si>
  <si>
    <t>精装</t>
    <phoneticPr fontId="21" type="noConversion"/>
  </si>
  <si>
    <t>简装</t>
    <phoneticPr fontId="21" type="noConversion"/>
  </si>
  <si>
    <t>毛坯</t>
  </si>
  <si>
    <t>毛坯</t>
    <phoneticPr fontId="21" type="noConversion"/>
  </si>
  <si>
    <t>永安南路与安平路交汇处西北侧</t>
    <phoneticPr fontId="3" type="noConversion"/>
  </si>
  <si>
    <t>海安县通榆路109号</t>
    <phoneticPr fontId="3" type="noConversion"/>
  </si>
  <si>
    <t>江苏省南通市</t>
    <phoneticPr fontId="3" type="noConversion"/>
  </si>
  <si>
    <t>江苏海穗工业园区发展有限公司</t>
    <phoneticPr fontId="3" type="noConversion"/>
  </si>
  <si>
    <t>其他普通商品住房、其他商服用地</t>
    <phoneticPr fontId="6" type="noConversion"/>
  </si>
  <si>
    <t>住宅、商业</t>
    <phoneticPr fontId="3" type="noConversion"/>
  </si>
  <si>
    <t>住宅69年、商业39年</t>
    <phoneticPr fontId="6" type="noConversion"/>
  </si>
  <si>
    <t>一致</t>
  </si>
  <si>
    <t>居住项目</t>
  </si>
  <si>
    <t>场地未平整</t>
  </si>
  <si>
    <t>燃气</t>
  </si>
  <si>
    <t>项目全部</t>
  </si>
  <si>
    <t>海安市高新区祖师庙村1组320621108211GB00054W00000000号一宗住宅、商业用地</t>
    <phoneticPr fontId="6" type="noConversion"/>
  </si>
  <si>
    <t>《不动产权证书》[苏（2018）海安市不动产权第0018525号]</t>
    <phoneticPr fontId="3" type="noConversion"/>
  </si>
  <si>
    <t>《国有建设用地使用权出让合同》[电子监管号：3206212018B03254]、《不动产权证书》[苏（2018）海安市不动产权第0018525号]</t>
    <phoneticPr fontId="3" type="noConversion"/>
  </si>
  <si>
    <t>宗地内部有空置的建筑物（厂房、仓库等）</t>
    <phoneticPr fontId="6" type="noConversion"/>
  </si>
  <si>
    <t>省会市名称</t>
  </si>
  <si>
    <t>建筑型式</t>
  </si>
  <si>
    <t>多层</t>
  </si>
  <si>
    <t>小高层</t>
  </si>
  <si>
    <t>南京</t>
  </si>
  <si>
    <t>1461</t>
  </si>
  <si>
    <t>1754</t>
  </si>
  <si>
    <t>2083</t>
  </si>
  <si>
    <t>滨海新区</t>
  </si>
  <si>
    <t>＞1,≤3.3</t>
  </si>
  <si>
    <t>2018-11-29</t>
  </si>
  <si>
    <t>海国土网挂[2018]029号-3</t>
  </si>
  <si>
    <t>海安市城建开发投资集团有限公司</t>
  </si>
  <si>
    <t>海安市平桥村18组</t>
  </si>
  <si>
    <t>海国土网挂[2018]029号-10</t>
  </si>
  <si>
    <t>海国土网挂[2018]029号-8</t>
  </si>
  <si>
    <t>海安市南屏村5、21组</t>
  </si>
  <si>
    <t>海国土网挂[2018]029号-2</t>
  </si>
  <si>
    <t>海国土网挂[2018]029号-6</t>
  </si>
  <si>
    <t>海国土网挂[2018]029号-7</t>
  </si>
  <si>
    <t>海安市平桥村16、18组</t>
  </si>
  <si>
    <t>海国土网挂[2018]029号-11</t>
  </si>
  <si>
    <t>海安市平桥村15组</t>
  </si>
  <si>
    <t>海国土网挂[2018]029号-12</t>
  </si>
  <si>
    <t>海国土网挂[2018]029号-4</t>
  </si>
  <si>
    <t>海安市新华西路28号</t>
  </si>
  <si>
    <t>海国土网挂[2018]029号-1</t>
  </si>
  <si>
    <t>海国土网挂[2018]029号-5</t>
  </si>
  <si>
    <t>海国土网挂[2018]002号-5</t>
  </si>
  <si>
    <t>李堡镇李西村</t>
  </si>
  <si>
    <t>＞1且≤3.5</t>
  </si>
  <si>
    <t>海国土网挂[2018]002号-2</t>
  </si>
  <si>
    <t>李堡镇杨庄村6组</t>
  </si>
  <si>
    <t>海国土网挂[2018]002号-1</t>
  </si>
  <si>
    <t>大公镇北凌村22组</t>
  </si>
  <si>
    <t>＞1,≤2.8</t>
  </si>
  <si>
    <t>2017-12-03</t>
  </si>
  <si>
    <t>海国土网挂[2017]041号-2</t>
  </si>
  <si>
    <t>江苏大鼎城镇化建设投资有限公司</t>
  </si>
  <si>
    <t>海安县老坝港滨海新区金港大道南侧</t>
  </si>
  <si>
    <t>2017-11-10</t>
  </si>
  <si>
    <t>海国土网挂[2017]037号</t>
  </si>
  <si>
    <t>江苏老坝港沿海开发有限公司</t>
  </si>
  <si>
    <t>南莫镇邓庄村</t>
  </si>
  <si>
    <t>2017-09-30</t>
  </si>
  <si>
    <t>海国土网挂[2017]032号-1</t>
  </si>
  <si>
    <t>大公镇北凌村7组</t>
  </si>
  <si>
    <t>2017-09-08</t>
  </si>
  <si>
    <t>海国土网挂[2017]029号-1</t>
  </si>
  <si>
    <t>大公镇王院村18组</t>
  </si>
  <si>
    <t>海国土网挂[2017]029号-12</t>
  </si>
  <si>
    <t>大公镇王院村24组</t>
  </si>
  <si>
    <t>海国土网挂[2017]029号-14</t>
  </si>
  <si>
    <t>大公镇古贲村9组</t>
  </si>
  <si>
    <t>海国土网挂[2017]029号-5</t>
  </si>
  <si>
    <t>大公镇王院村20组</t>
  </si>
  <si>
    <t>海国土网挂[2017]029号-13</t>
  </si>
  <si>
    <t>大公镇古贲村5组</t>
  </si>
  <si>
    <t>海国土网挂[2017]029号-8</t>
  </si>
  <si>
    <t>滨海新区金港大道南</t>
  </si>
  <si>
    <t>2017-08-27</t>
  </si>
  <si>
    <t>海国土网挂[2017]026号-3</t>
  </si>
  <si>
    <t>海国土网挂[2017]026号-2</t>
  </si>
  <si>
    <t>海国土网挂[2017]026号-1</t>
  </si>
  <si>
    <t>商业40年,住宅70年</t>
  </si>
  <si>
    <t>海安县县城区长江中路南侧、宁海路西侧</t>
  </si>
  <si>
    <t>＞1,≤3.6</t>
  </si>
  <si>
    <t>2017-06-26</t>
  </si>
  <si>
    <t>海国土网挂[2017]016号</t>
  </si>
  <si>
    <t>海安保障性住房投资建设有限公司</t>
  </si>
  <si>
    <t>雅周镇雅周村5组、迥垛村5组、钱庄村24组</t>
  </si>
  <si>
    <t>2017-06-05</t>
  </si>
  <si>
    <t>海国土网挂[2017]012号-2</t>
  </si>
  <si>
    <t>海安新农村建设管理有限公司</t>
  </si>
  <si>
    <t>海国土网挂[2017]012号-1</t>
  </si>
  <si>
    <t>曲塘镇曲园村1、5组</t>
  </si>
  <si>
    <t>2017-05-27</t>
  </si>
  <si>
    <t>海国土网挂[2017]010号-1</t>
  </si>
  <si>
    <t>海安县曲塘镇曲塘村1、2组</t>
  </si>
  <si>
    <t>海国土网挂[2017]010号-8</t>
  </si>
  <si>
    <t>曲塘镇花庄村17组</t>
  </si>
  <si>
    <t>海国土网挂[2017]010号-5</t>
  </si>
  <si>
    <t>城东镇五坝村1、7组</t>
  </si>
  <si>
    <t>2017-02-15</t>
  </si>
  <si>
    <t>海国土网挂[2017]003号-4</t>
  </si>
  <si>
    <t>江苏海安商贸物流发展有限公司</t>
  </si>
  <si>
    <t>城东镇界墩村5、7组</t>
  </si>
  <si>
    <t>海国土网挂[2017]003号-2</t>
  </si>
  <si>
    <t>城东镇界墩村17、18、19、20组</t>
  </si>
  <si>
    <t>海国土网挂[2017]003号-1</t>
  </si>
  <si>
    <t>城东镇刘缺村6、9组、界墩村5、7组</t>
  </si>
  <si>
    <t>海国土网挂[2017]003号-3</t>
  </si>
  <si>
    <t>城东镇刘缺村3、4组</t>
  </si>
  <si>
    <t>2017-02-14</t>
  </si>
  <si>
    <t>海国土网挂[2017]002号-2</t>
  </si>
  <si>
    <t>海国土网挂[2017]002号-1</t>
  </si>
  <si>
    <t>城东镇界墩村6、7、8组</t>
  </si>
  <si>
    <t>海国土网挂[2017]002号-6</t>
  </si>
  <si>
    <t>城东镇界墩村7组</t>
  </si>
  <si>
    <t>海国土网挂[2017]002号-3</t>
  </si>
  <si>
    <t>城东镇刘缺村8组、五坝村1组</t>
  </si>
  <si>
    <t>海国土网挂[2017]002号-4</t>
  </si>
  <si>
    <t>城东镇五坝村1组</t>
  </si>
  <si>
    <t>海国土网挂[2017]002号-5</t>
  </si>
  <si>
    <t>城东镇刘缺村6组、界墩村5、7组</t>
  </si>
  <si>
    <t>2017-02-13</t>
  </si>
  <si>
    <t>海国土网挂[2017]001号-2</t>
  </si>
  <si>
    <t>城东镇刘缺村7、8组</t>
  </si>
  <si>
    <t>海国土网挂[2017]001号-1</t>
  </si>
  <si>
    <t>核定资产</t>
  </si>
  <si>
    <t>市场价格</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</si>
</sst>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u/>
      <sz val="11"/>
      <color theme="10"/>
      <name val="宋体"/>
      <family val="3"/>
      <charset val="134"/>
      <scheme val="minor"/>
    </font>
    <font>
      <u/>
      <sz val="11"/>
      <color theme="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
      <patternFill patternType="solid">
        <fgColor theme="7"/>
        <bgColor indexed="64"/>
      </patternFill>
    </fill>
    <fill>
      <patternFill patternType="solid">
        <fgColor theme="6"/>
        <bgColor indexed="64"/>
      </patternFill>
    </fill>
  </fills>
  <borders count="159">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3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0" fillId="0" borderId="0" applyNumberFormat="0" applyFill="0" applyBorder="0" applyAlignment="0" applyProtection="0">
      <alignment vertical="center"/>
    </xf>
    <xf numFmtId="0" fontId="281" fillId="0" borderId="0" applyNumberFormat="0" applyFill="0" applyBorder="0" applyAlignment="0" applyProtection="0">
      <alignment vertical="center"/>
    </xf>
  </cellStyleXfs>
  <cellXfs count="392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1" fillId="0" borderId="2" xfId="0" applyFont="1" applyBorder="1" applyAlignment="1" applyProtection="1">
      <alignment horizontal="center" vertical="center"/>
      <protection locked="0"/>
    </xf>
    <xf numFmtId="0" fontId="203" fillId="0" borderId="11" xfId="0" applyFont="1" applyBorder="1" applyAlignment="1" applyProtection="1">
      <alignment horizontal="center" vertical="center"/>
      <protection locked="0"/>
    </xf>
    <xf numFmtId="0" fontId="151" fillId="5" borderId="4" xfId="1" applyFont="1" applyFill="1" applyBorder="1" applyAlignment="1" applyProtection="1">
      <alignment vertical="center"/>
    </xf>
    <xf numFmtId="0" fontId="101" fillId="5" borderId="14" xfId="1" applyFont="1" applyFill="1" applyBorder="1" applyAlignment="1" applyProtection="1">
      <alignment horizontal="right" vertical="center"/>
    </xf>
    <xf numFmtId="0" fontId="101" fillId="5" borderId="0" xfId="1" applyFont="1" applyFill="1" applyAlignment="1" applyProtection="1">
      <alignment horizontal="center" vertical="center"/>
    </xf>
    <xf numFmtId="0" fontId="68" fillId="5" borderId="14" xfId="1" applyFont="1" applyFill="1" applyBorder="1" applyAlignment="1" applyProtection="1">
      <alignment vertical="center"/>
    </xf>
    <xf numFmtId="0" fontId="101" fillId="5" borderId="14" xfId="1" applyFont="1" applyFill="1" applyBorder="1" applyAlignment="1" applyProtection="1">
      <alignment vertical="center"/>
    </xf>
    <xf numFmtId="0" fontId="98" fillId="5" borderId="0" xfId="1" applyFont="1" applyFill="1" applyAlignment="1" applyProtection="1">
      <alignment horizontal="center" vertical="center"/>
    </xf>
    <xf numFmtId="187" fontId="101" fillId="5" borderId="14" xfId="1" applyNumberFormat="1" applyFont="1" applyFill="1" applyBorder="1" applyAlignment="1" applyProtection="1">
      <alignment horizontal="center" vertical="center"/>
    </xf>
    <xf numFmtId="181" fontId="101" fillId="5" borderId="14" xfId="1" applyNumberFormat="1" applyFont="1" applyFill="1" applyBorder="1" applyAlignment="1" applyProtection="1">
      <alignment vertical="center"/>
    </xf>
    <xf numFmtId="0" fontId="101" fillId="5" borderId="14" xfId="1" applyFont="1" applyFill="1" applyBorder="1" applyAlignment="1" applyProtection="1">
      <alignment horizontal="center" vertical="center"/>
    </xf>
    <xf numFmtId="0" fontId="101" fillId="5" borderId="0" xfId="1" applyFont="1" applyFill="1" applyBorder="1" applyAlignment="1" applyProtection="1">
      <alignment horizontal="center" vertical="center"/>
    </xf>
    <xf numFmtId="0" fontId="98" fillId="5" borderId="0" xfId="1" applyFont="1" applyFill="1" applyBorder="1" applyAlignment="1" applyProtection="1">
      <alignment horizontal="center" vertical="center"/>
    </xf>
    <xf numFmtId="0" fontId="98" fillId="0" borderId="0" xfId="1" applyFont="1" applyFill="1" applyBorder="1" applyAlignment="1" applyProtection="1">
      <alignment horizontal="center" vertical="center"/>
    </xf>
    <xf numFmtId="0" fontId="98" fillId="0" borderId="0" xfId="1" applyFont="1" applyFill="1" applyAlignment="1" applyProtection="1">
      <alignment horizontal="center" vertical="center"/>
    </xf>
    <xf numFmtId="177" fontId="97" fillId="5" borderId="2" xfId="1" applyNumberFormat="1" applyFont="1" applyFill="1" applyBorder="1" applyAlignment="1" applyProtection="1">
      <alignment horizontal="right" vertical="center"/>
    </xf>
    <xf numFmtId="0" fontId="97" fillId="5" borderId="0" xfId="1" applyFont="1" applyFill="1" applyBorder="1" applyAlignment="1" applyProtection="1">
      <alignment vertical="center"/>
      <protection locked="0"/>
    </xf>
    <xf numFmtId="0" fontId="101" fillId="5" borderId="0" xfId="1" applyFont="1" applyFill="1" applyBorder="1" applyAlignment="1" applyProtection="1">
      <alignment vertical="center"/>
      <protection locked="0"/>
    </xf>
    <xf numFmtId="0" fontId="102" fillId="5" borderId="0" xfId="1" applyFont="1" applyFill="1" applyBorder="1" applyAlignment="1" applyProtection="1">
      <alignment vertical="center"/>
      <protection locked="0"/>
    </xf>
    <xf numFmtId="187" fontId="101" fillId="5" borderId="0" xfId="1" applyNumberFormat="1" applyFont="1" applyFill="1" applyBorder="1" applyAlignment="1" applyProtection="1">
      <alignment horizontal="center" vertical="center"/>
      <protection locked="0"/>
    </xf>
    <xf numFmtId="181" fontId="101" fillId="5" borderId="0" xfId="1" applyNumberFormat="1" applyFont="1" applyFill="1" applyBorder="1" applyAlignment="1" applyProtection="1">
      <alignment vertical="center"/>
      <protection locked="0"/>
    </xf>
    <xf numFmtId="0" fontId="101" fillId="5" borderId="0" xfId="1" applyFont="1" applyFill="1" applyBorder="1" applyAlignment="1" applyProtection="1">
      <alignment horizontal="center" vertical="center"/>
      <protection locked="0"/>
    </xf>
    <xf numFmtId="184" fontId="97" fillId="5" borderId="10" xfId="1" applyNumberFormat="1" applyFont="1" applyFill="1" applyBorder="1" applyAlignment="1" applyProtection="1">
      <alignment horizontal="right" vertical="center"/>
    </xf>
    <xf numFmtId="0" fontId="98" fillId="5" borderId="0" xfId="1" applyFont="1" applyFill="1" applyAlignment="1" applyProtection="1">
      <alignment horizontal="center" vertical="center"/>
      <protection locked="0"/>
    </xf>
    <xf numFmtId="0" fontId="58" fillId="5" borderId="0" xfId="1" applyFont="1" applyFill="1" applyAlignment="1" applyProtection="1">
      <alignment horizontal="center" vertical="center"/>
      <protection locked="0"/>
    </xf>
    <xf numFmtId="0" fontId="101" fillId="5" borderId="19" xfId="1" applyFont="1" applyFill="1" applyBorder="1" applyAlignment="1" applyProtection="1">
      <alignment horizontal="center" vertical="center"/>
    </xf>
    <xf numFmtId="0" fontId="97" fillId="5" borderId="10" xfId="1" applyFont="1" applyFill="1" applyBorder="1" applyAlignment="1" applyProtection="1">
      <alignment vertical="center"/>
    </xf>
    <xf numFmtId="0" fontId="97" fillId="5" borderId="2" xfId="1" applyFont="1" applyFill="1" applyBorder="1" applyAlignment="1" applyProtection="1">
      <alignment vertical="center"/>
    </xf>
    <xf numFmtId="0" fontId="97" fillId="5" borderId="4" xfId="1" applyFont="1" applyFill="1" applyBorder="1" applyAlignment="1" applyProtection="1">
      <alignment vertical="center"/>
    </xf>
    <xf numFmtId="0" fontId="154" fillId="5" borderId="32" xfId="1" applyFont="1" applyFill="1" applyBorder="1" applyAlignment="1" applyProtection="1">
      <alignment horizontal="left" vertical="center"/>
    </xf>
    <xf numFmtId="0" fontId="83" fillId="5" borderId="26" xfId="1" applyFont="1" applyFill="1" applyBorder="1" applyAlignment="1" applyProtection="1">
      <alignment vertical="center" wrapText="1"/>
    </xf>
    <xf numFmtId="0" fontId="83" fillId="5" borderId="28" xfId="1" applyFont="1" applyFill="1" applyBorder="1" applyAlignment="1" applyProtection="1">
      <alignment vertical="center" wrapText="1"/>
    </xf>
    <xf numFmtId="187"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vertical="center" wrapText="1"/>
      <protection locked="0"/>
    </xf>
    <xf numFmtId="0" fontId="84" fillId="5" borderId="0" xfId="1" applyFont="1" applyFill="1" applyBorder="1" applyAlignment="1" applyProtection="1">
      <alignment horizontal="center" vertical="center"/>
      <protection locked="0"/>
    </xf>
    <xf numFmtId="0" fontId="84" fillId="5" borderId="3" xfId="1" applyFont="1" applyFill="1" applyBorder="1" applyAlignment="1" applyProtection="1">
      <alignment horizontal="center" vertical="center"/>
    </xf>
    <xf numFmtId="0" fontId="84" fillId="0" borderId="0" xfId="1" applyFont="1" applyFill="1" applyAlignment="1" applyProtection="1">
      <alignment horizontal="center" vertical="center"/>
    </xf>
    <xf numFmtId="0" fontId="83" fillId="5" borderId="31" xfId="1" applyFont="1" applyFill="1" applyBorder="1" applyAlignment="1" applyProtection="1">
      <alignment vertical="center" wrapText="1"/>
    </xf>
    <xf numFmtId="0" fontId="83" fillId="5" borderId="0" xfId="1" applyFont="1" applyFill="1" applyBorder="1" applyAlignment="1" applyProtection="1">
      <alignment vertical="center" wrapText="1"/>
    </xf>
    <xf numFmtId="0" fontId="75" fillId="5" borderId="59" xfId="1" applyFont="1" applyFill="1" applyBorder="1" applyAlignment="1" applyProtection="1">
      <alignment vertical="center" wrapText="1"/>
    </xf>
    <xf numFmtId="0" fontId="75" fillId="5" borderId="57" xfId="1" applyFont="1" applyFill="1" applyBorder="1" applyAlignment="1" applyProtection="1">
      <alignment horizontal="left" vertical="center" wrapText="1"/>
    </xf>
    <xf numFmtId="183" fontId="71" fillId="5" borderId="62" xfId="1" applyNumberFormat="1" applyFont="1" applyFill="1" applyBorder="1" applyAlignment="1" applyProtection="1">
      <alignment horizontal="center" vertical="center" wrapText="1"/>
    </xf>
    <xf numFmtId="0" fontId="71" fillId="5" borderId="34" xfId="1" applyNumberFormat="1" applyFont="1" applyFill="1" applyBorder="1" applyAlignment="1" applyProtection="1">
      <alignment horizontal="center" vertical="center" wrapText="1"/>
    </xf>
    <xf numFmtId="183" fontId="71" fillId="0" borderId="62" xfId="1" applyNumberFormat="1" applyFont="1" applyFill="1" applyBorder="1" applyAlignment="1" applyProtection="1">
      <alignment horizontal="center" vertical="center" wrapText="1"/>
      <protection locked="0"/>
    </xf>
    <xf numFmtId="0" fontId="71" fillId="5" borderId="49" xfId="1" applyNumberFormat="1" applyFont="1" applyFill="1" applyBorder="1" applyAlignment="1" applyProtection="1">
      <alignment horizontal="center" vertical="center" wrapText="1"/>
    </xf>
    <xf numFmtId="183" fontId="71" fillId="0" borderId="33" xfId="1" applyNumberFormat="1" applyFont="1" applyFill="1" applyBorder="1" applyAlignment="1" applyProtection="1">
      <alignment horizontal="center" vertical="center" wrapText="1"/>
      <protection locked="0"/>
    </xf>
    <xf numFmtId="0" fontId="71" fillId="5" borderId="9" xfId="1" applyNumberFormat="1" applyFont="1" applyFill="1" applyBorder="1" applyAlignment="1" applyProtection="1">
      <alignment horizontal="center" vertical="center" wrapText="1"/>
    </xf>
    <xf numFmtId="181" fontId="71"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protection locked="0"/>
    </xf>
    <xf numFmtId="186" fontId="71" fillId="5" borderId="5" xfId="1" applyNumberFormat="1" applyFont="1" applyFill="1" applyBorder="1" applyAlignment="1" applyProtection="1">
      <alignment horizontal="center" vertical="center"/>
    </xf>
    <xf numFmtId="49" fontId="71" fillId="5" borderId="9" xfId="1" applyNumberFormat="1" applyFont="1" applyFill="1" applyBorder="1" applyAlignment="1" applyProtection="1">
      <alignment horizontal="center" vertical="center"/>
    </xf>
    <xf numFmtId="0" fontId="71" fillId="5" borderId="3" xfId="1" applyFont="1" applyFill="1" applyBorder="1" applyAlignment="1" applyProtection="1">
      <alignment horizontal="center" vertical="center"/>
    </xf>
    <xf numFmtId="0" fontId="71" fillId="5" borderId="2" xfId="1" applyNumberFormat="1" applyFont="1" applyFill="1" applyBorder="1" applyAlignment="1" applyProtection="1">
      <alignment horizontal="center" vertical="center"/>
    </xf>
    <xf numFmtId="0" fontId="71" fillId="0" borderId="0" xfId="1" applyFont="1" applyFill="1" applyAlignment="1" applyProtection="1">
      <alignment horizontal="center" vertical="center"/>
    </xf>
    <xf numFmtId="0" fontId="75" fillId="5" borderId="64" xfId="1" applyFont="1" applyFill="1" applyBorder="1" applyAlignment="1" applyProtection="1">
      <alignment vertical="center" wrapText="1"/>
    </xf>
    <xf numFmtId="0" fontId="75" fillId="5" borderId="16" xfId="1" applyFont="1" applyFill="1" applyBorder="1" applyAlignment="1" applyProtection="1">
      <alignment horizontal="left" vertical="center" wrapText="1"/>
    </xf>
    <xf numFmtId="49" fontId="71" fillId="2" borderId="62" xfId="1" applyNumberFormat="1" applyFont="1" applyFill="1" applyBorder="1" applyAlignment="1" applyProtection="1">
      <alignment horizontal="center" vertical="center" wrapText="1"/>
      <protection locked="0"/>
    </xf>
    <xf numFmtId="49" fontId="71" fillId="2" borderId="33" xfId="1" applyNumberFormat="1" applyFont="1" applyFill="1" applyBorder="1" applyAlignment="1" applyProtection="1">
      <alignment horizontal="center" vertical="center" wrapText="1"/>
      <protection locked="0"/>
    </xf>
    <xf numFmtId="0" fontId="75" fillId="5" borderId="87" xfId="1" applyFont="1" applyFill="1" applyBorder="1" applyAlignment="1" applyProtection="1">
      <alignment vertical="center" wrapText="1"/>
    </xf>
    <xf numFmtId="0" fontId="75" fillId="5" borderId="63" xfId="1" applyFont="1" applyFill="1" applyBorder="1" applyAlignment="1" applyProtection="1">
      <alignment horizontal="left" vertical="center" wrapText="1"/>
    </xf>
    <xf numFmtId="0" fontId="71" fillId="2" borderId="30" xfId="1" applyNumberFormat="1" applyFont="1" applyFill="1" applyBorder="1" applyAlignment="1" applyProtection="1">
      <alignment horizontal="center" vertical="center" wrapText="1"/>
      <protection locked="0"/>
    </xf>
    <xf numFmtId="0" fontId="71" fillId="5" borderId="7" xfId="1" applyNumberFormat="1" applyFont="1" applyFill="1" applyBorder="1" applyAlignment="1" applyProtection="1">
      <alignment horizontal="center" vertical="center" wrapText="1"/>
    </xf>
    <xf numFmtId="0" fontId="71" fillId="2" borderId="59" xfId="1" applyNumberFormat="1" applyFont="1" applyFill="1" applyBorder="1" applyAlignment="1" applyProtection="1">
      <alignment horizontal="center" vertical="center" wrapText="1"/>
      <protection locked="0"/>
    </xf>
    <xf numFmtId="0" fontId="71" fillId="5" borderId="18" xfId="1" applyFont="1" applyFill="1" applyBorder="1" applyAlignment="1" applyProtection="1">
      <alignment horizontal="center" vertical="center"/>
      <protection locked="0"/>
    </xf>
    <xf numFmtId="0" fontId="71" fillId="5" borderId="2" xfId="1" applyFont="1" applyFill="1" applyBorder="1" applyAlignment="1" applyProtection="1">
      <alignment horizontal="center" vertical="center" wrapText="1"/>
    </xf>
    <xf numFmtId="0" fontId="71" fillId="5" borderId="2" xfId="1" applyFont="1" applyFill="1" applyBorder="1" applyAlignment="1" applyProtection="1">
      <alignment horizontal="center" vertical="center"/>
    </xf>
    <xf numFmtId="0" fontId="103" fillId="5" borderId="64" xfId="1" applyFont="1" applyFill="1" applyBorder="1" applyAlignment="1" applyProtection="1">
      <alignment vertical="center" wrapText="1"/>
    </xf>
    <xf numFmtId="0" fontId="71" fillId="0" borderId="20" xfId="1" applyNumberFormat="1" applyFont="1" applyFill="1" applyBorder="1" applyAlignment="1" applyProtection="1">
      <alignment horizontal="center" vertical="center" wrapText="1"/>
      <protection locked="0"/>
    </xf>
    <xf numFmtId="0" fontId="71" fillId="5" borderId="12" xfId="1" applyNumberFormat="1" applyFont="1" applyFill="1" applyBorder="1" applyAlignment="1" applyProtection="1">
      <alignment horizontal="center" vertical="center" wrapText="1"/>
    </xf>
    <xf numFmtId="49" fontId="71" fillId="0" borderId="50" xfId="1" applyNumberFormat="1" applyFont="1" applyFill="1" applyBorder="1" applyAlignment="1" applyProtection="1">
      <alignment horizontal="center" vertical="center" wrapText="1"/>
      <protection locked="0"/>
    </xf>
    <xf numFmtId="49" fontId="71" fillId="0" borderId="20" xfId="1" applyNumberFormat="1" applyFont="1" applyFill="1" applyBorder="1" applyAlignment="1" applyProtection="1">
      <alignment horizontal="center" vertical="center" wrapText="1"/>
      <protection locked="0"/>
    </xf>
    <xf numFmtId="0" fontId="92" fillId="5" borderId="9" xfId="1" applyNumberFormat="1" applyFont="1" applyFill="1" applyBorder="1" applyAlignment="1" applyProtection="1">
      <alignment horizontal="center" vertical="center" wrapText="1"/>
    </xf>
    <xf numFmtId="181" fontId="104" fillId="5" borderId="0" xfId="1" applyNumberFormat="1" applyFont="1" applyFill="1" applyBorder="1" applyAlignment="1" applyProtection="1">
      <alignment horizontal="center" vertical="center" wrapText="1"/>
      <protection locked="0"/>
    </xf>
    <xf numFmtId="0" fontId="104" fillId="5" borderId="18" xfId="1" applyFont="1" applyFill="1" applyBorder="1" applyAlignment="1" applyProtection="1">
      <alignment horizontal="center" vertical="center"/>
      <protection locked="0"/>
    </xf>
    <xf numFmtId="0" fontId="104" fillId="0" borderId="0" xfId="1" applyFont="1" applyFill="1" applyAlignment="1" applyProtection="1">
      <alignment horizontal="center" vertical="center"/>
    </xf>
    <xf numFmtId="0" fontId="83" fillId="5" borderId="64" xfId="1" applyFont="1" applyFill="1" applyBorder="1" applyAlignment="1" applyProtection="1">
      <alignment vertical="center" wrapText="1"/>
    </xf>
    <xf numFmtId="0" fontId="71" fillId="0" borderId="9" xfId="1" applyNumberFormat="1" applyFont="1" applyFill="1" applyBorder="1" applyAlignment="1" applyProtection="1">
      <alignment horizontal="center" vertical="center" wrapText="1"/>
      <protection locked="0"/>
    </xf>
    <xf numFmtId="0" fontId="71" fillId="0" borderId="11" xfId="1" applyNumberFormat="1" applyFont="1" applyFill="1" applyBorder="1" applyAlignment="1" applyProtection="1">
      <alignment horizontal="center" vertical="center" wrapText="1"/>
      <protection locked="0"/>
    </xf>
    <xf numFmtId="0" fontId="92" fillId="0" borderId="9" xfId="1" applyNumberFormat="1" applyFont="1" applyFill="1" applyBorder="1" applyAlignment="1" applyProtection="1">
      <alignment horizontal="center" vertical="center" wrapText="1"/>
      <protection locked="0"/>
    </xf>
    <xf numFmtId="181" fontId="80" fillId="5" borderId="0" xfId="1" applyNumberFormat="1" applyFont="1" applyFill="1" applyBorder="1" applyAlignment="1" applyProtection="1">
      <alignment horizontal="center" vertical="center" wrapText="1"/>
      <protection locked="0"/>
    </xf>
    <xf numFmtId="0" fontId="84" fillId="5" borderId="18" xfId="1" applyFont="1" applyFill="1" applyBorder="1" applyAlignment="1" applyProtection="1">
      <alignment horizontal="center" vertical="center"/>
      <protection locked="0"/>
    </xf>
    <xf numFmtId="0" fontId="75" fillId="5" borderId="16" xfId="1" applyFont="1" applyFill="1" applyBorder="1" applyAlignment="1" applyProtection="1">
      <alignment horizontal="left" vertical="center" wrapText="1"/>
      <protection locked="0"/>
    </xf>
    <xf numFmtId="0" fontId="52" fillId="0" borderId="20" xfId="1" applyNumberFormat="1" applyFont="1" applyFill="1" applyBorder="1" applyAlignment="1" applyProtection="1">
      <alignment horizontal="center" vertical="center" wrapText="1"/>
      <protection locked="0"/>
    </xf>
    <xf numFmtId="0" fontId="71" fillId="5" borderId="63" xfId="1" applyNumberFormat="1" applyFont="1" applyFill="1" applyBorder="1" applyAlignment="1" applyProtection="1">
      <alignment horizontal="center" vertical="center" wrapText="1"/>
    </xf>
    <xf numFmtId="49" fontId="52" fillId="0" borderId="50" xfId="1" applyNumberFormat="1" applyFont="1" applyFill="1" applyBorder="1" applyAlignment="1" applyProtection="1">
      <alignment horizontal="center" vertical="center" wrapText="1"/>
      <protection locked="0"/>
    </xf>
    <xf numFmtId="0" fontId="83" fillId="8" borderId="87" xfId="1" applyFont="1" applyFill="1" applyBorder="1" applyAlignment="1" applyProtection="1">
      <alignment vertical="center" wrapText="1"/>
    </xf>
    <xf numFmtId="0" fontId="75" fillId="8" borderId="63" xfId="1" applyFont="1" applyFill="1" applyBorder="1" applyAlignment="1" applyProtection="1">
      <alignment horizontal="left" vertical="center" wrapText="1"/>
      <protection locked="0"/>
    </xf>
    <xf numFmtId="0" fontId="84" fillId="0" borderId="8" xfId="1" applyNumberFormat="1" applyFont="1" applyFill="1" applyBorder="1" applyAlignment="1" applyProtection="1">
      <alignment horizontal="center" vertical="center" wrapText="1"/>
      <protection locked="0"/>
    </xf>
    <xf numFmtId="0" fontId="84" fillId="5" borderId="12" xfId="1" applyNumberFormat="1" applyFont="1" applyFill="1" applyBorder="1" applyAlignment="1" applyProtection="1">
      <alignment horizontal="center" vertical="center" wrapText="1"/>
    </xf>
    <xf numFmtId="0" fontId="84" fillId="0" borderId="2" xfId="1" applyNumberFormat="1" applyFont="1" applyFill="1" applyBorder="1" applyAlignment="1" applyProtection="1">
      <alignment horizontal="center" vertical="center" wrapText="1"/>
      <protection locked="0"/>
    </xf>
    <xf numFmtId="0" fontId="84" fillId="0" borderId="11" xfId="1" applyNumberFormat="1" applyFont="1" applyFill="1" applyBorder="1" applyAlignment="1" applyProtection="1">
      <alignment horizontal="center" vertical="center" wrapText="1"/>
      <protection locked="0"/>
    </xf>
    <xf numFmtId="181" fontId="105" fillId="5" borderId="0" xfId="1" applyNumberFormat="1" applyFont="1" applyFill="1" applyBorder="1" applyAlignment="1" applyProtection="1">
      <alignment horizontal="center" vertical="center" wrapText="1"/>
      <protection locked="0"/>
    </xf>
    <xf numFmtId="0" fontId="83" fillId="8" borderId="54" xfId="1" applyFont="1" applyFill="1" applyBorder="1" applyAlignment="1" applyProtection="1">
      <alignment vertical="center" wrapText="1"/>
    </xf>
    <xf numFmtId="0" fontId="75" fillId="8" borderId="66" xfId="1" applyFont="1" applyFill="1" applyBorder="1" applyAlignment="1" applyProtection="1">
      <alignment horizontal="left" vertical="center" wrapText="1"/>
      <protection locked="0"/>
    </xf>
    <xf numFmtId="0" fontId="84" fillId="0" borderId="56" xfId="1" applyNumberFormat="1" applyFont="1" applyFill="1" applyBorder="1" applyAlignment="1" applyProtection="1">
      <alignment horizontal="center" vertical="center" wrapText="1"/>
      <protection locked="0"/>
    </xf>
    <xf numFmtId="0" fontId="84" fillId="5" borderId="46" xfId="1" applyNumberFormat="1" applyFont="1" applyFill="1" applyBorder="1" applyAlignment="1" applyProtection="1">
      <alignment horizontal="center" vertical="center" wrapText="1"/>
    </xf>
    <xf numFmtId="0" fontId="252" fillId="5" borderId="24" xfId="1" applyFont="1" applyFill="1" applyBorder="1" applyAlignment="1" applyProtection="1">
      <alignment vertical="center" wrapText="1"/>
    </xf>
    <xf numFmtId="0" fontId="71" fillId="5" borderId="52" xfId="1" applyFont="1" applyFill="1" applyBorder="1" applyAlignment="1" applyProtection="1">
      <alignment horizontal="center" vertical="center" wrapText="1"/>
    </xf>
    <xf numFmtId="49" fontId="84" fillId="5" borderId="58" xfId="1" applyNumberFormat="1" applyFont="1" applyFill="1" applyBorder="1" applyAlignment="1" applyProtection="1">
      <alignment horizontal="center" vertical="center" wrapText="1"/>
    </xf>
    <xf numFmtId="0" fontId="84" fillId="5" borderId="40" xfId="1" applyNumberFormat="1" applyFont="1" applyFill="1" applyBorder="1" applyAlignment="1" applyProtection="1">
      <alignment horizontal="center" vertical="center" wrapText="1"/>
    </xf>
    <xf numFmtId="49" fontId="84" fillId="0" borderId="53" xfId="1" applyNumberFormat="1" applyFont="1" applyFill="1" applyBorder="1" applyAlignment="1" applyProtection="1">
      <alignment horizontal="center" vertical="center" wrapText="1"/>
      <protection locked="0"/>
    </xf>
    <xf numFmtId="0" fontId="84" fillId="5" borderId="41" xfId="1" applyNumberFormat="1" applyFont="1" applyFill="1" applyBorder="1" applyAlignment="1" applyProtection="1">
      <alignment horizontal="center" vertical="center" wrapText="1"/>
    </xf>
    <xf numFmtId="49" fontId="84" fillId="0" borderId="58" xfId="1" applyNumberFormat="1" applyFont="1" applyFill="1" applyBorder="1" applyAlignment="1" applyProtection="1">
      <alignment horizontal="center" vertical="center" wrapText="1"/>
      <protection locked="0"/>
    </xf>
    <xf numFmtId="0" fontId="84" fillId="5" borderId="2" xfId="1" applyFont="1" applyFill="1" applyBorder="1" applyAlignment="1" applyProtection="1">
      <alignment horizontal="center" vertical="center" wrapText="1"/>
    </xf>
    <xf numFmtId="186" fontId="84" fillId="5" borderId="5" xfId="1" applyNumberFormat="1" applyFont="1" applyFill="1" applyBorder="1" applyAlignment="1" applyProtection="1">
      <alignment horizontal="center" vertical="center"/>
    </xf>
    <xf numFmtId="49" fontId="84" fillId="5" borderId="9" xfId="1" applyNumberFormat="1" applyFont="1" applyFill="1" applyBorder="1" applyAlignment="1" applyProtection="1">
      <alignment horizontal="center" vertical="center"/>
    </xf>
    <xf numFmtId="0" fontId="84" fillId="5" borderId="2" xfId="1" applyFont="1" applyFill="1" applyBorder="1" applyAlignment="1" applyProtection="1">
      <alignment horizontal="center" vertical="center"/>
    </xf>
    <xf numFmtId="0" fontId="84" fillId="5" borderId="2" xfId="1" applyNumberFormat="1" applyFont="1" applyFill="1" applyBorder="1" applyAlignment="1" applyProtection="1">
      <alignment horizontal="center" vertical="center"/>
    </xf>
    <xf numFmtId="0" fontId="83" fillId="5" borderId="24" xfId="1" applyFont="1" applyFill="1" applyBorder="1" applyAlignment="1" applyProtection="1">
      <alignment vertical="center" wrapText="1"/>
    </xf>
    <xf numFmtId="0" fontId="84" fillId="5" borderId="65" xfId="1" applyFont="1" applyFill="1" applyBorder="1" applyAlignment="1" applyProtection="1">
      <alignment horizontal="center" vertical="center"/>
    </xf>
    <xf numFmtId="0" fontId="84" fillId="2" borderId="20" xfId="1" applyNumberFormat="1" applyFont="1" applyFill="1" applyBorder="1" applyAlignment="1" applyProtection="1">
      <alignment horizontal="center" vertical="center" wrapText="1"/>
      <protection locked="0"/>
    </xf>
    <xf numFmtId="0" fontId="84" fillId="5" borderId="17" xfId="1" applyNumberFormat="1" applyFont="1" applyFill="1" applyBorder="1" applyAlignment="1" applyProtection="1">
      <alignment horizontal="center" vertical="center" wrapText="1"/>
    </xf>
    <xf numFmtId="49" fontId="84" fillId="2" borderId="50" xfId="1" applyNumberFormat="1" applyFont="1" applyFill="1" applyBorder="1" applyAlignment="1" applyProtection="1">
      <alignment horizontal="center" vertical="center" wrapText="1"/>
      <protection locked="0"/>
    </xf>
    <xf numFmtId="0" fontId="84" fillId="5" borderId="51" xfId="1" applyNumberFormat="1" applyFont="1" applyFill="1" applyBorder="1" applyAlignment="1" applyProtection="1">
      <alignment horizontal="center" vertical="center" wrapText="1"/>
    </xf>
    <xf numFmtId="49" fontId="84" fillId="2" borderId="20" xfId="1" applyNumberFormat="1" applyFont="1" applyFill="1" applyBorder="1" applyAlignment="1" applyProtection="1">
      <alignment horizontal="center" vertical="center" wrapText="1"/>
      <protection locked="0"/>
    </xf>
    <xf numFmtId="0" fontId="84" fillId="5" borderId="52" xfId="1" applyNumberFormat="1" applyFont="1" applyFill="1" applyBorder="1" applyAlignment="1" applyProtection="1">
      <alignment horizontal="center" vertical="center" wrapText="1"/>
    </xf>
    <xf numFmtId="0" fontId="71" fillId="5" borderId="25" xfId="1" applyFont="1" applyFill="1" applyBorder="1" applyAlignment="1" applyProtection="1">
      <alignment horizontal="center" vertical="center" wrapText="1"/>
    </xf>
    <xf numFmtId="49" fontId="84" fillId="5" borderId="32" xfId="1" applyNumberFormat="1" applyFont="1" applyFill="1" applyBorder="1" applyAlignment="1" applyProtection="1">
      <alignment horizontal="center" vertical="center" wrapText="1"/>
    </xf>
    <xf numFmtId="0" fontId="84" fillId="5" borderId="13" xfId="1" applyNumberFormat="1" applyFont="1" applyFill="1" applyBorder="1" applyAlignment="1" applyProtection="1">
      <alignment horizontal="center" vertical="center" wrapText="1"/>
    </xf>
    <xf numFmtId="49" fontId="84" fillId="0" borderId="24" xfId="1" applyNumberFormat="1" applyFont="1" applyFill="1" applyBorder="1" applyAlignment="1" applyProtection="1">
      <alignment horizontal="center" vertical="center" wrapText="1"/>
      <protection locked="0"/>
    </xf>
    <xf numFmtId="49" fontId="84" fillId="0" borderId="18" xfId="1" applyNumberFormat="1" applyFont="1" applyFill="1" applyBorder="1" applyAlignment="1" applyProtection="1">
      <alignment horizontal="center" vertical="center" wrapText="1"/>
      <protection locked="0"/>
    </xf>
    <xf numFmtId="0" fontId="84" fillId="5" borderId="25" xfId="1" applyNumberFormat="1" applyFont="1" applyFill="1" applyBorder="1" applyAlignment="1" applyProtection="1">
      <alignment horizontal="center" vertical="center" wrapText="1"/>
    </xf>
    <xf numFmtId="0" fontId="71" fillId="5" borderId="51" xfId="1" applyFont="1" applyFill="1" applyBorder="1" applyAlignment="1" applyProtection="1">
      <alignment horizontal="center" vertical="center" wrapText="1"/>
    </xf>
    <xf numFmtId="0" fontId="84" fillId="2" borderId="18" xfId="1" applyNumberFormat="1" applyFont="1" applyFill="1" applyBorder="1" applyAlignment="1" applyProtection="1">
      <alignment horizontal="center" vertical="center" wrapText="1"/>
      <protection locked="0"/>
    </xf>
    <xf numFmtId="49" fontId="84" fillId="2" borderId="24" xfId="1" applyNumberFormat="1" applyFont="1" applyFill="1" applyBorder="1" applyAlignment="1" applyProtection="1">
      <alignment horizontal="center" vertical="center" wrapText="1"/>
      <protection locked="0"/>
    </xf>
    <xf numFmtId="49" fontId="84" fillId="2" borderId="18" xfId="1" applyNumberFormat="1" applyFont="1" applyFill="1" applyBorder="1" applyAlignment="1" applyProtection="1">
      <alignment horizontal="center" vertical="center" wrapText="1"/>
      <protection locked="0"/>
    </xf>
    <xf numFmtId="0" fontId="84" fillId="5" borderId="4" xfId="1" applyNumberFormat="1" applyFont="1" applyFill="1" applyBorder="1" applyAlignment="1" applyProtection="1">
      <alignment horizontal="center" vertical="center" wrapText="1"/>
    </xf>
    <xf numFmtId="49" fontId="84" fillId="0" borderId="22" xfId="1" applyNumberFormat="1" applyFont="1" applyFill="1" applyBorder="1" applyAlignment="1" applyProtection="1">
      <alignment horizontal="center" vertical="center" wrapText="1"/>
      <protection locked="0"/>
    </xf>
    <xf numFmtId="49" fontId="84" fillId="0" borderId="32" xfId="1" applyNumberFormat="1" applyFont="1" applyFill="1" applyBorder="1" applyAlignment="1" applyProtection="1">
      <alignment horizontal="center" vertical="center" wrapText="1"/>
      <protection locked="0"/>
    </xf>
    <xf numFmtId="0" fontId="84" fillId="5" borderId="32" xfId="1" applyNumberFormat="1" applyFont="1" applyFill="1" applyBorder="1" applyAlignment="1" applyProtection="1">
      <alignment horizontal="center" vertical="center" wrapText="1"/>
    </xf>
    <xf numFmtId="0" fontId="71" fillId="5" borderId="10" xfId="1" applyFont="1" applyFill="1" applyBorder="1" applyAlignment="1" applyProtection="1">
      <alignment horizontal="center" vertical="center" wrapText="1"/>
    </xf>
    <xf numFmtId="0" fontId="71" fillId="5" borderId="21" xfId="1" applyFont="1" applyFill="1" applyBorder="1" applyAlignment="1" applyProtection="1">
      <alignment horizontal="center" vertical="center" wrapText="1"/>
    </xf>
    <xf numFmtId="0" fontId="75" fillId="5" borderId="31" xfId="1" applyFont="1" applyFill="1" applyBorder="1" applyAlignment="1" applyProtection="1">
      <alignment vertical="center" wrapText="1"/>
    </xf>
    <xf numFmtId="0" fontId="52" fillId="5" borderId="52" xfId="1" applyFont="1" applyFill="1" applyBorder="1" applyAlignment="1" applyProtection="1">
      <alignment horizontal="center" vertical="center" wrapText="1"/>
    </xf>
    <xf numFmtId="0" fontId="71" fillId="2" borderId="19" xfId="1" applyNumberFormat="1" applyFont="1" applyFill="1" applyBorder="1" applyAlignment="1" applyProtection="1">
      <alignment horizontal="center" vertical="center" wrapText="1"/>
      <protection locked="0"/>
    </xf>
    <xf numFmtId="0" fontId="84" fillId="2" borderId="50" xfId="1" applyNumberFormat="1" applyFont="1" applyFill="1" applyBorder="1" applyAlignment="1" applyProtection="1">
      <alignment horizontal="center" vertical="center" wrapText="1"/>
      <protection locked="0"/>
    </xf>
    <xf numFmtId="0" fontId="84" fillId="2" borderId="8" xfId="1" applyNumberFormat="1" applyFont="1" applyFill="1" applyBorder="1" applyAlignment="1" applyProtection="1">
      <alignment horizontal="center" vertical="center" wrapText="1"/>
      <protection locked="0"/>
    </xf>
    <xf numFmtId="0" fontId="84" fillId="5" borderId="5" xfId="1" applyNumberFormat="1" applyFont="1" applyFill="1" applyBorder="1" applyAlignment="1" applyProtection="1">
      <alignment horizontal="center" vertical="center" wrapText="1"/>
    </xf>
    <xf numFmtId="0" fontId="84" fillId="2" borderId="64" xfId="1" applyNumberFormat="1" applyFont="1" applyFill="1" applyBorder="1" applyAlignment="1" applyProtection="1">
      <alignment horizontal="center" vertical="center" wrapText="1"/>
      <protection locked="0"/>
    </xf>
    <xf numFmtId="0" fontId="106" fillId="5" borderId="9" xfId="1" applyNumberFormat="1" applyFont="1" applyFill="1" applyBorder="1" applyAlignment="1" applyProtection="1">
      <alignment horizontal="center" vertical="center" wrapText="1"/>
    </xf>
    <xf numFmtId="0" fontId="71" fillId="5" borderId="12" xfId="1" applyFont="1" applyFill="1" applyBorder="1" applyAlignment="1" applyProtection="1">
      <alignment horizontal="center" vertical="center" wrapText="1"/>
    </xf>
    <xf numFmtId="0" fontId="106" fillId="0" borderId="9" xfId="1" applyNumberFormat="1" applyFont="1" applyFill="1" applyBorder="1" applyAlignment="1" applyProtection="1">
      <alignment horizontal="center" vertical="center" wrapText="1"/>
      <protection locked="0"/>
    </xf>
    <xf numFmtId="0" fontId="71" fillId="0" borderId="12" xfId="1" applyFont="1" applyFill="1" applyBorder="1" applyAlignment="1" applyProtection="1">
      <alignment horizontal="center" vertical="center" wrapText="1"/>
      <protection locked="0"/>
    </xf>
    <xf numFmtId="0" fontId="84" fillId="0" borderId="9" xfId="1" applyNumberFormat="1" applyFont="1" applyFill="1" applyBorder="1" applyAlignment="1" applyProtection="1">
      <alignment horizontal="center" vertical="center" wrapText="1"/>
      <protection locked="0"/>
    </xf>
    <xf numFmtId="0" fontId="84" fillId="5" borderId="31" xfId="1" applyFont="1" applyFill="1" applyBorder="1" applyAlignment="1" applyProtection="1">
      <alignment horizontal="center" vertical="center"/>
    </xf>
    <xf numFmtId="0" fontId="84" fillId="0" borderId="12" xfId="1" applyFont="1" applyFill="1" applyBorder="1" applyAlignment="1" applyProtection="1">
      <alignment horizontal="center" vertical="center"/>
      <protection locked="0"/>
    </xf>
    <xf numFmtId="0" fontId="100" fillId="5" borderId="54" xfId="1" applyFont="1" applyFill="1" applyBorder="1" applyAlignment="1" applyProtection="1">
      <alignment vertical="center" textRotation="255" wrapText="1"/>
    </xf>
    <xf numFmtId="0" fontId="80" fillId="0" borderId="46" xfId="1" applyFont="1" applyFill="1" applyBorder="1" applyAlignment="1" applyProtection="1">
      <alignment horizontal="center" vertical="center"/>
      <protection locked="0"/>
    </xf>
    <xf numFmtId="0" fontId="84" fillId="0" borderId="32" xfId="1" applyNumberFormat="1" applyFont="1" applyFill="1" applyBorder="1" applyAlignment="1" applyProtection="1">
      <alignment horizontal="center" vertical="center" wrapText="1"/>
      <protection locked="0"/>
    </xf>
    <xf numFmtId="0" fontId="71" fillId="5" borderId="4" xfId="1" applyNumberFormat="1" applyFont="1" applyFill="1" applyBorder="1" applyAlignment="1" applyProtection="1">
      <alignment horizontal="center" vertical="center" wrapText="1"/>
    </xf>
    <xf numFmtId="0" fontId="84" fillId="0" borderId="43" xfId="1" applyNumberFormat="1" applyFont="1" applyFill="1" applyBorder="1" applyAlignment="1" applyProtection="1">
      <alignment horizontal="center" vertical="center" wrapText="1"/>
      <protection locked="0"/>
    </xf>
    <xf numFmtId="0" fontId="84" fillId="0" borderId="47" xfId="1" applyNumberFormat="1" applyFont="1" applyFill="1" applyBorder="1" applyAlignment="1" applyProtection="1">
      <alignment horizontal="center" vertical="center" wrapText="1"/>
      <protection locked="0"/>
    </xf>
    <xf numFmtId="0" fontId="80" fillId="5" borderId="18" xfId="1" applyFont="1" applyFill="1" applyBorder="1" applyAlignment="1" applyProtection="1">
      <alignment horizontal="center" vertical="center"/>
      <protection locked="0"/>
    </xf>
    <xf numFmtId="186" fontId="80" fillId="5" borderId="5" xfId="1" applyNumberFormat="1" applyFont="1" applyFill="1" applyBorder="1" applyAlignment="1" applyProtection="1">
      <alignment horizontal="center" vertical="center"/>
    </xf>
    <xf numFmtId="49" fontId="80" fillId="5" borderId="9" xfId="1" applyNumberFormat="1" applyFont="1" applyFill="1" applyBorder="1" applyAlignment="1" applyProtection="1">
      <alignment horizontal="center" vertical="center"/>
    </xf>
    <xf numFmtId="0" fontId="80" fillId="5" borderId="3" xfId="1" applyFont="1" applyFill="1" applyBorder="1" applyAlignment="1" applyProtection="1">
      <alignment horizontal="center" vertical="center"/>
    </xf>
    <xf numFmtId="0" fontId="80" fillId="5" borderId="2" xfId="1" applyFont="1" applyFill="1" applyBorder="1" applyAlignment="1" applyProtection="1">
      <alignment horizontal="center" vertical="center"/>
    </xf>
    <xf numFmtId="0" fontId="80" fillId="0" borderId="0" xfId="1" applyFont="1" applyFill="1" applyAlignment="1" applyProtection="1">
      <alignment horizontal="center" vertical="center"/>
    </xf>
    <xf numFmtId="0" fontId="252" fillId="5" borderId="53" xfId="1" applyFont="1" applyFill="1" applyBorder="1" applyAlignment="1" applyProtection="1">
      <alignment vertical="center" wrapText="1"/>
    </xf>
    <xf numFmtId="0" fontId="71" fillId="5" borderId="17" xfId="1" applyFont="1" applyFill="1" applyBorder="1" applyAlignment="1" applyProtection="1">
      <alignment horizontal="center" vertical="center" wrapText="1"/>
    </xf>
    <xf numFmtId="0" fontId="84" fillId="0" borderId="1" xfId="1" applyNumberFormat="1" applyFont="1" applyFill="1" applyBorder="1" applyAlignment="1" applyProtection="1">
      <alignment horizontal="center" vertical="center" wrapText="1"/>
      <protection locked="0"/>
    </xf>
    <xf numFmtId="0" fontId="84" fillId="5" borderId="7" xfId="1" applyNumberFormat="1" applyFont="1" applyFill="1" applyBorder="1" applyAlignment="1" applyProtection="1">
      <alignment horizontal="center" vertical="center" wrapText="1"/>
    </xf>
    <xf numFmtId="0" fontId="84" fillId="0" borderId="6" xfId="1" applyNumberFormat="1" applyFont="1" applyFill="1" applyBorder="1" applyAlignment="1" applyProtection="1">
      <alignment horizontal="center" vertical="center" wrapText="1"/>
      <protection locked="0"/>
    </xf>
    <xf numFmtId="0" fontId="83" fillId="5" borderId="24" xfId="1" applyFont="1" applyFill="1" applyBorder="1" applyAlignment="1" applyProtection="1">
      <alignment vertical="center" textRotation="255" wrapText="1"/>
    </xf>
    <xf numFmtId="0" fontId="71" fillId="5" borderId="5" xfId="1" applyFont="1" applyFill="1" applyBorder="1" applyAlignment="1" applyProtection="1">
      <alignment horizontal="center" vertical="center" wrapText="1"/>
    </xf>
    <xf numFmtId="49" fontId="84" fillId="2" borderId="11" xfId="1" applyNumberFormat="1" applyFont="1" applyFill="1" applyBorder="1" applyAlignment="1" applyProtection="1">
      <alignment horizontal="center" vertical="center" wrapText="1"/>
      <protection locked="0"/>
    </xf>
    <xf numFmtId="0" fontId="75" fillId="5" borderId="24" xfId="1" applyFont="1" applyFill="1" applyBorder="1" applyAlignment="1" applyProtection="1">
      <alignment vertical="center" textRotation="255" wrapText="1"/>
    </xf>
    <xf numFmtId="0" fontId="52" fillId="5" borderId="5" xfId="1" applyFont="1" applyFill="1" applyBorder="1" applyAlignment="1" applyProtection="1">
      <alignment horizontal="center" vertical="center" wrapText="1"/>
    </xf>
    <xf numFmtId="9" fontId="71" fillId="2" borderId="64" xfId="1" applyNumberFormat="1" applyFont="1" applyFill="1" applyBorder="1" applyAlignment="1" applyProtection="1">
      <alignment horizontal="center" vertical="center" wrapText="1"/>
      <protection locked="0"/>
    </xf>
    <xf numFmtId="0" fontId="84" fillId="0" borderId="5" xfId="1" applyFont="1" applyFill="1" applyBorder="1" applyAlignment="1" applyProtection="1">
      <alignment horizontal="center" vertical="center"/>
      <protection locked="0"/>
    </xf>
    <xf numFmtId="0" fontId="100" fillId="5" borderId="24" xfId="1" applyFont="1" applyFill="1" applyBorder="1" applyAlignment="1" applyProtection="1">
      <alignment vertical="center" textRotation="255" wrapText="1"/>
    </xf>
    <xf numFmtId="0" fontId="80" fillId="0" borderId="60" xfId="1" applyNumberFormat="1" applyFont="1" applyFill="1" applyBorder="1" applyAlignment="1" applyProtection="1">
      <alignment horizontal="center" vertical="center" wrapText="1"/>
      <protection locked="0"/>
    </xf>
    <xf numFmtId="0" fontId="80" fillId="5" borderId="46" xfId="1" applyNumberFormat="1" applyFont="1" applyFill="1" applyBorder="1" applyAlignment="1" applyProtection="1">
      <alignment horizontal="center" vertical="center" wrapText="1"/>
    </xf>
    <xf numFmtId="0" fontId="107" fillId="5" borderId="9" xfId="1" applyNumberFormat="1" applyFont="1" applyFill="1" applyBorder="1" applyAlignment="1" applyProtection="1">
      <alignment horizontal="center" vertical="center" wrapText="1"/>
    </xf>
    <xf numFmtId="49" fontId="83" fillId="5" borderId="59" xfId="1" applyNumberFormat="1" applyFont="1" applyFill="1" applyBorder="1" applyAlignment="1" applyProtection="1">
      <alignment vertical="center"/>
    </xf>
    <xf numFmtId="49" fontId="83" fillId="2" borderId="7" xfId="1" applyNumberFormat="1" applyFont="1" applyFill="1" applyBorder="1" applyAlignment="1" applyProtection="1">
      <alignment vertical="center"/>
      <protection locked="0"/>
    </xf>
    <xf numFmtId="0" fontId="83" fillId="5" borderId="30" xfId="1" applyFont="1" applyFill="1" applyBorder="1" applyAlignment="1" applyProtection="1">
      <alignment horizontal="right" vertical="center" wrapText="1"/>
    </xf>
    <xf numFmtId="0" fontId="83" fillId="5" borderId="57" xfId="1" applyFont="1" applyFill="1" applyBorder="1" applyAlignment="1" applyProtection="1">
      <alignment vertical="center" wrapText="1"/>
    </xf>
    <xf numFmtId="0" fontId="108" fillId="3" borderId="30" xfId="1" applyFont="1" applyFill="1" applyBorder="1" applyAlignment="1" applyProtection="1">
      <alignment vertical="center" wrapText="1"/>
      <protection locked="0"/>
    </xf>
    <xf numFmtId="0" fontId="108" fillId="5" borderId="30" xfId="1" applyFont="1" applyFill="1" applyBorder="1" applyAlignment="1" applyProtection="1">
      <alignment vertical="center" wrapText="1"/>
    </xf>
    <xf numFmtId="0" fontId="108" fillId="3" borderId="59" xfId="1" applyFont="1" applyFill="1" applyBorder="1" applyAlignment="1" applyProtection="1">
      <alignment vertical="center" wrapText="1"/>
      <protection locked="0"/>
    </xf>
    <xf numFmtId="0" fontId="108" fillId="5" borderId="57" xfId="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xf>
    <xf numFmtId="181" fontId="84" fillId="5" borderId="0" xfId="1" applyNumberFormat="1" applyFont="1" applyFill="1" applyBorder="1" applyAlignment="1" applyProtection="1">
      <alignment vertical="center" wrapText="1"/>
      <protection locked="0"/>
    </xf>
    <xf numFmtId="0" fontId="84" fillId="5" borderId="0" xfId="1" applyFont="1" applyFill="1" applyAlignment="1" applyProtection="1">
      <alignment horizontal="center" vertical="center"/>
      <protection locked="0"/>
    </xf>
    <xf numFmtId="0" fontId="84" fillId="5" borderId="0" xfId="1" applyFont="1" applyFill="1" applyAlignment="1" applyProtection="1">
      <alignment horizontal="center" vertical="center"/>
    </xf>
    <xf numFmtId="0" fontId="84" fillId="5" borderId="21" xfId="1" applyFont="1" applyFill="1" applyBorder="1" applyAlignment="1" applyProtection="1">
      <alignment vertical="center" textRotation="255" wrapText="1"/>
    </xf>
    <xf numFmtId="49" fontId="83" fillId="5" borderId="60" xfId="1" applyNumberFormat="1" applyFont="1" applyFill="1" applyBorder="1" applyAlignment="1" applyProtection="1">
      <alignment vertical="center"/>
    </xf>
    <xf numFmtId="49" fontId="83" fillId="5" borderId="48" xfId="1" applyNumberFormat="1" applyFont="1" applyFill="1" applyBorder="1" applyAlignment="1" applyProtection="1">
      <alignment vertical="center"/>
    </xf>
    <xf numFmtId="184" fontId="83" fillId="5" borderId="56" xfId="1" applyNumberFormat="1" applyFont="1" applyFill="1" applyBorder="1" applyAlignment="1" applyProtection="1">
      <alignment vertical="center" wrapText="1"/>
    </xf>
    <xf numFmtId="0" fontId="83" fillId="5" borderId="48" xfId="1" applyFont="1" applyFill="1" applyBorder="1" applyAlignment="1" applyProtection="1">
      <alignment vertical="center" wrapText="1"/>
    </xf>
    <xf numFmtId="0" fontId="83" fillId="5" borderId="56" xfId="1" applyFont="1" applyFill="1" applyBorder="1" applyAlignment="1" applyProtection="1">
      <alignment vertical="center" wrapText="1"/>
    </xf>
    <xf numFmtId="184" fontId="83" fillId="5" borderId="60" xfId="1" applyNumberFormat="1" applyFont="1" applyFill="1" applyBorder="1" applyAlignment="1" applyProtection="1">
      <alignment vertical="center" wrapText="1"/>
    </xf>
    <xf numFmtId="187" fontId="84" fillId="3" borderId="9" xfId="1" applyNumberFormat="1" applyFont="1" applyFill="1" applyBorder="1" applyAlignment="1" applyProtection="1">
      <alignment horizontal="center" vertical="center" wrapText="1"/>
    </xf>
    <xf numFmtId="49" fontId="83" fillId="0" borderId="54" xfId="1" applyNumberFormat="1" applyFont="1" applyFill="1" applyBorder="1" applyAlignment="1" applyProtection="1">
      <alignment vertical="center"/>
      <protection locked="0"/>
    </xf>
    <xf numFmtId="49" fontId="83" fillId="0" borderId="66" xfId="1" applyNumberFormat="1" applyFont="1" applyFill="1" applyBorder="1" applyAlignment="1" applyProtection="1">
      <alignment vertical="center"/>
      <protection locked="0"/>
    </xf>
    <xf numFmtId="184" fontId="83" fillId="5" borderId="61" xfId="1" applyNumberFormat="1" applyFont="1" applyFill="1" applyBorder="1" applyAlignment="1" applyProtection="1">
      <alignment vertical="center" wrapText="1"/>
    </xf>
    <xf numFmtId="187" fontId="84" fillId="3" borderId="2" xfId="1" applyNumberFormat="1" applyFont="1" applyFill="1" applyBorder="1" applyAlignment="1" applyProtection="1">
      <alignment horizontal="center" vertical="center" wrapText="1"/>
    </xf>
    <xf numFmtId="9" fontId="84" fillId="5" borderId="0" xfId="1" applyNumberFormat="1" applyFont="1" applyFill="1" applyAlignment="1" applyProtection="1">
      <alignment horizontal="center" vertical="center"/>
      <protection locked="0"/>
    </xf>
    <xf numFmtId="187" fontId="84" fillId="5" borderId="0" xfId="1" applyNumberFormat="1" applyFont="1" applyFill="1" applyAlignment="1" applyProtection="1">
      <alignment horizontal="center" vertical="center"/>
      <protection locked="0"/>
    </xf>
    <xf numFmtId="181" fontId="84" fillId="5" borderId="0" xfId="1" applyNumberFormat="1" applyFont="1" applyFill="1" applyAlignment="1" applyProtection="1">
      <alignment horizontal="center" vertical="center"/>
      <protection locked="0"/>
    </xf>
    <xf numFmtId="0" fontId="83" fillId="5" borderId="2" xfId="1" applyFont="1" applyFill="1" applyBorder="1" applyAlignment="1" applyProtection="1">
      <alignment horizontal="left" vertical="center"/>
    </xf>
    <xf numFmtId="0" fontId="83" fillId="5" borderId="2" xfId="1" applyFont="1" applyFill="1" applyBorder="1" applyAlignment="1" applyProtection="1">
      <alignment horizontal="center" vertical="center" wrapText="1"/>
    </xf>
    <xf numFmtId="181" fontId="84" fillId="5" borderId="5" xfId="1" applyNumberFormat="1" applyFont="1" applyFill="1" applyBorder="1" applyAlignment="1" applyProtection="1">
      <alignment horizontal="center" vertical="center"/>
    </xf>
    <xf numFmtId="181" fontId="84" fillId="5" borderId="9" xfId="1" applyNumberFormat="1" applyFont="1" applyFill="1" applyBorder="1" applyAlignment="1" applyProtection="1">
      <alignment vertical="center"/>
    </xf>
    <xf numFmtId="0" fontId="83" fillId="5" borderId="9" xfId="1" applyFont="1" applyFill="1" applyBorder="1" applyAlignment="1" applyProtection="1">
      <alignment horizontal="center" vertical="center" wrapText="1"/>
    </xf>
    <xf numFmtId="0" fontId="105" fillId="5" borderId="0" xfId="1" applyFont="1" applyFill="1" applyAlignment="1" applyProtection="1">
      <alignment horizontal="center" vertical="center"/>
      <protection locked="0"/>
    </xf>
    <xf numFmtId="187" fontId="105" fillId="5" borderId="0" xfId="1" applyNumberFormat="1" applyFont="1" applyFill="1" applyAlignment="1" applyProtection="1">
      <alignment horizontal="center" vertical="center"/>
      <protection locked="0"/>
    </xf>
    <xf numFmtId="181" fontId="105" fillId="5" borderId="0" xfId="1" applyNumberFormat="1" applyFont="1" applyFill="1" applyAlignment="1" applyProtection="1">
      <alignment horizontal="center" vertical="center"/>
      <protection locked="0"/>
    </xf>
    <xf numFmtId="0" fontId="105" fillId="5" borderId="0" xfId="1" applyFont="1" applyFill="1" applyAlignment="1" applyProtection="1">
      <alignment horizontal="center" vertical="center"/>
    </xf>
    <xf numFmtId="0" fontId="105" fillId="0" borderId="0" xfId="1" applyFont="1" applyFill="1" applyAlignment="1" applyProtection="1">
      <alignment horizontal="center" vertical="center"/>
    </xf>
    <xf numFmtId="14" fontId="84" fillId="5" borderId="0" xfId="1" applyNumberFormat="1" applyFont="1" applyFill="1" applyAlignment="1" applyProtection="1">
      <alignment horizontal="center" vertical="center"/>
      <protection locked="0"/>
    </xf>
    <xf numFmtId="176" fontId="84" fillId="5" borderId="0" xfId="1" applyNumberFormat="1" applyFont="1" applyFill="1" applyAlignment="1" applyProtection="1">
      <alignment horizontal="center" vertical="center"/>
      <protection locked="0"/>
    </xf>
    <xf numFmtId="14" fontId="84" fillId="5" borderId="1" xfId="1" applyNumberFormat="1" applyFont="1" applyFill="1" applyBorder="1" applyAlignment="1" applyProtection="1">
      <alignment horizontal="left" vertical="center"/>
    </xf>
    <xf numFmtId="176" fontId="84" fillId="5" borderId="6" xfId="1" applyNumberFormat="1" applyFont="1" applyFill="1" applyBorder="1" applyAlignment="1" applyProtection="1">
      <alignment horizontal="center" vertical="center"/>
    </xf>
    <xf numFmtId="0" fontId="20" fillId="6" borderId="6" xfId="1" applyFont="1" applyFill="1" applyBorder="1" applyAlignment="1" applyProtection="1">
      <alignment horizontal="center" vertical="center"/>
      <protection locked="0"/>
    </xf>
    <xf numFmtId="0" fontId="144" fillId="5" borderId="28" xfId="1" applyFont="1" applyFill="1" applyBorder="1" applyAlignment="1" applyProtection="1">
      <alignment horizontal="center" vertical="center" wrapText="1"/>
      <protection locked="0"/>
    </xf>
    <xf numFmtId="0" fontId="84" fillId="5" borderId="6" xfId="1" applyFont="1" applyFill="1" applyBorder="1" applyAlignment="1" applyProtection="1">
      <alignment horizontal="center" vertical="center"/>
    </xf>
    <xf numFmtId="0" fontId="84" fillId="5" borderId="7" xfId="1" applyFont="1" applyFill="1" applyBorder="1" applyAlignment="1" applyProtection="1">
      <alignment horizontal="center" vertical="center"/>
    </xf>
    <xf numFmtId="0" fontId="159" fillId="5" borderId="2" xfId="1" applyFont="1" applyFill="1" applyBorder="1" applyAlignment="1" applyProtection="1">
      <alignment horizontal="center" vertical="center"/>
    </xf>
    <xf numFmtId="0" fontId="203" fillId="5" borderId="0" xfId="1" applyFont="1" applyFill="1" applyAlignment="1" applyProtection="1">
      <alignment horizontal="left" vertical="center"/>
      <protection locked="0"/>
    </xf>
    <xf numFmtId="0" fontId="86" fillId="5" borderId="11" xfId="1" applyFont="1" applyFill="1" applyBorder="1" applyAlignment="1" applyProtection="1"/>
    <xf numFmtId="0" fontId="86" fillId="5" borderId="2" xfId="1" applyFont="1" applyFill="1" applyBorder="1" applyAlignment="1" applyProtection="1">
      <alignment horizontal="center"/>
    </xf>
    <xf numFmtId="0" fontId="109" fillId="5" borderId="2" xfId="1" applyFont="1" applyFill="1" applyBorder="1" applyAlignment="1" applyProtection="1">
      <alignment horizontal="center" vertical="center"/>
      <protection locked="0"/>
    </xf>
    <xf numFmtId="0" fontId="152" fillId="5" borderId="2" xfId="1" applyFont="1" applyFill="1" applyBorder="1" applyAlignment="1" applyProtection="1">
      <alignment horizontal="center" vertical="center"/>
    </xf>
    <xf numFmtId="0" fontId="109" fillId="5" borderId="0" xfId="1" applyFont="1" applyFill="1" applyAlignment="1" applyProtection="1">
      <alignment horizontal="center" vertical="center"/>
      <protection locked="0"/>
    </xf>
    <xf numFmtId="0" fontId="109" fillId="0" borderId="0" xfId="1" applyFont="1" applyFill="1" applyAlignment="1" applyProtection="1">
      <alignment horizontal="center" vertical="center"/>
    </xf>
    <xf numFmtId="0" fontId="86" fillId="5" borderId="2" xfId="1" applyFont="1" applyFill="1" applyBorder="1" applyAlignment="1" applyProtection="1">
      <alignment horizontal="center" vertical="center" wrapText="1"/>
    </xf>
    <xf numFmtId="9" fontId="109" fillId="6" borderId="2" xfId="1" applyNumberFormat="1" applyFont="1" applyFill="1" applyBorder="1" applyAlignment="1" applyProtection="1">
      <alignment horizontal="center" vertical="center"/>
      <protection locked="0"/>
    </xf>
    <xf numFmtId="49" fontId="109" fillId="5" borderId="2" xfId="1" applyNumberFormat="1" applyFont="1" applyFill="1" applyBorder="1" applyAlignment="1" applyProtection="1">
      <alignment horizontal="center" vertical="center"/>
    </xf>
    <xf numFmtId="0" fontId="152" fillId="0" borderId="2" xfId="1" applyFont="1" applyFill="1" applyBorder="1" applyAlignment="1" applyProtection="1">
      <alignment horizontal="center" vertical="center"/>
      <protection locked="0"/>
    </xf>
    <xf numFmtId="0" fontId="201" fillId="5" borderId="11" xfId="1" applyFont="1" applyFill="1" applyBorder="1" applyAlignment="1" applyProtection="1">
      <alignment horizontal="center" vertical="center"/>
    </xf>
    <xf numFmtId="0" fontId="109" fillId="6" borderId="11" xfId="1" applyFont="1" applyFill="1" applyBorder="1" applyAlignment="1" applyProtection="1">
      <alignment horizontal="center" vertical="center"/>
      <protection locked="0"/>
    </xf>
    <xf numFmtId="0" fontId="109" fillId="5" borderId="2" xfId="1" applyFont="1" applyFill="1" applyBorder="1" applyAlignment="1" applyProtection="1">
      <alignment horizontal="center" vertical="center"/>
    </xf>
    <xf numFmtId="0" fontId="201" fillId="5" borderId="43" xfId="1" applyFont="1" applyFill="1" applyBorder="1" applyAlignment="1" applyProtection="1">
      <alignment horizontal="center" vertical="center"/>
    </xf>
    <xf numFmtId="49" fontId="109" fillId="5" borderId="44" xfId="1" applyNumberFormat="1" applyFont="1" applyFill="1" applyBorder="1" applyAlignment="1" applyProtection="1">
      <alignment horizontal="center" vertical="center"/>
    </xf>
    <xf numFmtId="0" fontId="86" fillId="5" borderId="44" xfId="1" applyFont="1" applyFill="1" applyBorder="1" applyAlignment="1" applyProtection="1">
      <alignment horizontal="center"/>
    </xf>
    <xf numFmtId="177" fontId="95" fillId="5" borderId="46" xfId="1" applyNumberFormat="1" applyFont="1" applyFill="1" applyBorder="1" applyAlignment="1" applyProtection="1">
      <alignment horizontal="center"/>
    </xf>
    <xf numFmtId="0" fontId="86" fillId="5" borderId="0" xfId="1" applyFont="1" applyFill="1" applyAlignment="1" applyProtection="1">
      <protection locked="0"/>
    </xf>
    <xf numFmtId="14" fontId="84" fillId="5" borderId="0" xfId="1" applyNumberFormat="1" applyFont="1" applyFill="1" applyAlignment="1" applyProtection="1">
      <alignment horizontal="center" vertical="center"/>
    </xf>
    <xf numFmtId="0" fontId="110" fillId="5" borderId="0" xfId="1" applyFont="1" applyFill="1" applyBorder="1" applyAlignment="1" applyProtection="1"/>
    <xf numFmtId="0" fontId="84" fillId="5" borderId="0" xfId="1" applyFont="1" applyFill="1" applyBorder="1" applyAlignment="1" applyProtection="1"/>
    <xf numFmtId="0" fontId="84" fillId="5" borderId="0" xfId="1" applyFont="1" applyFill="1" applyBorder="1" applyAlignment="1" applyProtection="1">
      <alignment horizontal="center"/>
    </xf>
    <xf numFmtId="187" fontId="84" fillId="5" borderId="0" xfId="1" applyNumberFormat="1" applyFont="1" applyFill="1" applyBorder="1" applyAlignment="1" applyProtection="1">
      <alignment horizontal="center"/>
    </xf>
    <xf numFmtId="181" fontId="84" fillId="5" borderId="0" xfId="1" applyNumberFormat="1" applyFont="1" applyFill="1" applyBorder="1" applyAlignment="1" applyProtection="1"/>
    <xf numFmtId="0" fontId="84" fillId="5" borderId="0" xfId="1" applyFont="1" applyFill="1" applyBorder="1" applyAlignment="1" applyProtection="1">
      <protection locked="0"/>
    </xf>
    <xf numFmtId="9" fontId="71" fillId="5" borderId="0" xfId="1" applyNumberFormat="1" applyFont="1" applyFill="1" applyBorder="1" applyAlignment="1" applyProtection="1">
      <alignment horizontal="center" vertical="center" wrapText="1"/>
      <protection locked="0"/>
    </xf>
    <xf numFmtId="0" fontId="48" fillId="5" borderId="26" xfId="1" applyNumberFormat="1" applyFont="1" applyFill="1" applyBorder="1" applyAlignment="1" applyProtection="1">
      <alignment vertical="center"/>
    </xf>
    <xf numFmtId="0" fontId="75" fillId="5" borderId="58" xfId="1" applyNumberFormat="1" applyFont="1" applyFill="1" applyBorder="1" applyAlignment="1" applyProtection="1">
      <alignment vertical="center"/>
    </xf>
    <xf numFmtId="0" fontId="71" fillId="5" borderId="42" xfId="1" applyNumberFormat="1" applyFont="1" applyFill="1" applyBorder="1" applyAlignment="1" applyProtection="1">
      <alignment horizontal="center" vertical="center" wrapText="1"/>
    </xf>
    <xf numFmtId="49" fontId="71" fillId="5" borderId="0" xfId="1" applyNumberFormat="1" applyFont="1" applyFill="1" applyBorder="1" applyAlignment="1" applyProtection="1">
      <alignment horizontal="center" vertical="center" wrapText="1"/>
      <protection locked="0"/>
    </xf>
    <xf numFmtId="49" fontId="71" fillId="5" borderId="0" xfId="1" applyNumberFormat="1" applyFont="1" applyFill="1" applyBorder="1" applyAlignment="1" applyProtection="1">
      <alignment horizontal="center" vertical="center"/>
      <protection locked="0"/>
    </xf>
    <xf numFmtId="49" fontId="71" fillId="5" borderId="0" xfId="1" applyNumberFormat="1" applyFont="1" applyFill="1" applyAlignment="1" applyProtection="1">
      <alignment horizontal="center" vertical="center"/>
      <protection locked="0"/>
    </xf>
    <xf numFmtId="49" fontId="71" fillId="0" borderId="0" xfId="1" applyNumberFormat="1" applyFont="1" applyFill="1" applyAlignment="1" applyProtection="1">
      <alignment horizontal="center" vertical="center"/>
    </xf>
    <xf numFmtId="0" fontId="75" fillId="6" borderId="2" xfId="1" applyNumberFormat="1" applyFont="1" applyFill="1" applyBorder="1" applyAlignment="1" applyProtection="1">
      <alignment horizontal="center" vertical="center" wrapText="1"/>
      <protection locked="0"/>
    </xf>
    <xf numFmtId="10" fontId="75" fillId="5" borderId="2" xfId="1" applyNumberFormat="1" applyFont="1" applyFill="1" applyBorder="1" applyAlignment="1" applyProtection="1">
      <alignment horizontal="center" vertical="center" wrapText="1"/>
    </xf>
    <xf numFmtId="0" fontId="71" fillId="5" borderId="2" xfId="1" applyNumberFormat="1" applyFont="1" applyFill="1" applyBorder="1" applyAlignment="1" applyProtection="1">
      <alignment horizontal="center" vertical="center" wrapText="1"/>
    </xf>
    <xf numFmtId="177" fontId="71" fillId="0" borderId="2" xfId="1" applyNumberFormat="1" applyFont="1" applyFill="1" applyBorder="1" applyAlignment="1" applyProtection="1">
      <alignment horizontal="center" vertical="center" wrapText="1"/>
      <protection locked="0"/>
    </xf>
    <xf numFmtId="0" fontId="71" fillId="5" borderId="0" xfId="1" applyNumberFormat="1" applyFont="1" applyFill="1" applyBorder="1" applyAlignment="1" applyProtection="1">
      <alignment horizontal="center" vertical="center" wrapText="1"/>
      <protection locked="0"/>
    </xf>
    <xf numFmtId="0" fontId="71" fillId="5" borderId="0" xfId="1" applyFont="1" applyFill="1" applyAlignment="1" applyProtection="1">
      <alignment horizontal="center" vertical="center"/>
      <protection locked="0"/>
    </xf>
    <xf numFmtId="0" fontId="75" fillId="5" borderId="23" xfId="1" applyNumberFormat="1" applyFont="1" applyFill="1" applyBorder="1" applyAlignment="1" applyProtection="1">
      <alignment vertical="center"/>
    </xf>
    <xf numFmtId="177" fontId="71" fillId="0" borderId="67" xfId="1" applyNumberFormat="1" applyFont="1" applyFill="1" applyBorder="1" applyAlignment="1" applyProtection="1">
      <alignment horizontal="center" vertical="center" wrapText="1"/>
      <protection locked="0"/>
    </xf>
    <xf numFmtId="178" fontId="71" fillId="0" borderId="55" xfId="1" applyNumberFormat="1" applyFont="1" applyFill="1" applyBorder="1" applyAlignment="1" applyProtection="1">
      <alignment horizontal="center" vertical="center" wrapText="1"/>
      <protection locked="0"/>
    </xf>
    <xf numFmtId="0" fontId="75" fillId="5" borderId="13" xfId="1" applyNumberFormat="1" applyFont="1" applyFill="1" applyBorder="1" applyAlignment="1" applyProtection="1">
      <alignment vertical="center" wrapText="1"/>
    </xf>
    <xf numFmtId="0" fontId="75" fillId="5" borderId="18" xfId="1" applyNumberFormat="1" applyFont="1" applyFill="1" applyBorder="1" applyAlignment="1" applyProtection="1">
      <alignment vertical="center" wrapText="1"/>
    </xf>
    <xf numFmtId="0" fontId="71" fillId="5" borderId="20" xfId="1" applyNumberFormat="1" applyFont="1" applyFill="1" applyBorder="1" applyAlignment="1" applyProtection="1">
      <alignment horizontal="center" vertical="center" wrapText="1"/>
    </xf>
    <xf numFmtId="0" fontId="71" fillId="0" borderId="21" xfId="1" applyNumberFormat="1" applyFont="1" applyFill="1" applyBorder="1" applyAlignment="1" applyProtection="1">
      <alignment horizontal="center" vertical="center" wrapText="1"/>
      <protection locked="0"/>
    </xf>
    <xf numFmtId="0" fontId="71" fillId="0" borderId="21" xfId="1" applyNumberFormat="1" applyFont="1" applyFill="1" applyBorder="1" applyAlignment="1" applyProtection="1">
      <alignment horizontal="left" vertical="center" wrapText="1"/>
      <protection locked="0"/>
    </xf>
    <xf numFmtId="0" fontId="71" fillId="0" borderId="51" xfId="1" applyNumberFormat="1" applyFont="1" applyFill="1" applyBorder="1" applyAlignment="1" applyProtection="1">
      <alignment horizontal="center" vertical="center" wrapText="1"/>
      <protection locked="0"/>
    </xf>
    <xf numFmtId="0" fontId="149" fillId="5" borderId="0" xfId="1" applyFont="1" applyFill="1" applyBorder="1" applyAlignment="1" applyProtection="1">
      <alignment vertical="center"/>
      <protection locked="0"/>
    </xf>
    <xf numFmtId="0" fontId="71" fillId="5" borderId="32" xfId="1" applyNumberFormat="1" applyFont="1" applyFill="1" applyBorder="1" applyAlignment="1" applyProtection="1">
      <alignment horizontal="center" vertical="center" wrapText="1"/>
    </xf>
    <xf numFmtId="0" fontId="71" fillId="0" borderId="10" xfId="1" applyNumberFormat="1" applyFont="1" applyFill="1" applyBorder="1" applyAlignment="1" applyProtection="1">
      <alignment horizontal="center" vertical="center" wrapText="1"/>
      <protection locked="0"/>
    </xf>
    <xf numFmtId="0" fontId="71" fillId="0" borderId="25" xfId="1" applyNumberFormat="1" applyFont="1" applyFill="1" applyBorder="1" applyAlignment="1" applyProtection="1">
      <alignment horizontal="center" vertical="center" wrapText="1"/>
      <protection locked="0"/>
    </xf>
    <xf numFmtId="0" fontId="83" fillId="5" borderId="53" xfId="1" applyNumberFormat="1" applyFont="1" applyFill="1" applyBorder="1" applyAlignment="1" applyProtection="1">
      <alignment vertical="center" wrapText="1"/>
    </xf>
    <xf numFmtId="0" fontId="71" fillId="5" borderId="27" xfId="1" applyNumberFormat="1" applyFont="1" applyFill="1" applyBorder="1" applyAlignment="1" applyProtection="1">
      <alignment horizontal="center" vertical="center" wrapText="1"/>
    </xf>
    <xf numFmtId="0" fontId="105" fillId="0" borderId="6" xfId="1" applyNumberFormat="1" applyFont="1" applyFill="1" applyBorder="1" applyAlignment="1" applyProtection="1">
      <alignment horizontal="center" vertical="center" wrapText="1"/>
      <protection locked="0"/>
    </xf>
    <xf numFmtId="0" fontId="105" fillId="0" borderId="6" xfId="1" applyNumberFormat="1" applyFont="1" applyFill="1" applyBorder="1" applyAlignment="1" applyProtection="1">
      <alignment horizontal="left" vertical="center" wrapText="1"/>
      <protection locked="0"/>
    </xf>
    <xf numFmtId="0" fontId="105" fillId="0" borderId="7" xfId="1" applyNumberFormat="1" applyFont="1" applyFill="1" applyBorder="1" applyAlignment="1" applyProtection="1">
      <alignment horizontal="center" vertical="center" wrapText="1"/>
      <protection locked="0"/>
    </xf>
    <xf numFmtId="0" fontId="105" fillId="5" borderId="0" xfId="1" applyNumberFormat="1" applyFont="1" applyFill="1" applyBorder="1" applyAlignment="1" applyProtection="1">
      <alignment horizontal="center" vertical="center" wrapText="1"/>
      <protection locked="0"/>
    </xf>
    <xf numFmtId="0" fontId="71" fillId="5" borderId="0" xfId="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wrapText="1"/>
    </xf>
    <xf numFmtId="0" fontId="80" fillId="5" borderId="70" xfId="1" applyNumberFormat="1" applyFont="1" applyFill="1" applyBorder="1" applyAlignment="1" applyProtection="1">
      <alignment horizontal="center" vertical="center" wrapText="1"/>
    </xf>
    <xf numFmtId="0" fontId="84" fillId="0" borderId="71" xfId="1" applyNumberFormat="1" applyFont="1" applyFill="1" applyBorder="1" applyAlignment="1" applyProtection="1">
      <alignment horizontal="center" vertical="center" wrapText="1"/>
      <protection locked="0"/>
    </xf>
    <xf numFmtId="0" fontId="84" fillId="0" borderId="72" xfId="1" applyNumberFormat="1" applyFont="1" applyFill="1" applyBorder="1" applyAlignment="1" applyProtection="1">
      <alignment horizontal="center" vertical="center" wrapText="1"/>
      <protection locked="0"/>
    </xf>
    <xf numFmtId="0" fontId="84" fillId="5" borderId="0" xfId="1" applyNumberFormat="1" applyFont="1" applyFill="1" applyBorder="1" applyAlignment="1" applyProtection="1">
      <alignment horizontal="center" vertical="center" wrapText="1"/>
      <protection locked="0"/>
    </xf>
    <xf numFmtId="0" fontId="71" fillId="5" borderId="73" xfId="1" applyNumberFormat="1" applyFont="1" applyFill="1" applyBorder="1" applyAlignment="1" applyProtection="1">
      <alignment horizontal="center" vertical="center" wrapText="1"/>
    </xf>
    <xf numFmtId="0" fontId="84"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center" vertical="center" wrapText="1"/>
    </xf>
    <xf numFmtId="0" fontId="105" fillId="5" borderId="74" xfId="1" applyNumberFormat="1" applyFont="1" applyFill="1" applyBorder="1" applyAlignment="1" applyProtection="1">
      <alignment horizontal="left" vertical="center" wrapText="1"/>
    </xf>
    <xf numFmtId="0" fontId="105" fillId="5" borderId="75" xfId="1" applyNumberFormat="1" applyFont="1" applyFill="1" applyBorder="1" applyAlignment="1" applyProtection="1">
      <alignment horizontal="center" vertical="center" wrapText="1"/>
    </xf>
    <xf numFmtId="0" fontId="71" fillId="5" borderId="70" xfId="1" applyNumberFormat="1" applyFont="1" applyFill="1" applyBorder="1" applyAlignment="1" applyProtection="1">
      <alignment horizontal="center" vertical="center" wrapText="1"/>
    </xf>
    <xf numFmtId="0" fontId="84" fillId="5" borderId="71" xfId="1" applyNumberFormat="1" applyFont="1" applyFill="1" applyBorder="1" applyAlignment="1" applyProtection="1">
      <alignment horizontal="center" vertical="center" wrapText="1"/>
    </xf>
    <xf numFmtId="0" fontId="84" fillId="5" borderId="72" xfId="1" applyNumberFormat="1" applyFont="1" applyFill="1" applyBorder="1" applyAlignment="1" applyProtection="1">
      <alignment horizontal="center" vertical="center" wrapText="1"/>
    </xf>
    <xf numFmtId="0" fontId="71" fillId="5" borderId="3" xfId="1" applyNumberFormat="1" applyFont="1" applyFill="1" applyBorder="1" applyAlignment="1" applyProtection="1">
      <alignment horizontal="center" vertical="center" wrapText="1"/>
    </xf>
    <xf numFmtId="0" fontId="84" fillId="5" borderId="21" xfId="1" applyNumberFormat="1" applyFont="1" applyFill="1" applyBorder="1" applyAlignment="1" applyProtection="1">
      <alignment horizontal="center" vertical="center" wrapText="1"/>
    </xf>
    <xf numFmtId="0" fontId="80" fillId="5" borderId="3" xfId="1" applyNumberFormat="1" applyFont="1" applyFill="1" applyBorder="1" applyAlignment="1" applyProtection="1">
      <alignment horizontal="center" vertical="center" wrapText="1"/>
    </xf>
    <xf numFmtId="0" fontId="105" fillId="0" borderId="2" xfId="1" applyNumberFormat="1" applyFont="1" applyFill="1" applyBorder="1" applyAlignment="1" applyProtection="1">
      <alignment horizontal="center" vertical="center" wrapText="1"/>
      <protection locked="0"/>
    </xf>
    <xf numFmtId="0" fontId="105" fillId="0" borderId="2" xfId="1" applyNumberFormat="1" applyFont="1" applyFill="1" applyBorder="1" applyAlignment="1" applyProtection="1">
      <alignment horizontal="left" vertical="center" wrapText="1"/>
      <protection locked="0"/>
    </xf>
    <xf numFmtId="0" fontId="105" fillId="0" borderId="12"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wrapText="1"/>
    </xf>
    <xf numFmtId="0" fontId="71" fillId="0" borderId="74" xfId="1" applyNumberFormat="1" applyFont="1" applyFill="1" applyBorder="1" applyAlignment="1" applyProtection="1">
      <alignment horizontal="center" vertical="center" wrapText="1"/>
      <protection locked="0"/>
    </xf>
    <xf numFmtId="0" fontId="52" fillId="0" borderId="74"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center" vertical="center" wrapText="1"/>
      <protection locked="0"/>
    </xf>
    <xf numFmtId="0" fontId="80" fillId="0" borderId="74" xfId="1" applyNumberFormat="1" applyFont="1" applyFill="1" applyBorder="1" applyAlignment="1" applyProtection="1">
      <alignment horizontal="left" vertical="center" wrapText="1"/>
      <protection locked="0"/>
    </xf>
    <xf numFmtId="0" fontId="80" fillId="0" borderId="75" xfId="1" applyNumberFormat="1" applyFont="1" applyFill="1" applyBorder="1" applyAlignment="1" applyProtection="1">
      <alignment horizontal="center" vertical="center" wrapText="1"/>
      <protection locked="0"/>
    </xf>
    <xf numFmtId="0" fontId="80" fillId="5" borderId="0"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wrapText="1"/>
      <protection locked="0"/>
    </xf>
    <xf numFmtId="9" fontId="80" fillId="5" borderId="0" xfId="1" applyNumberFormat="1" applyFont="1" applyFill="1" applyBorder="1" applyAlignment="1" applyProtection="1">
      <alignment horizontal="center" vertical="center" wrapText="1"/>
      <protection locked="0"/>
    </xf>
    <xf numFmtId="0" fontId="80" fillId="5" borderId="0" xfId="1" applyFont="1" applyFill="1" applyAlignment="1" applyProtection="1">
      <alignment horizontal="center" vertical="center"/>
      <protection locked="0"/>
    </xf>
    <xf numFmtId="0" fontId="71" fillId="0" borderId="7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horizontal="center" vertical="center"/>
      <protection locked="0"/>
    </xf>
    <xf numFmtId="9" fontId="80" fillId="5" borderId="0" xfId="1" applyNumberFormat="1" applyFont="1" applyFill="1" applyBorder="1" applyAlignment="1" applyProtection="1">
      <alignment horizontal="center" vertical="center"/>
      <protection locked="0"/>
    </xf>
    <xf numFmtId="0" fontId="80" fillId="0" borderId="71" xfId="1" applyNumberFormat="1" applyFont="1" applyFill="1" applyBorder="1" applyAlignment="1" applyProtection="1">
      <alignment horizontal="center" vertical="center" wrapText="1"/>
      <protection locked="0"/>
    </xf>
    <xf numFmtId="0" fontId="80" fillId="0" borderId="72"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center" vertical="center" wrapText="1"/>
      <protection locked="0"/>
    </xf>
    <xf numFmtId="0" fontId="80" fillId="0" borderId="21" xfId="1" applyNumberFormat="1" applyFont="1" applyFill="1" applyBorder="1" applyAlignment="1" applyProtection="1">
      <alignment horizontal="left" vertical="center" wrapText="1"/>
      <protection locked="0"/>
    </xf>
    <xf numFmtId="0" fontId="80" fillId="0" borderId="51" xfId="1" applyNumberFormat="1" applyFont="1" applyFill="1" applyBorder="1" applyAlignment="1" applyProtection="1">
      <alignment horizontal="center" vertical="center" wrapText="1"/>
      <protection locked="0"/>
    </xf>
    <xf numFmtId="0" fontId="80" fillId="5" borderId="0" xfId="1" applyFont="1" applyFill="1" applyBorder="1" applyAlignment="1" applyProtection="1">
      <alignment vertical="center" wrapText="1"/>
      <protection locked="0"/>
    </xf>
    <xf numFmtId="0" fontId="100" fillId="5" borderId="23" xfId="1" applyNumberFormat="1" applyFont="1" applyFill="1" applyBorder="1" applyAlignment="1" applyProtection="1">
      <alignment vertical="center" wrapText="1"/>
    </xf>
    <xf numFmtId="0" fontId="71" fillId="5" borderId="55" xfId="1" applyNumberFormat="1" applyFont="1" applyFill="1" applyBorder="1" applyAlignment="1" applyProtection="1">
      <alignment horizontal="center" vertical="center" wrapText="1"/>
    </xf>
    <xf numFmtId="0" fontId="71" fillId="0" borderId="44" xfId="1" applyNumberFormat="1" applyFont="1" applyFill="1" applyBorder="1" applyAlignment="1" applyProtection="1">
      <alignment horizontal="center" vertical="center" wrapText="1"/>
      <protection locked="0"/>
    </xf>
    <xf numFmtId="0" fontId="80" fillId="0" borderId="44" xfId="1" applyNumberFormat="1" applyFont="1" applyFill="1" applyBorder="1" applyAlignment="1" applyProtection="1">
      <alignment horizontal="center" vertical="center" wrapText="1"/>
      <protection locked="0"/>
    </xf>
    <xf numFmtId="0" fontId="80" fillId="0" borderId="46" xfId="1" applyNumberFormat="1" applyFont="1" applyFill="1" applyBorder="1" applyAlignment="1" applyProtection="1">
      <alignment horizontal="center" vertical="center" wrapText="1"/>
      <protection locked="0"/>
    </xf>
    <xf numFmtId="0" fontId="71" fillId="5" borderId="6" xfId="1" applyNumberFormat="1" applyFont="1" applyFill="1" applyBorder="1" applyAlignment="1" applyProtection="1">
      <alignment horizontal="center" vertical="center" wrapText="1"/>
    </xf>
    <xf numFmtId="0" fontId="84"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center" vertical="center" wrapText="1"/>
    </xf>
    <xf numFmtId="0" fontId="105" fillId="5" borderId="6" xfId="1" applyNumberFormat="1" applyFont="1" applyFill="1" applyBorder="1" applyAlignment="1" applyProtection="1">
      <alignment horizontal="left" vertical="center" wrapText="1"/>
    </xf>
    <xf numFmtId="0" fontId="105" fillId="5" borderId="7" xfId="1" applyNumberFormat="1" applyFont="1" applyFill="1" applyBorder="1" applyAlignment="1" applyProtection="1">
      <alignment horizontal="center" vertical="center" wrapText="1"/>
    </xf>
    <xf numFmtId="0" fontId="71" fillId="5" borderId="0" xfId="1" applyFont="1" applyFill="1" applyBorder="1" applyAlignment="1" applyProtection="1">
      <alignment vertical="center" wrapText="1"/>
      <protection locked="0"/>
    </xf>
    <xf numFmtId="0" fontId="71" fillId="5" borderId="74" xfId="1" applyNumberFormat="1" applyFont="1" applyFill="1" applyBorder="1" applyAlignment="1" applyProtection="1">
      <alignment horizontal="center" vertical="center" wrapText="1"/>
    </xf>
    <xf numFmtId="0" fontId="75" fillId="5" borderId="24" xfId="1" applyNumberFormat="1" applyFont="1" applyFill="1" applyBorder="1" applyAlignment="1" applyProtection="1">
      <alignment vertical="center" wrapText="1"/>
    </xf>
    <xf numFmtId="0" fontId="71" fillId="5" borderId="74" xfId="1" applyNumberFormat="1" applyFont="1" applyFill="1" applyBorder="1" applyAlignment="1" applyProtection="1">
      <alignment horizontal="left" vertical="center" wrapText="1"/>
    </xf>
    <xf numFmtId="0" fontId="71" fillId="5" borderId="75" xfId="1" applyNumberFormat="1" applyFont="1" applyFill="1" applyBorder="1" applyAlignment="1" applyProtection="1">
      <alignment horizontal="center" vertical="center" wrapText="1"/>
    </xf>
    <xf numFmtId="0" fontId="71" fillId="5" borderId="71" xfId="1" applyNumberFormat="1" applyFont="1" applyFill="1" applyBorder="1" applyAlignment="1" applyProtection="1">
      <alignment horizontal="center" vertical="center" wrapText="1"/>
    </xf>
    <xf numFmtId="0" fontId="52" fillId="5" borderId="73"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center" vertical="center" wrapText="1"/>
    </xf>
    <xf numFmtId="0" fontId="80" fillId="5" borderId="74" xfId="1" applyNumberFormat="1" applyFont="1" applyFill="1" applyBorder="1" applyAlignment="1" applyProtection="1">
      <alignment horizontal="left" vertical="center" wrapText="1"/>
    </xf>
    <xf numFmtId="0" fontId="80" fillId="5" borderId="75" xfId="1" applyNumberFormat="1" applyFont="1" applyFill="1" applyBorder="1" applyAlignment="1" applyProtection="1">
      <alignment horizontal="center" vertical="center" wrapText="1"/>
    </xf>
    <xf numFmtId="0" fontId="80" fillId="5" borderId="71" xfId="1" applyNumberFormat="1" applyFont="1" applyFill="1" applyBorder="1" applyAlignment="1" applyProtection="1">
      <alignment horizontal="center" vertical="center" wrapText="1"/>
    </xf>
    <xf numFmtId="0" fontId="80" fillId="5" borderId="72" xfId="1" applyNumberFormat="1" applyFont="1" applyFill="1" applyBorder="1" applyAlignment="1" applyProtection="1">
      <alignment horizontal="center" vertical="center" wrapText="1"/>
    </xf>
    <xf numFmtId="0" fontId="52" fillId="5" borderId="3" xfId="1" applyNumberFormat="1" applyFont="1" applyFill="1" applyBorder="1" applyAlignment="1" applyProtection="1">
      <alignment horizontal="center" vertical="center" wrapText="1"/>
    </xf>
    <xf numFmtId="0" fontId="58" fillId="5" borderId="3" xfId="1" applyNumberFormat="1" applyFont="1" applyFill="1" applyBorder="1" applyAlignment="1" applyProtection="1">
      <alignment horizontal="center" vertical="center" wrapText="1"/>
    </xf>
    <xf numFmtId="0" fontId="80" fillId="5" borderId="52" xfId="1" applyNumberFormat="1" applyFont="1" applyFill="1" applyBorder="1" applyAlignment="1" applyProtection="1">
      <alignment horizontal="center" vertical="center" wrapText="1"/>
    </xf>
    <xf numFmtId="0" fontId="84"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center" vertical="center" wrapText="1"/>
      <protection locked="0"/>
    </xf>
    <xf numFmtId="0" fontId="105" fillId="0" borderId="74" xfId="1" applyNumberFormat="1" applyFont="1" applyFill="1" applyBorder="1" applyAlignment="1" applyProtection="1">
      <alignment horizontal="left" vertical="center" wrapText="1"/>
      <protection locked="0"/>
    </xf>
    <xf numFmtId="0" fontId="105" fillId="0" borderId="75" xfId="1" applyNumberFormat="1" applyFont="1" applyFill="1" applyBorder="1" applyAlignment="1" applyProtection="1">
      <alignment horizontal="center" vertical="center" wrapText="1"/>
      <protection locked="0"/>
    </xf>
    <xf numFmtId="0" fontId="84"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center" vertical="center" wrapText="1"/>
      <protection locked="0"/>
    </xf>
    <xf numFmtId="0" fontId="105" fillId="0" borderId="21" xfId="1" applyNumberFormat="1" applyFont="1" applyFill="1" applyBorder="1" applyAlignment="1" applyProtection="1">
      <alignment horizontal="left" vertical="center" wrapText="1"/>
      <protection locked="0"/>
    </xf>
    <xf numFmtId="0" fontId="105" fillId="0" borderId="51" xfId="1" applyNumberFormat="1" applyFont="1" applyFill="1" applyBorder="1" applyAlignment="1" applyProtection="1">
      <alignment horizontal="center" vertical="center" wrapText="1"/>
      <protection locked="0"/>
    </xf>
    <xf numFmtId="0" fontId="84" fillId="0" borderId="44" xfId="1" applyNumberFormat="1" applyFont="1" applyFill="1" applyBorder="1" applyAlignment="1" applyProtection="1">
      <alignment horizontal="center" vertical="center" wrapText="1"/>
      <protection locked="0"/>
    </xf>
    <xf numFmtId="0" fontId="84" fillId="0" borderId="46" xfId="1" applyNumberFormat="1" applyFont="1" applyFill="1" applyBorder="1" applyAlignment="1" applyProtection="1">
      <alignment horizontal="center" vertical="center" wrapText="1"/>
      <protection locked="0"/>
    </xf>
    <xf numFmtId="0" fontId="100" fillId="5" borderId="24" xfId="1" applyNumberFormat="1" applyFont="1" applyFill="1" applyBorder="1" applyAlignment="1" applyProtection="1">
      <alignment vertical="center" textRotation="255" wrapText="1"/>
    </xf>
    <xf numFmtId="0" fontId="71" fillId="5" borderId="13" xfId="1" applyNumberFormat="1" applyFont="1" applyFill="1" applyBorder="1" applyAlignment="1" applyProtection="1">
      <alignment horizontal="center" vertical="center"/>
    </xf>
    <xf numFmtId="0" fontId="71"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center" vertical="center" wrapText="1"/>
      <protection locked="0"/>
    </xf>
    <xf numFmtId="0" fontId="80" fillId="0" borderId="2" xfId="1" applyNumberFormat="1" applyFont="1" applyFill="1" applyBorder="1" applyAlignment="1" applyProtection="1">
      <alignment horizontal="left" vertical="center" wrapText="1"/>
      <protection locked="0"/>
    </xf>
    <xf numFmtId="0" fontId="80" fillId="0" borderId="12" xfId="1" applyNumberFormat="1" applyFont="1" applyFill="1" applyBorder="1" applyAlignment="1" applyProtection="1">
      <alignment horizontal="center" vertical="center" wrapText="1"/>
      <protection locked="0"/>
    </xf>
    <xf numFmtId="0" fontId="84" fillId="0" borderId="10" xfId="1" applyNumberFormat="1" applyFont="1" applyFill="1" applyBorder="1" applyAlignment="1" applyProtection="1">
      <alignment horizontal="center" vertical="center" wrapText="1"/>
      <protection locked="0"/>
    </xf>
    <xf numFmtId="0" fontId="84" fillId="0" borderId="25" xfId="1" applyNumberFormat="1" applyFont="1" applyFill="1" applyBorder="1" applyAlignment="1" applyProtection="1">
      <alignment horizontal="center" vertical="center" wrapText="1"/>
      <protection locked="0"/>
    </xf>
    <xf numFmtId="0" fontId="149" fillId="5" borderId="6" xfId="1" applyNumberFormat="1" applyFont="1" applyFill="1" applyBorder="1" applyAlignment="1" applyProtection="1">
      <alignment horizontal="center" vertical="center" wrapText="1"/>
    </xf>
    <xf numFmtId="0" fontId="149" fillId="5" borderId="6" xfId="1" applyNumberFormat="1" applyFont="1" applyFill="1" applyBorder="1" applyAlignment="1" applyProtection="1">
      <alignment horizontal="left" vertical="center" wrapText="1"/>
    </xf>
    <xf numFmtId="0" fontId="149" fillId="5" borderId="7" xfId="1" applyNumberFormat="1" applyFont="1" applyFill="1" applyBorder="1" applyAlignment="1" applyProtection="1">
      <alignment horizontal="center" vertical="center" wrapText="1"/>
    </xf>
    <xf numFmtId="0" fontId="149" fillId="0" borderId="2" xfId="1" applyNumberFormat="1" applyFont="1" applyFill="1" applyBorder="1" applyAlignment="1" applyProtection="1">
      <alignment horizontal="center" vertical="center" wrapText="1"/>
      <protection locked="0"/>
    </xf>
    <xf numFmtId="0" fontId="149" fillId="0" borderId="2" xfId="1" applyNumberFormat="1" applyFont="1" applyFill="1" applyBorder="1" applyAlignment="1" applyProtection="1">
      <alignment horizontal="left" vertical="center" wrapText="1"/>
      <protection locked="0"/>
    </xf>
    <xf numFmtId="0" fontId="149" fillId="0" borderId="12" xfId="1" applyNumberFormat="1" applyFont="1" applyFill="1" applyBorder="1" applyAlignment="1" applyProtection="1">
      <alignment horizontal="center" vertical="center" wrapText="1"/>
      <protection locked="0"/>
    </xf>
    <xf numFmtId="0" fontId="83" fillId="5" borderId="24" xfId="1" applyNumberFormat="1" applyFont="1" applyFill="1" applyBorder="1" applyAlignment="1" applyProtection="1">
      <alignment vertical="center" textRotation="255" wrapText="1"/>
    </xf>
    <xf numFmtId="0" fontId="144" fillId="0" borderId="74" xfId="1" applyNumberFormat="1" applyFont="1" applyFill="1" applyBorder="1" applyAlignment="1" applyProtection="1">
      <alignment horizontal="center" vertical="center" wrapText="1"/>
      <protection locked="0"/>
    </xf>
    <xf numFmtId="0" fontId="80" fillId="5" borderId="55" xfId="1" applyNumberFormat="1" applyFont="1" applyFill="1" applyBorder="1" applyAlignment="1" applyProtection="1">
      <alignment horizontal="center" vertical="center" wrapText="1"/>
    </xf>
    <xf numFmtId="0" fontId="84" fillId="8" borderId="0" xfId="1" applyFont="1" applyFill="1" applyAlignment="1" applyProtection="1">
      <alignment horizontal="center" vertical="center"/>
      <protection locked="0"/>
    </xf>
    <xf numFmtId="187" fontId="84" fillId="8" borderId="0" xfId="1" applyNumberFormat="1" applyFont="1" applyFill="1" applyAlignment="1" applyProtection="1">
      <alignment horizontal="center" vertical="center"/>
      <protection locked="0"/>
    </xf>
    <xf numFmtId="181" fontId="84" fillId="8" borderId="0" xfId="1" applyNumberFormat="1" applyFont="1" applyFill="1" applyAlignment="1" applyProtection="1">
      <alignment horizontal="center" vertical="center"/>
      <protection locked="0"/>
    </xf>
    <xf numFmtId="0" fontId="84" fillId="8" borderId="0" xfId="1" applyFont="1" applyFill="1" applyAlignment="1" applyProtection="1">
      <alignment horizontal="center" vertical="center"/>
    </xf>
    <xf numFmtId="187" fontId="84" fillId="8" borderId="0" xfId="1" applyNumberFormat="1" applyFont="1" applyFill="1" applyAlignment="1" applyProtection="1">
      <alignment horizontal="center" vertical="center"/>
    </xf>
    <xf numFmtId="181" fontId="84" fillId="8" borderId="0" xfId="1" applyNumberFormat="1" applyFont="1" applyFill="1" applyAlignment="1" applyProtection="1">
      <alignment horizontal="center" vertical="center"/>
    </xf>
    <xf numFmtId="187" fontId="84" fillId="0" borderId="0" xfId="1" applyNumberFormat="1" applyFont="1" applyFill="1" applyAlignment="1" applyProtection="1">
      <alignment horizontal="center" vertical="center"/>
    </xf>
    <xf numFmtId="181" fontId="84" fillId="0" borderId="0" xfId="1" applyNumberFormat="1" applyFont="1" applyFill="1" applyAlignment="1" applyProtection="1">
      <alignment horizontal="center" vertical="center"/>
    </xf>
    <xf numFmtId="0" fontId="86" fillId="0" borderId="0" xfId="15"/>
    <xf numFmtId="0" fontId="86" fillId="6" borderId="0" xfId="15" applyFill="1"/>
    <xf numFmtId="0" fontId="277" fillId="0" borderId="0" xfId="1" applyFont="1" applyAlignment="1">
      <alignment horizontal="center" vertical="center"/>
    </xf>
    <xf numFmtId="0" fontId="145" fillId="0" borderId="0" xfId="1">
      <alignment vertical="center"/>
    </xf>
    <xf numFmtId="0" fontId="278" fillId="17" borderId="153" xfId="1" applyFont="1" applyFill="1" applyBorder="1" applyAlignment="1">
      <alignment horizontal="center"/>
    </xf>
    <xf numFmtId="0" fontId="278" fillId="17" borderId="154" xfId="1" applyFont="1" applyFill="1" applyBorder="1" applyAlignment="1">
      <alignment horizontal="center"/>
    </xf>
    <xf numFmtId="0" fontId="145" fillId="0" borderId="0" xfId="1" applyFont="1" applyAlignment="1">
      <alignment horizontal="left" vertical="center" wrapText="1"/>
    </xf>
    <xf numFmtId="0" fontId="145" fillId="0" borderId="155" xfId="1" applyFont="1" applyBorder="1" applyAlignment="1">
      <alignment horizontal="right" vertical="center" wrapText="1"/>
    </xf>
    <xf numFmtId="0" fontId="145" fillId="0" borderId="155" xfId="1" applyBorder="1" applyAlignment="1">
      <alignment horizontal="right" vertical="center" wrapText="1"/>
    </xf>
    <xf numFmtId="0" fontId="145" fillId="18" borderId="0" xfId="1" applyFont="1" applyFill="1" applyAlignment="1">
      <alignment horizontal="left" vertical="center" wrapText="1"/>
    </xf>
    <xf numFmtId="0" fontId="145" fillId="18" borderId="155" xfId="1" applyFont="1" applyFill="1" applyBorder="1" applyAlignment="1">
      <alignment horizontal="right" vertical="center" wrapText="1"/>
    </xf>
    <xf numFmtId="0" fontId="145" fillId="18" borderId="155" xfId="1" applyFill="1" applyBorder="1" applyAlignment="1">
      <alignment horizontal="right" vertical="center" wrapText="1"/>
    </xf>
    <xf numFmtId="0" fontId="279" fillId="13" borderId="0" xfId="1" applyFont="1" applyFill="1" applyAlignment="1">
      <alignment horizontal="left" vertical="center" wrapText="1"/>
    </xf>
    <xf numFmtId="0" fontId="279" fillId="13" borderId="155" xfId="1" applyFont="1" applyFill="1" applyBorder="1" applyAlignment="1">
      <alignment horizontal="right" vertical="center" wrapText="1"/>
    </xf>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5" fillId="6" borderId="7" xfId="0" applyNumberFormat="1" applyFont="1" applyFill="1" applyBorder="1" applyAlignment="1" applyProtection="1">
      <alignment horizontal="center" vertical="center" wrapText="1"/>
    </xf>
    <xf numFmtId="0" fontId="86" fillId="19" borderId="0" xfId="15" applyFill="1"/>
    <xf numFmtId="0" fontId="86" fillId="20" borderId="0" xfId="15" applyFill="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34" fillId="0" borderId="156" xfId="0"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0" fontId="82" fillId="0" borderId="157" xfId="0" applyFont="1" applyFill="1" applyBorder="1" applyAlignment="1" applyProtection="1">
      <alignment vertical="top" wrapText="1"/>
      <protection locked="0"/>
    </xf>
    <xf numFmtId="10" fontId="71" fillId="7" borderId="52" xfId="0"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0" fontId="187" fillId="8" borderId="5" xfId="0" applyNumberFormat="1" applyFont="1" applyFill="1" applyBorder="1" applyAlignment="1" applyProtection="1">
      <alignment horizontal="left" vertical="center"/>
      <protection locked="0"/>
    </xf>
    <xf numFmtId="0" fontId="187" fillId="8" borderId="8" xfId="0" applyNumberFormat="1" applyFont="1" applyFill="1" applyBorder="1" applyAlignment="1" applyProtection="1">
      <alignment horizontal="left" vertical="center"/>
      <protection locked="0"/>
    </xf>
    <xf numFmtId="0"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7"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4" fillId="5" borderId="1" xfId="1" applyFont="1" applyFill="1" applyBorder="1" applyAlignment="1" applyProtection="1">
      <alignment horizontal="center" vertical="center" wrapText="1"/>
    </xf>
    <xf numFmtId="0" fontId="144" fillId="5" borderId="6" xfId="1" applyFont="1" applyFill="1" applyBorder="1" applyAlignment="1" applyProtection="1">
      <alignment horizontal="center" vertical="center" wrapText="1"/>
    </xf>
    <xf numFmtId="0" fontId="144" fillId="5" borderId="11" xfId="1" applyFont="1" applyFill="1" applyBorder="1" applyAlignment="1" applyProtection="1">
      <alignment horizontal="center" vertical="center" wrapText="1"/>
    </xf>
    <xf numFmtId="0" fontId="144" fillId="5" borderId="2" xfId="1" applyFont="1" applyFill="1" applyBorder="1" applyAlignment="1" applyProtection="1">
      <alignment horizontal="center" vertical="center" wrapText="1"/>
    </xf>
    <xf numFmtId="0" fontId="201" fillId="5" borderId="11" xfId="1" applyFont="1" applyFill="1" applyBorder="1" applyAlignment="1" applyProtection="1">
      <alignment horizontal="center" vertical="center"/>
    </xf>
    <xf numFmtId="0" fontId="84" fillId="5" borderId="2" xfId="1" applyFont="1" applyFill="1" applyBorder="1" applyAlignment="1" applyProtection="1">
      <alignment horizontal="center" vertical="center" wrapText="1"/>
    </xf>
    <xf numFmtId="184" fontId="84"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wrapText="1"/>
    </xf>
    <xf numFmtId="0" fontId="84" fillId="5" borderId="3" xfId="1" applyFont="1" applyFill="1" applyBorder="1" applyAlignment="1" applyProtection="1">
      <alignment horizontal="center" vertical="center" wrapText="1"/>
    </xf>
    <xf numFmtId="0" fontId="84" fillId="5" borderId="5" xfId="1" applyFont="1" applyFill="1" applyBorder="1" applyAlignment="1" applyProtection="1">
      <alignment horizontal="center" vertical="center" wrapText="1"/>
    </xf>
    <xf numFmtId="0" fontId="84" fillId="5" borderId="9" xfId="1" applyFont="1" applyFill="1" applyBorder="1" applyAlignment="1" applyProtection="1">
      <alignment horizontal="center" vertical="center" wrapText="1"/>
    </xf>
    <xf numFmtId="184" fontId="83" fillId="5" borderId="2" xfId="1" applyNumberFormat="1" applyFont="1" applyFill="1" applyBorder="1" applyAlignment="1" applyProtection="1">
      <alignment horizontal="center" vertical="center"/>
    </xf>
    <xf numFmtId="0" fontId="84" fillId="5" borderId="10" xfId="1" applyFont="1" applyFill="1" applyBorder="1" applyAlignment="1" applyProtection="1">
      <alignment horizontal="center" vertical="center" textRotation="255" wrapText="1"/>
    </xf>
    <xf numFmtId="0" fontId="84" fillId="5" borderId="3" xfId="1" applyFont="1" applyFill="1" applyBorder="1" applyAlignment="1" applyProtection="1">
      <alignment horizontal="center" vertical="center" textRotation="255" wrapText="1"/>
    </xf>
    <xf numFmtId="0" fontId="84" fillId="5" borderId="2" xfId="1" applyFont="1" applyFill="1" applyBorder="1" applyAlignment="1" applyProtection="1">
      <alignment horizontal="center" vertical="center"/>
    </xf>
    <xf numFmtId="0" fontId="71" fillId="5" borderId="5" xfId="1" applyFont="1" applyFill="1" applyBorder="1" applyAlignment="1" applyProtection="1">
      <alignment horizontal="center" vertical="center"/>
    </xf>
    <xf numFmtId="0" fontId="71" fillId="5" borderId="9" xfId="1" applyFont="1" applyFill="1" applyBorder="1" applyAlignment="1" applyProtection="1">
      <alignment horizontal="center" vertical="center"/>
    </xf>
    <xf numFmtId="0" fontId="71" fillId="5" borderId="2"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xf>
    <xf numFmtId="0" fontId="84" fillId="5" borderId="32" xfId="1" applyFont="1" applyFill="1" applyBorder="1" applyAlignment="1" applyProtection="1">
      <alignment horizontal="center" vertical="center"/>
    </xf>
    <xf numFmtId="0" fontId="84" fillId="5" borderId="13" xfId="1" applyFont="1" applyFill="1" applyBorder="1" applyAlignment="1" applyProtection="1">
      <alignment horizontal="center" vertical="center"/>
    </xf>
    <xf numFmtId="0" fontId="84" fillId="5" borderId="18" xfId="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84" fillId="5" borderId="20"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4" fillId="5" borderId="3" xfId="1" applyFont="1" applyFill="1" applyBorder="1" applyAlignment="1" applyProtection="1">
      <alignment horizontal="center" vertical="center"/>
    </xf>
    <xf numFmtId="0" fontId="84" fillId="5" borderId="21" xfId="1" applyFont="1" applyFill="1" applyBorder="1" applyAlignment="1" applyProtection="1">
      <alignment horizontal="center" vertical="center"/>
    </xf>
    <xf numFmtId="0" fontId="71" fillId="5" borderId="8" xfId="1" applyFont="1" applyFill="1" applyBorder="1" applyAlignment="1" applyProtection="1">
      <alignment horizontal="center" vertical="center"/>
    </xf>
    <xf numFmtId="0" fontId="84" fillId="5" borderId="1" xfId="1" applyFont="1" applyFill="1" applyBorder="1" applyAlignment="1" applyProtection="1">
      <alignment horizontal="center" vertical="center" wrapText="1"/>
    </xf>
    <xf numFmtId="0" fontId="84" fillId="5" borderId="7" xfId="1" applyFont="1" applyFill="1" applyBorder="1" applyAlignment="1" applyProtection="1">
      <alignment horizontal="center" vertical="center" wrapText="1"/>
    </xf>
    <xf numFmtId="0" fontId="84" fillId="5" borderId="4" xfId="1" applyFont="1" applyFill="1" applyBorder="1" applyAlignment="1" applyProtection="1">
      <alignment horizontal="center" vertical="center" wrapText="1"/>
    </xf>
    <xf numFmtId="0" fontId="84" fillId="5" borderId="32" xfId="1" applyFont="1" applyFill="1" applyBorder="1" applyAlignment="1" applyProtection="1">
      <alignment horizontal="center" vertical="center" wrapText="1"/>
    </xf>
    <xf numFmtId="0" fontId="84" fillId="5" borderId="13" xfId="1" applyFont="1" applyFill="1" applyBorder="1" applyAlignment="1" applyProtection="1">
      <alignment horizontal="center" vertical="center" wrapText="1"/>
    </xf>
    <xf numFmtId="0" fontId="84" fillId="5" borderId="18" xfId="1" applyFont="1" applyFill="1" applyBorder="1" applyAlignment="1" applyProtection="1">
      <alignment horizontal="center" vertical="center" wrapText="1"/>
    </xf>
    <xf numFmtId="0" fontId="84" fillId="5" borderId="17" xfId="1" applyFont="1" applyFill="1" applyBorder="1" applyAlignment="1" applyProtection="1">
      <alignment horizontal="center" vertical="center" wrapText="1"/>
    </xf>
    <xf numFmtId="0" fontId="84" fillId="5" borderId="20" xfId="1" applyFont="1" applyFill="1" applyBorder="1" applyAlignment="1" applyProtection="1">
      <alignment horizontal="center" vertical="center" wrapText="1"/>
    </xf>
    <xf numFmtId="0" fontId="267" fillId="0" borderId="11" xfId="1" applyFont="1" applyFill="1" applyBorder="1" applyAlignment="1" applyProtection="1">
      <alignment horizontal="center" vertical="center" wrapText="1"/>
      <protection locked="0"/>
    </xf>
    <xf numFmtId="0" fontId="267" fillId="0" borderId="12" xfId="1" applyFont="1" applyFill="1" applyBorder="1" applyAlignment="1" applyProtection="1">
      <alignment horizontal="center" vertical="center" wrapText="1"/>
      <protection locked="0"/>
    </xf>
    <xf numFmtId="0" fontId="267" fillId="0" borderId="43" xfId="1" applyFont="1" applyFill="1" applyBorder="1" applyAlignment="1" applyProtection="1">
      <alignment horizontal="center" vertical="center" wrapText="1"/>
      <protection locked="0"/>
    </xf>
    <xf numFmtId="0" fontId="267" fillId="0" borderId="46" xfId="1" applyFont="1" applyFill="1" applyBorder="1" applyAlignment="1" applyProtection="1">
      <alignment horizontal="center" vertical="center" wrapText="1"/>
      <protection locked="0"/>
    </xf>
    <xf numFmtId="0" fontId="267" fillId="0" borderId="22" xfId="1" applyFont="1" applyFill="1" applyBorder="1" applyAlignment="1" applyProtection="1">
      <alignment horizontal="center" vertical="center" wrapText="1"/>
      <protection locked="0"/>
    </xf>
    <xf numFmtId="0" fontId="267" fillId="0" borderId="25" xfId="1"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38">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超链接" xfId="18"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超链接" xfId="30" builtinId="8" hidden="1"/>
    <cellStyle name="超链接" xfId="32" builtinId="8" hidden="1"/>
    <cellStyle name="超链接" xfId="34" builtinId="8" hidden="1"/>
    <cellStyle name="超链接" xfId="36" builtinId="8" hidden="1"/>
    <cellStyle name="已访问的超链接" xfId="17" builtinId="9" hidden="1"/>
    <cellStyle name="已访问的超链接" xfId="19"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 name="已访问的超链接" xfId="31" builtinId="9" hidden="1"/>
    <cellStyle name="已访问的超链接" xfId="33" builtinId="9" hidden="1"/>
    <cellStyle name="已访问的超链接" xfId="35" builtinId="9" hidden="1"/>
    <cellStyle name="已访问的超链接" xfId="37" builtinId="9" hidden="1"/>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8</xdr:col>
      <xdr:colOff>466725</xdr:colOff>
      <xdr:row>62</xdr:row>
      <xdr:rowOff>95250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3657600"/>
          <a:ext cx="8877300" cy="6572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38</xdr:row>
      <xdr:rowOff>129697</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58400" cy="664479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303;&#22320;&#65288;01-02-13&#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8023;&#23433;&#36890;&#23398;&#26725;&#26449;&#183;0213&#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ow r="41">
          <cell r="F41" t="str">
            <v>贵州省贵阳市</v>
          </cell>
        </row>
      </sheetData>
      <sheetData sheetId="10"/>
      <sheetData sheetId="11"/>
      <sheetData sheetId="12">
        <row r="3">
          <cell r="D3">
            <v>40729.97</v>
          </cell>
          <cell r="E3">
            <v>126262.9</v>
          </cell>
        </row>
        <row r="8">
          <cell r="E8">
            <v>126262.9</v>
          </cell>
        </row>
        <row r="9">
          <cell r="E9">
            <v>0</v>
          </cell>
        </row>
        <row r="11">
          <cell r="E11">
            <v>0</v>
          </cell>
        </row>
        <row r="12">
          <cell r="E12">
            <v>0</v>
          </cell>
        </row>
        <row r="13">
          <cell r="E13">
            <v>0</v>
          </cell>
        </row>
        <row r="14">
          <cell r="E14">
            <v>0</v>
          </cell>
        </row>
        <row r="15">
          <cell r="E15">
            <v>0</v>
          </cell>
        </row>
        <row r="17">
          <cell r="C17" t="str">
            <v>项目类型</v>
          </cell>
        </row>
        <row r="19">
          <cell r="C19" t="str">
            <v>办公</v>
          </cell>
        </row>
      </sheetData>
      <sheetData sheetId="13">
        <row r="2">
          <cell r="B2">
            <v>43210</v>
          </cell>
        </row>
        <row r="16">
          <cell r="G16">
            <v>0.97799999999999998</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5"/>
      <sheetData sheetId="16"/>
      <sheetData sheetId="17"/>
      <sheetData sheetId="18">
        <row r="7">
          <cell r="E7" t="str">
            <v>白云区艳山红镇原氧化铝厂片区</v>
          </cell>
        </row>
        <row r="21">
          <cell r="K21">
            <v>3</v>
          </cell>
        </row>
        <row r="27">
          <cell r="K27">
            <v>3</v>
          </cell>
        </row>
        <row r="31">
          <cell r="K31">
            <v>2</v>
          </cell>
        </row>
        <row r="34">
          <cell r="K34">
            <v>2</v>
          </cell>
        </row>
        <row r="41">
          <cell r="K41">
            <v>2</v>
          </cell>
        </row>
        <row r="75">
          <cell r="A75" t="str">
            <v>交易情况</v>
          </cell>
          <cell r="C75" t="str">
            <v>正常</v>
          </cell>
        </row>
        <row r="77">
          <cell r="B77" t="str">
            <v>用途</v>
          </cell>
          <cell r="C77" t="str">
            <v>商业、商务</v>
          </cell>
          <cell r="D77" t="str">
            <v>其他商服用地</v>
          </cell>
        </row>
        <row r="108">
          <cell r="B108" t="str">
            <v>毗邻道路的类型与等级</v>
          </cell>
          <cell r="C108" t="str">
            <v>快速路</v>
          </cell>
          <cell r="D108" t="str">
            <v>主干道</v>
          </cell>
          <cell r="E108" t="str">
            <v>次干道</v>
          </cell>
          <cell r="F108" t="str">
            <v>支路</v>
          </cell>
        </row>
        <row r="110">
          <cell r="B110" t="str">
            <v>土地级别</v>
          </cell>
        </row>
        <row r="121">
          <cell r="B121" t="str">
            <v>宗地形状</v>
          </cell>
          <cell r="C121" t="str">
            <v>较规则</v>
          </cell>
        </row>
        <row r="123">
          <cell r="B123" t="str">
            <v>临街宽度及深度</v>
          </cell>
        </row>
        <row r="125">
          <cell r="B125" t="str">
            <v>宗地开发程度</v>
          </cell>
          <cell r="C125" t="str">
            <v>五通一平</v>
          </cell>
        </row>
        <row r="127">
          <cell r="B127" t="str">
            <v>工程地质条件</v>
          </cell>
          <cell r="C127" t="str">
            <v>较好</v>
          </cell>
        </row>
      </sheetData>
      <sheetData sheetId="19"/>
      <sheetData sheetId="20">
        <row r="4">
          <cell r="A4" t="str">
            <v>白云区艳山红镇原氧化铝厂片区</v>
          </cell>
          <cell r="E4" t="str">
            <v>其他商服用地</v>
          </cell>
          <cell r="F4">
            <v>15205.4</v>
          </cell>
          <cell r="I4" t="str">
            <v>2017-12-11</v>
          </cell>
          <cell r="L4">
            <v>2868</v>
          </cell>
        </row>
        <row r="5">
          <cell r="A5" t="str">
            <v>白云区艳山红镇原氧化铝厂片区</v>
          </cell>
          <cell r="F5">
            <v>8456.9</v>
          </cell>
          <cell r="I5" t="str">
            <v>2017-12-11</v>
          </cell>
          <cell r="L5">
            <v>2620</v>
          </cell>
        </row>
        <row r="7">
          <cell r="A7" t="str">
            <v>白云区艳山红镇原氧化铝厂片区</v>
          </cell>
          <cell r="F7">
            <v>12324.9</v>
          </cell>
          <cell r="I7" t="str">
            <v>2017-12-11</v>
          </cell>
          <cell r="L7">
            <v>2369</v>
          </cell>
        </row>
      </sheetData>
      <sheetData sheetId="21"/>
      <sheetData sheetId="22">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3">
        <row r="21">
          <cell r="N21" t="str">
            <v>商业</v>
          </cell>
          <cell r="P21">
            <v>1.46E-2</v>
          </cell>
        </row>
        <row r="22">
          <cell r="N22" t="str">
            <v>办公</v>
          </cell>
          <cell r="P22">
            <v>1.46E-2</v>
          </cell>
        </row>
        <row r="23">
          <cell r="N23" t="str">
            <v>住宅</v>
          </cell>
          <cell r="P23">
            <v>2.41E-2</v>
          </cell>
        </row>
        <row r="24">
          <cell r="N24" t="str">
            <v>工业</v>
          </cell>
          <cell r="P24">
            <v>1.24E-2</v>
          </cell>
        </row>
        <row r="25">
          <cell r="N25" t="str">
            <v>综合</v>
          </cell>
          <cell r="P25">
            <v>2.1700000000000001E-2</v>
          </cell>
        </row>
      </sheetData>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5"/>
      <sheetData sheetId="26"/>
      <sheetData sheetId="27"/>
      <sheetData sheetId="28"/>
      <sheetData sheetId="29"/>
      <sheetData sheetId="30"/>
      <sheetData sheetId="31"/>
      <sheetData sheetId="32"/>
      <sheetData sheetId="33"/>
      <sheetData sheetId="3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6">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住宅、综合 (2)"/>
      <sheetName val="土地案例"/>
      <sheetName val="土地案例（海安高新）"/>
      <sheetName val="土地案例（海安）"/>
      <sheetName val="案例位置"/>
      <sheetName val="剩余法-待开发"/>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40539</v>
          </cell>
          <cell r="C14">
            <v>13513</v>
          </cell>
          <cell r="D14">
            <v>13853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hyperlink" Target="javascript:top.main.DataEdit('32',21);" TargetMode="Externa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B26" sqref="B26"/>
    </sheetView>
  </sheetViews>
  <sheetFormatPr defaultColWidth="8.875" defaultRowHeight="14.25"/>
  <cols>
    <col min="1" max="1" width="36.5" style="2910" customWidth="1"/>
    <col min="2" max="2" width="78.125" style="2911" customWidth="1"/>
    <col min="3" max="18" width="8.875" style="2905"/>
    <col min="19" max="19" width="17.875" style="2905" customWidth="1"/>
    <col min="20" max="51" width="8.875" style="2905"/>
    <col min="52" max="52" width="13.125" style="2905" customWidth="1"/>
    <col min="53" max="53" width="13.5" style="2905" bestFit="1" customWidth="1"/>
    <col min="54" max="54" width="11.625" style="2905" bestFit="1" customWidth="1"/>
    <col min="55" max="55" width="13.5" style="2905" bestFit="1" customWidth="1"/>
    <col min="56" max="16384" width="8.875" style="2905"/>
  </cols>
  <sheetData>
    <row r="1" spans="1:55" s="2916" customFormat="1" ht="16.5" thickBot="1">
      <c r="A1" s="2914" t="s">
        <v>2654</v>
      </c>
      <c r="B1" s="2915" t="s">
        <v>2751</v>
      </c>
    </row>
    <row r="2" spans="1:55" s="2919" customFormat="1" ht="15" thickTop="1">
      <c r="A2" s="2917" t="s">
        <v>2658</v>
      </c>
      <c r="B2" s="2918" t="str">
        <f>'预评函-封皮'!B37</f>
        <v>江苏省南通市海安市高新区祖师庙村1组320621108211GB00054W00000000号一宗住宅、商业用地出让国有建设用地使用权市场价格预评估</v>
      </c>
      <c r="AX2" s="2920"/>
      <c r="AZ2" s="2920"/>
      <c r="BA2" s="2921"/>
      <c r="BC2" s="2921"/>
    </row>
    <row r="3" spans="1:55" s="2922" customFormat="1">
      <c r="A3" s="2901" t="s">
        <v>2659</v>
      </c>
      <c r="B3" s="2904" t="str">
        <f>'预评函-封皮'!B40</f>
        <v>中信信托有限责任公司</v>
      </c>
    </row>
    <row r="4" spans="1:55" s="2903" customFormat="1">
      <c r="A4" s="2901" t="s">
        <v>2660</v>
      </c>
      <c r="B4" s="2902" t="str">
        <f>'预评函-封皮'!B46</f>
        <v>王鹏、郑燚</v>
      </c>
      <c r="N4" s="2903" t="str">
        <f>'预评函-1'!A28</f>
        <v>——</v>
      </c>
    </row>
    <row r="5" spans="1:55" s="2916" customFormat="1" ht="15" thickBot="1">
      <c r="A5" s="2923" t="s">
        <v>2661</v>
      </c>
      <c r="B5" s="2924" t="str">
        <f>'预评函-封皮'!B49</f>
        <v>康正预评字号</v>
      </c>
    </row>
    <row r="6" spans="1:55" s="2925" customFormat="1" ht="15" thickTop="1">
      <c r="A6" s="2917" t="s">
        <v>2703</v>
      </c>
      <c r="B6" s="2918" t="str">
        <f>'预评函-1'!A4</f>
        <v>受贵公司委托，我公司对江苏省南通市海安市高新区祖师庙村1组320621108211GB00054W00000000号一宗住宅、商业用地出让国有建设用地使用权市场价格进行了预评估。</v>
      </c>
      <c r="AM6" s="2926"/>
    </row>
    <row r="7" spans="1:55" s="2900" customFormat="1">
      <c r="A7" s="2901" t="s">
        <v>2655</v>
      </c>
      <c r="B7" s="2902" t="str">
        <f>'预评函-1'!A6</f>
        <v>估价对象为江苏海穗工业园区发展有限公司使用的、位于江苏省南通市海安市高新区祖师庙村1组320621108211GB00054W00000000号一宗住宅、商业用地出让国有建设用地使用权。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8" spans="1:55" s="2900" customFormat="1">
      <c r="A8" s="2901" t="s">
        <v>2656</v>
      </c>
      <c r="B8" s="2902" t="str">
        <f>'预评函-1'!A7</f>
        <v xml:space="preserve">简述项目推广名，项目类型（用途），估价对象分布，各用途面积明细情况：XX用途建筑面积XX平方米，XX用途建筑面积XX平方米，……。复杂面积清单需设‘附表’列示：抵押物清单详见附表。        </v>
      </c>
    </row>
    <row r="9" spans="1:55" s="2900" customFormat="1">
      <c r="A9" s="2901" t="s">
        <v>2706</v>
      </c>
      <c r="B9" s="2902" t="str">
        <f>'预评函-1'!A9</f>
        <v>本次评估为委托估价方了解标的物之市场价格提供参考依据而评估出让国有建设用地使用权市场价格。</v>
      </c>
    </row>
    <row r="10" spans="1:55" s="2900" customFormat="1">
      <c r="A10" s="2901" t="s">
        <v>2657</v>
      </c>
      <c r="B10" s="2902" t="str">
        <f>'预评函-1'!A11</f>
        <v>2018年12月4日（评估专业人员勘察现场之日）</v>
      </c>
    </row>
    <row r="11" spans="1:55" s="2900" customFormat="1">
      <c r="A11" s="2901" t="s">
        <v>2663</v>
      </c>
      <c r="B11" s="2902" t="str">
        <f>'预评函-1'!A14</f>
        <v>根据《不动产权证书》[苏（2018）海安市不动产权第0018525号]，本次评估估价对象证载（地类）用途为其他普通商品住房、其他商服用地。</v>
      </c>
    </row>
    <row r="12" spans="1:55" s="2900" customFormat="1">
      <c r="A12" s="2901" t="s">
        <v>2664</v>
      </c>
      <c r="B12" s="2902" t="str">
        <f>'预评函-1'!A15</f>
        <v>本次评估设定用途即为证载用途住宅、商业。</v>
      </c>
    </row>
    <row r="13" spans="1:55" s="2900" customFormat="1">
      <c r="A13" s="2901" t="s">
        <v>2665</v>
      </c>
      <c r="B13" s="2902" t="str">
        <f>'预评函-1'!A17</f>
        <v>根据委托估价方介绍及评估专业人员现场勘查，本次评估估价对象实际土地开发程度为红线外市政基础设施达“七通”（即通路、通电、通讯、通上水、通下水、燃气、）、宗地红线内场地未平整，宗地内部有空置的建筑物（厂房、仓库等）。</v>
      </c>
    </row>
    <row r="14" spans="1:55" s="2900" customFormat="1">
      <c r="A14" s="2901" t="s">
        <v>2666</v>
      </c>
      <c r="B14" s="2902" t="str">
        <f>'预评函-1'!A18</f>
        <v>本次评估设定土地开发程度为红线外市政基础设施达“七通”、宗地红线内场地未平整。</v>
      </c>
    </row>
    <row r="15" spans="1:55" s="2900" customFormat="1">
      <c r="A15" s="2901" t="s">
        <v>2662</v>
      </c>
      <c r="B15" s="2902" t="str">
        <f>'预评函-1'!A20</f>
        <v>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16" spans="1:55" s="2900" customFormat="1">
      <c r="A16" s="2901" t="s">
        <v>2667</v>
      </c>
      <c r="B16" s="2902" t="str">
        <f>'预评函-1'!A22</f>
        <v>本次估价对象为出让国有建设用地使用权，《不动产权证书》[苏（2018）海安市不动产权第0018525号]证载土地终止日期为住宅2088年6月9日、商业2058年6月9日。截至估价期日，出让国有建设用地使用权剩余土地使用年限为住宅69年、商业39年。</v>
      </c>
    </row>
    <row r="17" spans="1:48" s="2900" customFormat="1">
      <c r="A17" s="2901" t="s">
        <v>2668</v>
      </c>
      <c r="B17" s="2902" t="str">
        <f>'预评函-1'!A23</f>
        <v>本次评估设定估价对象剩余土地使用年限为住宅69年、商业39年。</v>
      </c>
    </row>
    <row r="18" spans="1:48" s="2900" customFormat="1">
      <c r="A18" s="2901" t="s">
        <v>2669</v>
      </c>
      <c r="B18" s="2902" t="str">
        <f>'预评函-1'!A25</f>
        <v>本次估价的“出让国有建设用地使用权价格”是指在估价对象土地所有权为国家所有，使用权性质为出让，在公开市场条件下、于估价期日2018年12月4日，在规划利用条件下、设定土地开发程度为红线外“七通”、宗地内场地未平整，设定用途为住宅、商业，剩余土地使用年限为住宅69年、商业39年的出让国有建设用地使用权价格。</v>
      </c>
    </row>
    <row r="19" spans="1:48" s="2900" customFormat="1">
      <c r="A19" s="2901" t="s">
        <v>2670</v>
      </c>
      <c r="B19" s="2902" t="str">
        <f>'预评函-1'!A26</f>
        <v>——</v>
      </c>
    </row>
    <row r="20" spans="1:48" s="2900" customFormat="1">
      <c r="A20" s="2901" t="s">
        <v>2671</v>
      </c>
      <c r="B20" s="2902" t="str">
        <f>'预评函-1'!A27</f>
        <v>——</v>
      </c>
    </row>
    <row r="21" spans="1:48" s="2916" customFormat="1" ht="15" thickBot="1">
      <c r="A21" s="2923" t="s">
        <v>2672</v>
      </c>
      <c r="B21" s="2924" t="str">
        <f>'预评函-1'!A28</f>
        <v>——</v>
      </c>
    </row>
    <row r="22" spans="1:48" ht="15" thickTop="1">
      <c r="A22" s="2912" t="s">
        <v>2673</v>
      </c>
      <c r="B22" s="291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1" t="s">
        <v>2674</v>
      </c>
      <c r="B23" s="2902" t="str">
        <f>'预评函-2'!K2</f>
        <v>估价期日：2018年12月4日</v>
      </c>
    </row>
    <row r="24" spans="1:48">
      <c r="A24" s="2901" t="s">
        <v>2675</v>
      </c>
      <c r="B24" s="2902" t="str">
        <f>'预评函-2'!R2</f>
        <v>估价期日的国有建设用地使用权性质：出让</v>
      </c>
    </row>
    <row r="25" spans="1:48">
      <c r="A25" s="2901" t="s">
        <v>2731</v>
      </c>
      <c r="B25" s="2902" t="str">
        <f>'预评函-2'!A3</f>
        <v>估价期日土地使用者</v>
      </c>
    </row>
    <row r="26" spans="1:48">
      <c r="A26" s="2901" t="s">
        <v>2707</v>
      </c>
      <c r="B26" s="2902" t="str">
        <f>'预评函-2'!A5</f>
        <v>中信开发</v>
      </c>
    </row>
    <row r="27" spans="1:48">
      <c r="A27" s="2901" t="s">
        <v>2732</v>
      </c>
      <c r="B27" s="2902" t="str">
        <f>'预评函-2'!B3</f>
        <v>宗地编号/不动产单元号</v>
      </c>
    </row>
    <row r="28" spans="1:48">
      <c r="A28" s="2901" t="s">
        <v>2708</v>
      </c>
      <c r="B28" s="2902" t="str">
        <f>'预评函-2'!B5</f>
        <v>11111111111</v>
      </c>
    </row>
    <row r="29" spans="1:48">
      <c r="A29" s="2901" t="s">
        <v>2734</v>
      </c>
      <c r="B29" s="2902">
        <f>'预评函-2'!C5</f>
        <v>22</v>
      </c>
    </row>
    <row r="30" spans="1:48">
      <c r="A30" s="2901" t="s">
        <v>2735</v>
      </c>
      <c r="B30" s="2902" t="str">
        <f>'预评函-2'!D3</f>
        <v>土地使用证编号/不动产权证书编号</v>
      </c>
    </row>
    <row r="31" spans="1:48">
      <c r="A31" s="2901" t="s">
        <v>2709</v>
      </c>
      <c r="B31" s="2902" t="str">
        <f>'预评函-2'!D5</f>
        <v>京国土字第111号</v>
      </c>
    </row>
    <row r="32" spans="1:48">
      <c r="A32" s="2901" t="s">
        <v>2710</v>
      </c>
      <c r="B32" s="2902" t="str">
        <f>'预评函-2'!E5</f>
        <v>其他普通商品住房、其他商服用地</v>
      </c>
      <c r="AV32" s="2906"/>
    </row>
    <row r="33" spans="1:2">
      <c r="A33" s="2901" t="s">
        <v>2711</v>
      </c>
      <c r="B33" s="2902">
        <f>'预评函-2'!F5</f>
        <v>258</v>
      </c>
    </row>
    <row r="34" spans="1:2">
      <c r="A34" s="2901" t="s">
        <v>2712</v>
      </c>
      <c r="B34" s="2902" t="str">
        <f>'预评函-2'!G5</f>
        <v>住宅、商业</v>
      </c>
    </row>
    <row r="35" spans="1:2">
      <c r="A35" s="2901" t="s">
        <v>2713</v>
      </c>
      <c r="B35" s="2902">
        <f>'预评函-2'!H5</f>
        <v>1.5</v>
      </c>
    </row>
    <row r="36" spans="1:2">
      <c r="A36" s="2901" t="s">
        <v>2714</v>
      </c>
      <c r="B36" s="2902">
        <f>'预评函-2'!I5</f>
        <v>1.5</v>
      </c>
    </row>
    <row r="37" spans="1:2">
      <c r="A37" s="2901" t="s">
        <v>2715</v>
      </c>
      <c r="B37" s="2902">
        <f>'预评函-2'!J5</f>
        <v>1.5</v>
      </c>
    </row>
    <row r="38" spans="1:2">
      <c r="A38" s="2901" t="s">
        <v>2716</v>
      </c>
      <c r="B38" s="2902" t="str">
        <f>'预评函-2'!K5</f>
        <v>红线外七通、宗地红线内场地未平整</v>
      </c>
    </row>
    <row r="39" spans="1:2">
      <c r="A39" s="2901" t="s">
        <v>2717</v>
      </c>
      <c r="B39" s="2902" t="str">
        <f>'预评函-2'!L5</f>
        <v>红线外七通、宗地红线内场地未平整</v>
      </c>
    </row>
    <row r="40" spans="1:2">
      <c r="A40" s="2901" t="s">
        <v>2736</v>
      </c>
      <c r="B40" s="2902" t="str">
        <f>'预评函-2'!M3</f>
        <v>（剩余）土地使用年限/年</v>
      </c>
    </row>
    <row r="41" spans="1:2">
      <c r="A41" s="2901" t="s">
        <v>2718</v>
      </c>
      <c r="B41" s="2902" t="str">
        <f>'预评函-2'!M5</f>
        <v>住宅69年、商业39年</v>
      </c>
    </row>
    <row r="42" spans="1:2">
      <c r="A42" s="2901" t="s">
        <v>2737</v>
      </c>
      <c r="B42" s="2902" t="str">
        <f>'预评函-2'!N3</f>
        <v>（分摊）出让国有建设用地使用权面积/㎡</v>
      </c>
    </row>
    <row r="43" spans="1:2">
      <c r="A43" s="2901" t="s">
        <v>2719</v>
      </c>
      <c r="B43" s="2902">
        <f>'预评函-2'!N5</f>
        <v>38144</v>
      </c>
    </row>
    <row r="44" spans="1:2">
      <c r="A44" s="2901" t="s">
        <v>2738</v>
      </c>
      <c r="B44" s="2902" t="str">
        <f>'预评函-2'!O3</f>
        <v>规划建筑面积/㎡</v>
      </c>
    </row>
    <row r="45" spans="1:2">
      <c r="A45" s="2901" t="s">
        <v>2720</v>
      </c>
      <c r="B45" s="2902">
        <f>'预评函-2'!O5</f>
        <v>114432</v>
      </c>
    </row>
    <row r="46" spans="1:2">
      <c r="A46" s="2901" t="s">
        <v>2721</v>
      </c>
      <c r="B46" s="2902">
        <f ca="1">'预评函-2'!P5</f>
        <v>10257</v>
      </c>
    </row>
    <row r="47" spans="1:2">
      <c r="A47" s="2901" t="s">
        <v>2722</v>
      </c>
      <c r="B47" s="2902">
        <f ca="1">'预评函-2'!Q5</f>
        <v>3419</v>
      </c>
    </row>
    <row r="48" spans="1:2">
      <c r="A48" s="2901" t="s">
        <v>2723</v>
      </c>
      <c r="B48" s="2902">
        <f ca="1">'预评函-2'!R5</f>
        <v>39126</v>
      </c>
    </row>
    <row r="49" spans="1:2">
      <c r="A49" s="2901" t="s">
        <v>2739</v>
      </c>
      <c r="B49" s="2902" t="str">
        <f>'预评函-2'!A6</f>
        <v>——</v>
      </c>
    </row>
    <row r="50" spans="1:2">
      <c r="A50" s="2901" t="s">
        <v>2724</v>
      </c>
      <c r="B50" s="2902" t="str">
        <f>'预评函-2'!R6</f>
        <v>——</v>
      </c>
    </row>
    <row r="51" spans="1:2">
      <c r="A51" s="2901" t="s">
        <v>2740</v>
      </c>
      <c r="B51" s="2902" t="str">
        <f>'预评函-2'!A7</f>
        <v>——</v>
      </c>
    </row>
    <row r="52" spans="1:2">
      <c r="A52" s="2901" t="s">
        <v>2725</v>
      </c>
      <c r="B52" s="2902" t="str">
        <f>'预评函-2'!R7</f>
        <v>——</v>
      </c>
    </row>
    <row r="53" spans="1:2">
      <c r="A53" s="2901" t="s">
        <v>2741</v>
      </c>
      <c r="B53" s="2902" t="str">
        <f>'预评函-2'!A8</f>
        <v>——</v>
      </c>
    </row>
    <row r="54" spans="1:2" s="2916" customFormat="1" ht="15" thickBot="1">
      <c r="A54" s="2923" t="s">
        <v>2726</v>
      </c>
      <c r="B54" s="2924" t="str">
        <f>'预评函-2'!R8</f>
        <v>——</v>
      </c>
    </row>
    <row r="55" spans="1:2" ht="15" thickTop="1">
      <c r="A55" s="2912" t="s">
        <v>2676</v>
      </c>
      <c r="B55" s="2913" t="str">
        <f>'预评函-3'!A2</f>
        <v>1.权利限制：根据估价对象————，截至估价期日，估价对象抵押权未见登记。未设定租赁等其他他项权利。</v>
      </c>
    </row>
    <row r="56" spans="1:2">
      <c r="A56" s="2901" t="s">
        <v>2677</v>
      </c>
      <c r="B56" s="2902" t="str">
        <f>'预评函-3'!A3</f>
        <v>2.基础设施条件：估价对象实际开发程度为红线外七通、宗地红线内场地未平整；本次评估设定开发程度为红线外七通、宗地红线内场地未平整。</v>
      </c>
    </row>
    <row r="57" spans="1:2">
      <c r="A57" s="2901" t="s">
        <v>2678</v>
      </c>
      <c r="B57" s="2902" t="str">
        <f>'预评函-3'!A4</f>
        <v>3.估价规划限制条件：详见《国有建设用地使用权出让合同》[电子监管号：3206212018B03254]、《不动产权证书》[苏（2018）海安市不动产权第0018525号]。</v>
      </c>
    </row>
    <row r="58" spans="1:2" s="2916" customFormat="1" ht="15" thickBot="1">
      <c r="A58" s="2923" t="s">
        <v>2727</v>
      </c>
      <c r="B58" s="2924" t="str">
        <f>'预评函-3'!A5</f>
        <v>4.影响价格的其他限定条件：无。</v>
      </c>
    </row>
    <row r="59" spans="1:2" ht="15" thickTop="1">
      <c r="A59" s="2912" t="s">
        <v>2679</v>
      </c>
      <c r="B59" s="2913" t="str">
        <f>'预评函-3'!A8</f>
        <v>2.本次评估设定估价对象宗地权属无争议，未被查封或者以其他形式限制其房地产权利，未设定抵押权等他项权利，不涉及第三方权利义务。</v>
      </c>
    </row>
    <row r="60" spans="1:2">
      <c r="A60" s="2901" t="s">
        <v>2680</v>
      </c>
      <c r="B60" s="2902" t="str">
        <f>'预评函-3'!A9</f>
        <v>——</v>
      </c>
    </row>
    <row r="61" spans="1:2">
      <c r="A61" s="2901" t="s">
        <v>2682</v>
      </c>
      <c r="B61" s="2902" t="str">
        <f>'预评函-3'!A10</f>
        <v>——</v>
      </c>
    </row>
    <row r="62" spans="1:2">
      <c r="A62" s="2901" t="s">
        <v>2681</v>
      </c>
      <c r="B62" s="2902" t="str">
        <f>'预评函-3'!A11</f>
        <v>——</v>
      </c>
    </row>
    <row r="63" spans="1:2">
      <c r="A63" s="2901" t="s">
        <v>2683</v>
      </c>
      <c r="B63" s="290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1" t="s">
        <v>2684</v>
      </c>
      <c r="B64" s="2907" t="str">
        <f>'预评函-3'!A13</f>
        <v>（3）。</v>
      </c>
    </row>
    <row r="65" spans="1:2">
      <c r="A65" s="2901" t="s">
        <v>2685</v>
      </c>
      <c r="B65" s="2908" t="str">
        <f>'预评函-3'!A14</f>
        <v>——</v>
      </c>
    </row>
    <row r="66" spans="1:2">
      <c r="A66" s="2901" t="s">
        <v>2686</v>
      </c>
      <c r="B66" s="2908"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1" t="s">
        <v>2687</v>
      </c>
      <c r="B67" s="2908"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6" customFormat="1" ht="15" thickBot="1">
      <c r="A68" s="2923" t="s">
        <v>2690</v>
      </c>
      <c r="B68" s="2927">
        <f>'预评函-3'!D30</f>
        <v>42558</v>
      </c>
    </row>
    <row r="69" spans="1:2" ht="15" thickTop="1">
      <c r="A69" s="2912" t="s">
        <v>2688</v>
      </c>
      <c r="B69" s="2913" t="str">
        <f>'预评函-3'!A20</f>
        <v>王鹏</v>
      </c>
    </row>
    <row r="70" spans="1:2">
      <c r="A70" s="2901" t="s">
        <v>2688</v>
      </c>
      <c r="B70" s="2908">
        <f ca="1">'预评函-3'!B20</f>
        <v>2002110030</v>
      </c>
    </row>
    <row r="71" spans="1:2">
      <c r="A71" s="2901" t="s">
        <v>2689</v>
      </c>
      <c r="B71" s="2902" t="str">
        <f>'预评函-3'!A21</f>
        <v>郑燚</v>
      </c>
    </row>
    <row r="72" spans="1:2" s="2916" customFormat="1" ht="15" thickBot="1">
      <c r="A72" s="2923" t="s">
        <v>2689</v>
      </c>
      <c r="B72" s="2929">
        <f>'预评函-3'!B21</f>
        <v>2014110011</v>
      </c>
    </row>
    <row r="73" spans="1:2" ht="15" thickTop="1">
      <c r="A73" s="2912" t="s">
        <v>2748</v>
      </c>
      <c r="B73" s="292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1" t="s">
        <v>2749</v>
      </c>
      <c r="B74" s="2909" t="str">
        <f>'预评函-1 (储备)'!A18</f>
        <v>由于本次评估估价目的是评估储备国有建设用地使用权的“抵押价格”，因此本次评估设定土地开发程度为红线外市政基础设施达“七通”、宗地红线内场地平整。</v>
      </c>
    </row>
    <row r="75" spans="1:2" s="2916" customFormat="1" ht="15" thickBot="1">
      <c r="A75" s="2923" t="s">
        <v>2750</v>
      </c>
      <c r="B75" s="293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0" t="s">
        <v>2785</v>
      </c>
      <c r="B76" s="2911" t="str">
        <f>'预评函-3'!A25</f>
        <v>XX</v>
      </c>
    </row>
  </sheetData>
  <sheetProtection sheet="1" objects="1" scenarios="1"/>
  <phoneticPr fontId="24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topLeftCell="A4" zoomScale="90" zoomScaleSheetLayoutView="90" workbookViewId="0">
      <selection activeCell="E11" sqref="E1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616" t="str">
        <f>IF(B10="北京市","北京市",C10)&amp;F10&amp;B16&amp;"国有建设用地使用权"&amp;B9&amp;"预评估"</f>
        <v>江苏省南通市海安市高新区祖师庙村1组320621108211GB00054W00000000号一宗住宅、商业用地出让国有建设用地使用权市场价格预评估</v>
      </c>
      <c r="C1" s="3617"/>
      <c r="D1" s="3617"/>
      <c r="E1" s="3617"/>
      <c r="F1" s="3617"/>
      <c r="G1" s="3617"/>
      <c r="H1" s="3617"/>
      <c r="I1" s="3618"/>
      <c r="J1" s="1692"/>
      <c r="K1" s="2478" t="str">
        <f>IF(B10="北京市","北京市",C10)&amp;F10&amp;B16&amp;"国有建设用地使用权"&amp;B9</f>
        <v>江苏省南通市海安市高新区祖师庙村1组320621108211GB00054W00000000号一宗住宅、商业用地出让国有建设用地使用权市场价格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江苏省南通市海安市高新区祖师庙村1组320621108211GB00054W00000000号一宗住宅、商业用地出让国有建设用地使用权</v>
      </c>
      <c r="L2" s="1721"/>
      <c r="M2" s="1721"/>
      <c r="N2" s="1692"/>
      <c r="O2" s="1693"/>
      <c r="P2" s="1692"/>
      <c r="Q2" s="1692"/>
      <c r="R2" s="1692"/>
      <c r="S2" s="1692"/>
      <c r="T2" s="1692"/>
      <c r="U2" s="1692"/>
    </row>
    <row r="3" spans="1:21">
      <c r="A3" s="1659" t="s">
        <v>1941</v>
      </c>
      <c r="B3" s="1660">
        <v>43438</v>
      </c>
      <c r="C3" s="1661" t="s">
        <v>1995</v>
      </c>
      <c r="D3" s="1660">
        <f>B3</f>
        <v>43438</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2987</v>
      </c>
      <c r="C4" s="1844">
        <f ca="1">SUMIF(土地估价师,B4,估价师及机构信息!E3:E24)</f>
        <v>2002110030</v>
      </c>
      <c r="D4" s="1841" t="s">
        <v>2988</v>
      </c>
      <c r="E4" s="1844">
        <f>SUMIF(土地估价师,D4,估价师及机构信息!E3:E24)</f>
        <v>2014110011</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王鹏、郑燚</v>
      </c>
      <c r="L4" s="1721"/>
      <c r="M4" s="1721"/>
      <c r="N4" s="1692"/>
      <c r="O4" s="1693"/>
      <c r="P4" s="1692"/>
      <c r="Q4" s="1692"/>
      <c r="R4" s="1692"/>
      <c r="S4" s="1692"/>
      <c r="T4" s="1692"/>
      <c r="U4" s="1692"/>
    </row>
    <row r="5" spans="1:21" ht="15" thickTop="1">
      <c r="A5" s="1663" t="s">
        <v>1943</v>
      </c>
      <c r="B5" s="1787" t="str">
        <f>B6</f>
        <v>中信信托有限责任公司</v>
      </c>
      <c r="C5" s="1664"/>
      <c r="D5" s="1665"/>
      <c r="E5" s="1692"/>
      <c r="F5" s="1692"/>
      <c r="G5" s="1692"/>
      <c r="H5" s="1658"/>
      <c r="I5" s="1693"/>
      <c r="J5" s="1692"/>
      <c r="K5" s="1772"/>
      <c r="L5" s="1721"/>
      <c r="M5" s="1721"/>
      <c r="N5" s="1692"/>
      <c r="O5" s="1693"/>
      <c r="P5" s="1692"/>
      <c r="Q5" s="1692"/>
      <c r="R5" s="1692"/>
      <c r="S5" s="1692"/>
      <c r="T5" s="1692"/>
      <c r="U5" s="1692"/>
    </row>
    <row r="6" spans="1:21" ht="26.25">
      <c r="A6" s="1661" t="s">
        <v>2704</v>
      </c>
      <c r="B6" s="1787" t="s">
        <v>2989</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2705</v>
      </c>
      <c r="B7" s="1787" t="str">
        <f>C11</f>
        <v>江苏海穗工业园区发展有限公司</v>
      </c>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3501</v>
      </c>
      <c r="C8" s="1669"/>
      <c r="D8" s="3622"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3502</v>
      </c>
      <c r="C9" s="1673"/>
      <c r="D9" s="3623"/>
      <c r="E9" s="1672"/>
      <c r="F9" s="1745"/>
      <c r="G9" s="1740"/>
      <c r="H9" s="1740"/>
      <c r="I9" s="1741"/>
      <c r="J9" s="1692"/>
      <c r="K9" s="1772"/>
      <c r="L9" s="1721"/>
      <c r="M9" s="1721"/>
      <c r="N9" s="1692"/>
      <c r="O9" s="1693"/>
      <c r="P9" s="1692"/>
      <c r="Q9" s="1692"/>
      <c r="R9" s="1692"/>
      <c r="S9" s="1692"/>
      <c r="T9" s="1692"/>
      <c r="U9" s="1692"/>
    </row>
    <row r="10" spans="1:21" ht="15" thickTop="1">
      <c r="A10" s="1742" t="s">
        <v>1998</v>
      </c>
      <c r="B10" s="3179" t="s">
        <v>2990</v>
      </c>
      <c r="C10" s="1674" t="s">
        <v>3378</v>
      </c>
      <c r="D10" s="1665"/>
      <c r="E10" s="1675" t="s">
        <v>1948</v>
      </c>
      <c r="F10" s="1676" t="s">
        <v>3388</v>
      </c>
      <c r="G10" s="1743"/>
      <c r="H10" s="1744"/>
      <c r="I10" s="1665"/>
      <c r="J10" s="1692"/>
      <c r="K10" s="1772"/>
      <c r="L10" s="1721"/>
      <c r="M10" s="1721"/>
      <c r="N10" s="1692"/>
      <c r="O10" s="1693"/>
      <c r="P10" s="1692"/>
      <c r="Q10" s="1692"/>
      <c r="R10" s="1692"/>
      <c r="S10" s="1692"/>
      <c r="T10" s="1692"/>
      <c r="U10" s="1692"/>
    </row>
    <row r="11" spans="1:21" ht="42.75">
      <c r="A11" s="1695" t="s">
        <v>1999</v>
      </c>
      <c r="B11" s="1696" t="s">
        <v>2991</v>
      </c>
      <c r="C11" s="1677" t="s">
        <v>3379</v>
      </c>
      <c r="D11" s="1760"/>
      <c r="E11" s="1658"/>
      <c r="F11" s="1658"/>
      <c r="G11" s="1658"/>
      <c r="H11" s="1658"/>
      <c r="I11" s="1658"/>
      <c r="J11" s="1692"/>
      <c r="K11" s="1772"/>
      <c r="L11" s="1721"/>
      <c r="M11" s="1721"/>
      <c r="N11" s="1692"/>
      <c r="O11" s="1693"/>
      <c r="P11" s="1692"/>
      <c r="Q11" s="1692"/>
      <c r="R11" s="1692"/>
      <c r="S11" s="1692"/>
      <c r="T11" s="1692"/>
      <c r="U11" s="1692"/>
    </row>
    <row r="12" spans="1:21">
      <c r="A12" s="1783" t="s">
        <v>2057</v>
      </c>
      <c r="B12" s="3619" t="s">
        <v>3380</v>
      </c>
      <c r="C12" s="3620"/>
      <c r="D12" s="3621"/>
      <c r="E12" s="1697" t="s">
        <v>2060</v>
      </c>
      <c r="F12" s="3637" t="s">
        <v>3389</v>
      </c>
      <c r="G12" s="3638"/>
      <c r="H12" s="3638"/>
      <c r="I12" s="3639"/>
      <c r="J12" s="1692"/>
      <c r="K12" s="1772"/>
      <c r="L12" s="1721"/>
      <c r="M12" s="1721"/>
      <c r="N12" s="1692"/>
      <c r="O12" s="1693"/>
      <c r="P12" s="1692"/>
      <c r="Q12" s="1692"/>
      <c r="R12" s="1692"/>
      <c r="S12" s="1692"/>
      <c r="T12" s="1692"/>
      <c r="U12" s="1692"/>
    </row>
    <row r="13" spans="1:21">
      <c r="A13" s="1685" t="s">
        <v>2058</v>
      </c>
      <c r="B13" s="3619" t="s">
        <v>3381</v>
      </c>
      <c r="C13" s="3620"/>
      <c r="D13" s="3621"/>
      <c r="E13" s="1697" t="s">
        <v>2060</v>
      </c>
      <c r="F13" s="3637" t="s">
        <v>3390</v>
      </c>
      <c r="G13" s="3638"/>
      <c r="H13" s="3638"/>
      <c r="I13" s="3639"/>
      <c r="J13" s="1692"/>
      <c r="K13" s="1772"/>
      <c r="L13" s="1721"/>
      <c r="M13" s="1721"/>
      <c r="N13" s="1692"/>
      <c r="O13" s="1693"/>
      <c r="P13" s="1692"/>
      <c r="Q13" s="1692"/>
      <c r="R13" s="1692"/>
      <c r="S13" s="1692"/>
      <c r="T13" s="1692"/>
      <c r="U13" s="1692"/>
    </row>
    <row r="14" spans="1:21">
      <c r="A14" s="1659" t="s">
        <v>2061</v>
      </c>
      <c r="B14" s="1697"/>
      <c r="C14" s="1843" t="s">
        <v>3383</v>
      </c>
      <c r="D14" s="1731" t="str">
        <f>IF(C14="不一致","是否符合证载地类范围","")</f>
        <v/>
      </c>
      <c r="E14" s="1697"/>
      <c r="F14" s="1788" t="s">
        <v>2998</v>
      </c>
      <c r="G14" s="1726"/>
      <c r="H14" s="1726"/>
      <c r="I14" s="1835"/>
      <c r="J14" s="1692"/>
      <c r="K14" s="1772"/>
      <c r="L14" s="1721"/>
      <c r="M14" s="1721"/>
      <c r="N14" s="1692"/>
      <c r="O14" s="1693"/>
      <c r="P14" s="1692"/>
      <c r="Q14" s="1692"/>
      <c r="R14" s="1692"/>
      <c r="S14" s="1692"/>
      <c r="T14" s="1692"/>
      <c r="U14" s="1692"/>
    </row>
    <row r="15" spans="1:21" hidden="1">
      <c r="A15" s="2668"/>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2977</v>
      </c>
      <c r="C16" s="1697" t="s">
        <v>1950</v>
      </c>
      <c r="D16" s="2669" t="s">
        <v>1951</v>
      </c>
      <c r="E16" s="1720" t="s">
        <v>2978</v>
      </c>
      <c r="F16" s="1720" t="s">
        <v>1677</v>
      </c>
      <c r="G16" s="1720"/>
      <c r="H16" s="1720"/>
      <c r="I16" s="1684" t="s">
        <v>1956</v>
      </c>
      <c r="J16" s="1692"/>
      <c r="K16" s="2479" t="str">
        <f>IF(D17="","",D16&amp;TEXT(D17,"yyyy年m月d日;;"))</f>
        <v>住宅2088年6月9日</v>
      </c>
      <c r="L16" s="1697" t="str">
        <f>IF(OR(K16="",M16=""),"","、")</f>
        <v>、</v>
      </c>
      <c r="M16" s="2479" t="str">
        <f>IF(E17="","",E16&amp;TEXT(E17,"yyyy年m月d日;;"))</f>
        <v>商业2058年6月9日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68828</v>
      </c>
      <c r="E17" s="1698">
        <v>57870</v>
      </c>
      <c r="F17" s="1698"/>
      <c r="G17" s="1698"/>
      <c r="H17" s="1698"/>
      <c r="I17" s="1698"/>
      <c r="J17" s="1692"/>
      <c r="K17" s="2478" t="str">
        <f>CONCATENATE(K16,L16,M16,N16,O16,P16,Q16,R16,S16,T16,,U16)</f>
        <v>住宅2088年6月9日、商业2058年6月9日</v>
      </c>
      <c r="L17" s="1721"/>
      <c r="M17" s="1721"/>
      <c r="N17" s="1692"/>
      <c r="O17" s="1693"/>
      <c r="P17" s="1692"/>
      <c r="Q17" s="1692"/>
      <c r="R17" s="1692"/>
      <c r="S17" s="1692"/>
      <c r="T17" s="1692"/>
      <c r="U17" s="1692"/>
    </row>
    <row r="18" spans="1:21">
      <c r="A18" s="1761"/>
      <c r="B18" s="1680"/>
      <c r="C18" s="1681" t="s">
        <v>1958</v>
      </c>
      <c r="D18" s="1682">
        <v>70</v>
      </c>
      <c r="E18" s="1682">
        <v>40</v>
      </c>
      <c r="F18" s="1682">
        <v>40</v>
      </c>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69.56</v>
      </c>
      <c r="E19" s="1683">
        <f>IF(B16="出让",IF(E17="","",ROUNDDOWN(MIN((E17-$D$3)/365,E18),2)),E18)</f>
        <v>39.53</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2059</v>
      </c>
      <c r="D20" s="3634" t="s">
        <v>3382</v>
      </c>
      <c r="E20" s="3635"/>
      <c r="F20" s="3635"/>
      <c r="G20" s="3635"/>
      <c r="H20" s="3635"/>
      <c r="I20" s="3636"/>
      <c r="J20" s="1692"/>
      <c r="K20" s="1772"/>
      <c r="L20" s="1721"/>
      <c r="M20" s="1721"/>
      <c r="N20" s="1692"/>
      <c r="O20" s="1693"/>
      <c r="P20" s="1692"/>
      <c r="Q20" s="1692"/>
      <c r="R20" s="1692"/>
      <c r="S20" s="1692"/>
      <c r="T20" s="1692"/>
      <c r="U20" s="1692"/>
    </row>
    <row r="21" spans="1:21">
      <c r="A21" s="1761" t="s">
        <v>1960</v>
      </c>
      <c r="B21" s="1762" t="s">
        <v>1961</v>
      </c>
      <c r="C21" s="1757">
        <f>'数据-汇总表'!E3</f>
        <v>114432</v>
      </c>
      <c r="D21" s="1758" t="s">
        <v>1962</v>
      </c>
      <c r="E21" s="3624" t="str">
        <f>F13</f>
        <v>《国有建设用地使用权出让合同》[电子监管号：3206212018B03254]、《不动产权证书》[苏（2018）海安市不动产权第0018525号]</v>
      </c>
      <c r="F21" s="3625"/>
      <c r="G21" s="3625"/>
      <c r="H21" s="3625"/>
      <c r="I21" s="3626"/>
      <c r="J21" s="1692"/>
      <c r="K21" s="1772"/>
      <c r="L21" s="1721"/>
      <c r="M21" s="1721"/>
      <c r="N21" s="1692"/>
      <c r="O21" s="1693"/>
      <c r="P21" s="1692"/>
      <c r="Q21" s="1692"/>
      <c r="R21" s="1692"/>
      <c r="S21" s="1692"/>
      <c r="T21" s="1692"/>
      <c r="U21" s="1692"/>
    </row>
    <row r="22" spans="1:21">
      <c r="A22" s="3178" t="s">
        <v>951</v>
      </c>
      <c r="B22" s="1659" t="s">
        <v>1963</v>
      </c>
      <c r="C22" s="1684">
        <f>'数据-汇总表'!D3</f>
        <v>38144</v>
      </c>
      <c r="D22" s="1685" t="s">
        <v>1962</v>
      </c>
      <c r="E22" s="3624" t="str">
        <f>F12</f>
        <v>《不动产权证书》[苏（2018）海安市不动产权第0018525号]</v>
      </c>
      <c r="F22" s="3625"/>
      <c r="G22" s="3625"/>
      <c r="H22" s="3625"/>
      <c r="I22" s="3626"/>
      <c r="J22" s="1692"/>
      <c r="K22" s="1772"/>
      <c r="L22" s="1721"/>
      <c r="M22" s="1721"/>
      <c r="N22" s="1692"/>
      <c r="O22" s="1693"/>
      <c r="P22" s="1692"/>
      <c r="Q22" s="1692"/>
      <c r="R22" s="1692"/>
      <c r="S22" s="1692"/>
      <c r="T22" s="1692"/>
      <c r="U22" s="1692"/>
    </row>
    <row r="23" spans="1:21" ht="43.5" thickBot="1">
      <c r="A23" s="1763" t="s">
        <v>1964</v>
      </c>
      <c r="B23" s="1699" t="s">
        <v>1965</v>
      </c>
      <c r="C23" s="1700" t="s">
        <v>2979</v>
      </c>
      <c r="D23" s="1701" t="s">
        <v>1966</v>
      </c>
      <c r="E23" s="1702" t="s">
        <v>951</v>
      </c>
      <c r="F23" s="1703" t="str">
        <f>IF(AND(C23="是",E23="否"),"是否提供他项权证或相关说明","")</f>
        <v/>
      </c>
      <c r="G23" s="1704" t="s">
        <v>951</v>
      </c>
      <c r="H23" s="1692"/>
      <c r="I23" s="1705"/>
      <c r="J23" s="1692"/>
      <c r="K23" s="1772"/>
      <c r="L23" s="1721"/>
      <c r="M23" s="1721"/>
      <c r="N23" s="1692"/>
      <c r="O23" s="1693"/>
      <c r="P23" s="1692"/>
      <c r="Q23" s="1692"/>
      <c r="R23" s="1692"/>
      <c r="S23" s="1692"/>
      <c r="T23" s="1692"/>
      <c r="U23" s="1692"/>
    </row>
    <row r="24" spans="1:21">
      <c r="A24" s="1748" t="s">
        <v>1967</v>
      </c>
      <c r="B24" s="3627" t="s">
        <v>1968</v>
      </c>
      <c r="C24" s="3628"/>
      <c r="D24" s="3629" t="s">
        <v>1969</v>
      </c>
      <c r="E24" s="3630"/>
      <c r="F24" s="1706" t="s">
        <v>1970</v>
      </c>
      <c r="G24" s="1692"/>
      <c r="H24" s="1692"/>
      <c r="I24" s="1705"/>
      <c r="J24" s="1692"/>
      <c r="K24" s="3615" t="s">
        <v>1971</v>
      </c>
      <c r="L24" s="2480" t="str">
        <f>"根据估价对象"&amp;IF(B26="——",B25&amp;C25,B25&amp;C25&amp;"、"&amp;B26&amp;C26)&amp;"，"&amp;IF(C23="是","截至估价期日，估价对象已设定抵押。","截至估价期日，估价对象抵押权未见登记。")</f>
        <v>根据估价对象————，截至估价期日，估价对象抵押权未见登记。</v>
      </c>
      <c r="M24" s="1721"/>
      <c r="N24" s="1692"/>
      <c r="O24" s="1693"/>
      <c r="P24" s="1692"/>
      <c r="Q24" s="1692"/>
      <c r="R24" s="1692"/>
      <c r="S24" s="1692"/>
      <c r="T24" s="1692"/>
      <c r="U24" s="1692"/>
    </row>
    <row r="25" spans="1:21">
      <c r="A25" s="1749"/>
      <c r="B25" s="1746" t="s">
        <v>951</v>
      </c>
      <c r="C25" s="1707" t="s">
        <v>951</v>
      </c>
      <c r="D25" s="1708"/>
      <c r="E25" s="1709" t="s">
        <v>951</v>
      </c>
      <c r="F25" s="1710"/>
      <c r="G25" s="1692"/>
      <c r="H25" s="1692"/>
      <c r="I25" s="1705"/>
      <c r="J25" s="1692"/>
      <c r="K25" s="3615"/>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15" thickBot="1">
      <c r="A26" s="1750"/>
      <c r="B26" s="1747" t="s">
        <v>951</v>
      </c>
      <c r="C26" s="1707" t="s">
        <v>951</v>
      </c>
      <c r="D26" s="1658"/>
      <c r="E26" s="1658"/>
      <c r="F26" s="1686"/>
      <c r="G26" s="1692"/>
      <c r="H26" s="1692"/>
      <c r="I26" s="1705"/>
      <c r="J26" s="1692"/>
      <c r="K26" s="3615"/>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1972</v>
      </c>
      <c r="B27" s="1751" t="s">
        <v>1973</v>
      </c>
      <c r="C27" s="1711"/>
      <c r="D27" s="2674" t="s">
        <v>1973</v>
      </c>
      <c r="E27" s="1712"/>
      <c r="F27" s="1686"/>
      <c r="G27" s="1692"/>
      <c r="H27" s="1692"/>
      <c r="I27" s="1705"/>
      <c r="J27" s="1692"/>
      <c r="K27" s="1772"/>
      <c r="L27" s="1721"/>
      <c r="M27" s="1721"/>
      <c r="N27" s="1692"/>
      <c r="O27" s="1693"/>
      <c r="P27" s="1692"/>
      <c r="Q27" s="1692"/>
      <c r="R27" s="1692"/>
      <c r="S27" s="1692"/>
      <c r="T27" s="1692"/>
      <c r="U27" s="1692"/>
    </row>
    <row r="28" spans="1:21">
      <c r="A28" s="1754"/>
      <c r="B28" s="1751" t="s">
        <v>1974</v>
      </c>
      <c r="C28" s="1713"/>
      <c r="D28" s="2675" t="s">
        <v>1974</v>
      </c>
      <c r="E28" s="1714"/>
      <c r="F28" s="1686"/>
      <c r="G28" s="1692"/>
      <c r="H28" s="1692"/>
      <c r="I28" s="1705"/>
      <c r="J28" s="1692"/>
      <c r="K28" s="1772"/>
      <c r="L28" s="1721"/>
      <c r="M28" s="1721"/>
      <c r="N28" s="1692"/>
      <c r="O28" s="1693"/>
      <c r="P28" s="1692"/>
      <c r="Q28" s="1692"/>
      <c r="R28" s="1692"/>
      <c r="S28" s="1692"/>
      <c r="T28" s="1692"/>
      <c r="U28" s="1692"/>
    </row>
    <row r="29" spans="1:21">
      <c r="A29" s="1754"/>
      <c r="B29" s="1751" t="s">
        <v>1975</v>
      </c>
      <c r="C29" s="1713"/>
      <c r="D29" s="2675" t="s">
        <v>1975</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1976</v>
      </c>
      <c r="C30" s="1715"/>
      <c r="D30" s="2676" t="s">
        <v>1976</v>
      </c>
      <c r="E30" s="1716"/>
      <c r="F30" s="1687"/>
      <c r="G30" s="1740"/>
      <c r="H30" s="1740"/>
      <c r="I30" s="1741"/>
      <c r="J30" s="1692"/>
      <c r="K30" s="1772"/>
      <c r="L30" s="1721"/>
      <c r="M30" s="1721"/>
      <c r="N30" s="1692"/>
      <c r="O30" s="1693"/>
      <c r="P30" s="1692"/>
      <c r="Q30" s="1692"/>
      <c r="R30" s="1692"/>
      <c r="S30" s="1692"/>
      <c r="T30" s="1692"/>
      <c r="U30" s="1692"/>
    </row>
    <row r="31" spans="1:21" ht="15" thickTop="1">
      <c r="A31" s="3642" t="s">
        <v>2000</v>
      </c>
      <c r="B31" s="1762" t="s">
        <v>2001</v>
      </c>
      <c r="C31" s="3640" t="s">
        <v>3384</v>
      </c>
      <c r="D31" s="3641"/>
      <c r="E31" s="1692"/>
      <c r="F31" s="1692"/>
      <c r="G31" s="1692"/>
      <c r="H31" s="1692"/>
      <c r="I31" s="1705"/>
      <c r="J31" s="1692"/>
      <c r="K31" s="2481"/>
      <c r="L31" s="1692"/>
      <c r="M31" s="1692"/>
      <c r="N31" s="1692"/>
      <c r="O31" s="1692"/>
      <c r="P31" s="1692"/>
      <c r="Q31" s="1692"/>
      <c r="R31" s="1692"/>
      <c r="S31" s="1692"/>
      <c r="T31" s="1692"/>
      <c r="U31" s="1692"/>
    </row>
    <row r="32" spans="1:21">
      <c r="A32" s="3642"/>
      <c r="B32" s="1659" t="s">
        <v>2002</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642"/>
      <c r="B33" s="1659" t="s">
        <v>2003</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643"/>
      <c r="B34" s="1659" t="s">
        <v>2004</v>
      </c>
      <c r="C34" s="3644"/>
      <c r="D34" s="3645"/>
      <c r="E34" s="1692"/>
      <c r="F34" s="1692"/>
      <c r="G34" s="1692"/>
      <c r="H34" s="1692"/>
      <c r="I34" s="1705"/>
      <c r="J34" s="1692"/>
      <c r="K34" s="2481"/>
      <c r="L34" s="1692"/>
      <c r="M34" s="1692"/>
      <c r="N34" s="1692"/>
      <c r="O34" s="1692"/>
      <c r="P34" s="1692"/>
      <c r="Q34" s="1692"/>
      <c r="R34" s="1692"/>
      <c r="S34" s="1692"/>
      <c r="T34" s="1692"/>
      <c r="U34" s="1692"/>
    </row>
    <row r="35" spans="1:21">
      <c r="A35" s="3646" t="s">
        <v>846</v>
      </c>
      <c r="B35" s="1720" t="s">
        <v>3385</v>
      </c>
      <c r="C35" s="1774" t="str">
        <f>IF(B35="场地平整","——","具体情况：")</f>
        <v>具体情况：</v>
      </c>
      <c r="D35" s="3648" t="s">
        <v>3391</v>
      </c>
      <c r="E35" s="3649"/>
      <c r="F35" s="3649"/>
      <c r="G35" s="3649"/>
      <c r="H35" s="3649"/>
      <c r="I35" s="3650"/>
      <c r="J35" s="1692"/>
      <c r="K35" s="1773"/>
      <c r="L35" s="1721"/>
      <c r="M35" s="1721"/>
      <c r="N35" s="1692"/>
      <c r="O35" s="1693"/>
      <c r="P35" s="1692"/>
      <c r="Q35" s="1692"/>
      <c r="R35" s="1692"/>
      <c r="S35" s="1692"/>
      <c r="T35" s="1692"/>
      <c r="U35" s="1692"/>
    </row>
    <row r="36" spans="1:21" ht="28.5">
      <c r="A36" s="3642"/>
      <c r="B36" s="3651" t="s">
        <v>2053</v>
      </c>
      <c r="C36" s="3652"/>
      <c r="D36" s="1790" t="s">
        <v>2997</v>
      </c>
      <c r="E36" s="3653"/>
      <c r="F36" s="3653"/>
      <c r="G36" s="1685" t="str">
        <f>IF(B35="场地未平整","估价结果处理","")</f>
        <v>估价结果处理</v>
      </c>
      <c r="H36" s="3654"/>
      <c r="I36" s="3654"/>
      <c r="J36" s="1692"/>
      <c r="K36" s="1773"/>
      <c r="L36" s="1721"/>
      <c r="M36" s="1721"/>
      <c r="N36" s="1692"/>
      <c r="O36" s="1693"/>
      <c r="P36" s="1692"/>
      <c r="Q36" s="1692"/>
      <c r="R36" s="1692"/>
      <c r="S36" s="1692"/>
      <c r="T36" s="1692"/>
      <c r="U36" s="1692"/>
    </row>
    <row r="37" spans="1:21" ht="28.5">
      <c r="A37" s="3642"/>
      <c r="B37" s="3631"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642"/>
      <c r="B38" s="3632"/>
      <c r="C38" s="1667" t="s">
        <v>849</v>
      </c>
      <c r="D38" s="1789">
        <f>ROUNDDOWN(MIN(('数据-取费表'!$B$2-D37)/365,D34),1)</f>
        <v>119</v>
      </c>
      <c r="E38" s="1725" t="s">
        <v>850</v>
      </c>
      <c r="F38" s="1692"/>
      <c r="G38" s="1692"/>
      <c r="H38" s="1692"/>
      <c r="I38" s="1705"/>
      <c r="J38" s="1692"/>
      <c r="K38" s="1773"/>
      <c r="L38" s="1692"/>
      <c r="M38" s="1692"/>
      <c r="N38" s="1692"/>
      <c r="O38" s="1692"/>
      <c r="P38" s="1692"/>
      <c r="Q38" s="1692"/>
      <c r="R38" s="1692"/>
      <c r="S38" s="1692"/>
      <c r="T38" s="1692"/>
      <c r="U38" s="1692"/>
    </row>
    <row r="39" spans="1:21">
      <c r="A39" s="3643"/>
      <c r="B39" s="3633"/>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1977</v>
      </c>
      <c r="B40" s="1688" t="s">
        <v>2992</v>
      </c>
      <c r="C40" s="1688" t="s">
        <v>2993</v>
      </c>
      <c r="D40" s="1688" t="s">
        <v>2994</v>
      </c>
      <c r="E40" s="1688" t="s">
        <v>2995</v>
      </c>
      <c r="F40" s="1688" t="s">
        <v>2996</v>
      </c>
      <c r="G40" s="1688" t="s">
        <v>3386</v>
      </c>
      <c r="H40" s="1688"/>
      <c r="I40" s="1705"/>
      <c r="J40" s="1692"/>
      <c r="K40" s="1728">
        <f>COUNTIF(B40:H40,"——")</f>
        <v>0</v>
      </c>
      <c r="L40" s="1697" t="s">
        <v>1978</v>
      </c>
      <c r="M40" s="1694" t="s">
        <v>1979</v>
      </c>
      <c r="N40" s="1694" t="s">
        <v>1980</v>
      </c>
      <c r="O40" s="1694" t="s">
        <v>1981</v>
      </c>
      <c r="P40" s="1694" t="s">
        <v>1982</v>
      </c>
      <c r="Q40" s="1694" t="s">
        <v>1983</v>
      </c>
      <c r="R40" s="1694" t="s">
        <v>1984</v>
      </c>
      <c r="S40" s="3614" t="s">
        <v>1985</v>
      </c>
      <c r="T40" s="1729" t="str">
        <f>NUMBERSTRING(7-K40,1)&amp;"通"</f>
        <v>七通</v>
      </c>
      <c r="U40" s="1692"/>
    </row>
    <row r="41" spans="1:21" ht="28.5">
      <c r="A41" s="1661"/>
      <c r="B41" s="3647" t="s">
        <v>1721</v>
      </c>
      <c r="C41" s="3647"/>
      <c r="D41" s="3647"/>
      <c r="E41" s="3647"/>
      <c r="F41" s="1730" t="str">
        <f>C10</f>
        <v>江苏省南通市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614"/>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6" customFormat="1" ht="21" thickBot="1">
      <c r="A45" s="3097" t="s">
        <v>2887</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2005</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2006</v>
      </c>
      <c r="B48" s="1684" t="s">
        <v>2007</v>
      </c>
      <c r="C48" s="1684" t="s">
        <v>2008</v>
      </c>
      <c r="D48" s="1684" t="s">
        <v>2009</v>
      </c>
      <c r="E48" s="1684" t="s">
        <v>2010</v>
      </c>
      <c r="F48" s="1684" t="s">
        <v>2011</v>
      </c>
      <c r="G48" s="1684" t="s">
        <v>2012</v>
      </c>
      <c r="H48" s="1684" t="s">
        <v>2013</v>
      </c>
      <c r="I48" s="1684" t="s">
        <v>2014</v>
      </c>
      <c r="J48" s="1770" t="s">
        <v>2015</v>
      </c>
      <c r="K48" s="1764" t="s">
        <v>2016</v>
      </c>
      <c r="L48" s="1764" t="s">
        <v>2017</v>
      </c>
      <c r="M48" s="1764" t="s">
        <v>2018</v>
      </c>
      <c r="N48" s="1684" t="s">
        <v>2019</v>
      </c>
      <c r="O48" s="1684" t="s">
        <v>2020</v>
      </c>
      <c r="P48" s="1684" t="s">
        <v>2021</v>
      </c>
      <c r="Q48" s="1697" t="s">
        <v>2022</v>
      </c>
      <c r="R48" s="1697" t="s">
        <v>2023</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9" t="s">
        <v>2330</v>
      </c>
      <c r="BA2" s="2360"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38144</v>
      </c>
      <c r="B3" s="22">
        <f>IF(C3="否",G5-AT5,G5)</f>
        <v>114432</v>
      </c>
      <c r="C3" s="23" t="s">
        <v>2979</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1"/>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114432</v>
      </c>
      <c r="H5" s="27">
        <f t="shared" ref="H5:AT5" si="0">SUM(H13:H641)</f>
        <v>114432</v>
      </c>
      <c r="I5" s="27">
        <f t="shared" si="0"/>
        <v>91545.600000000006</v>
      </c>
      <c r="J5" s="27">
        <f t="shared" si="0"/>
        <v>0</v>
      </c>
      <c r="K5" s="27">
        <f t="shared" si="0"/>
        <v>22886.399999999994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114432</v>
      </c>
      <c r="BA5" s="29">
        <f t="shared" si="1"/>
        <v>114432</v>
      </c>
      <c r="BB5" s="29">
        <f t="shared" si="1"/>
        <v>91545.600000000006</v>
      </c>
      <c r="BC5" s="29">
        <f t="shared" si="1"/>
        <v>22886.399999999994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38144</v>
      </c>
      <c r="F6" s="27" t="s">
        <v>1</v>
      </c>
      <c r="G6" s="27" t="s">
        <v>2</v>
      </c>
      <c r="H6" s="33">
        <f>SUMIF(I$12:AB$12,"总值",I6:AB6)</f>
        <v>38144</v>
      </c>
      <c r="I6" s="27">
        <f t="shared" ref="I6:AB6" si="2">ROUND($A$3*I5/$B$3,2)</f>
        <v>30515.200000000001</v>
      </c>
      <c r="J6" s="27">
        <f t="shared" si="2"/>
        <v>0</v>
      </c>
      <c r="K6" s="27">
        <f t="shared" si="2"/>
        <v>7628.8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38144</v>
      </c>
      <c r="AZ6" s="27" t="s">
        <v>3</v>
      </c>
      <c r="BA6" s="27">
        <f>ROUND($AY$6*BA5/$AZ$5,2)</f>
        <v>38144</v>
      </c>
      <c r="BB6" s="27">
        <f>ROUND($AY$6*BB5/$AZ$5,2)</f>
        <v>30515.200000000001</v>
      </c>
      <c r="BC6" s="27">
        <f t="shared" ref="BC6:BH6" si="4">ROUND($AY$6*BC5/$AZ$5,2)</f>
        <v>7628.8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6"/>
      <c r="AT8" s="2327"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42" t="s">
        <v>2980</v>
      </c>
      <c r="J9" s="51"/>
      <c r="K9" s="3042" t="s">
        <v>2980</v>
      </c>
      <c r="L9" s="51"/>
      <c r="M9" s="304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8"/>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42" t="s">
        <v>922</v>
      </c>
      <c r="J10" s="51"/>
      <c r="K10" s="3044" t="s">
        <v>2978</v>
      </c>
      <c r="L10" s="51"/>
      <c r="M10" s="3044"/>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2328</v>
      </c>
      <c r="AK10" s="2332"/>
      <c r="AL10" s="2313" t="s">
        <v>2318</v>
      </c>
      <c r="AM10" s="2314"/>
      <c r="AN10" s="26" t="s">
        <v>198</v>
      </c>
      <c r="AO10" s="61"/>
      <c r="AP10" s="1185" t="s">
        <v>199</v>
      </c>
      <c r="AQ10" s="1187"/>
      <c r="AR10" s="1185" t="s">
        <v>199</v>
      </c>
      <c r="AS10" s="1187"/>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3"/>
      <c r="J11" s="71"/>
      <c r="K11" s="3043"/>
      <c r="L11" s="71"/>
      <c r="M11" s="70"/>
      <c r="N11" s="71"/>
      <c r="O11" s="70"/>
      <c r="P11" s="71"/>
      <c r="Q11" s="70"/>
      <c r="R11" s="71"/>
      <c r="S11" s="70"/>
      <c r="T11" s="71"/>
      <c r="U11" s="70"/>
      <c r="V11" s="71"/>
      <c r="W11" s="70"/>
      <c r="X11" s="71"/>
      <c r="Y11" s="70"/>
      <c r="Z11" s="71"/>
      <c r="AA11" s="70"/>
      <c r="AB11" s="71"/>
      <c r="AC11" s="55"/>
      <c r="AD11" s="2333" t="s">
        <v>2327</v>
      </c>
      <c r="AE11" s="1000"/>
      <c r="AF11" s="2333" t="s">
        <v>2327</v>
      </c>
      <c r="AG11" s="1000"/>
      <c r="AH11" s="2333" t="s">
        <v>2326</v>
      </c>
      <c r="AI11" s="2334"/>
      <c r="AJ11" s="2333" t="s">
        <v>2326</v>
      </c>
      <c r="AK11" s="2332"/>
      <c r="AL11" s="998"/>
      <c r="AM11" s="1000"/>
      <c r="AN11" s="998"/>
      <c r="AO11" s="1000"/>
      <c r="AP11" s="1186"/>
      <c r="AQ11" s="1188"/>
      <c r="AR11" s="1186"/>
      <c r="AS11" s="1188"/>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7">
        <v>114432</v>
      </c>
      <c r="B13" s="3037"/>
      <c r="C13" s="3037"/>
      <c r="D13" s="3038" t="s">
        <v>1678</v>
      </c>
      <c r="E13" s="27">
        <f t="shared" ref="E13:E20" si="6">IF($C$3="是",ROUND($A$3*G13/$B$3,2),ROUND($A$3*(G13-AT13)/$B$3,2))</f>
        <v>38144</v>
      </c>
      <c r="F13" s="81"/>
      <c r="G13" s="82">
        <f t="shared" ref="G13:G20" si="7">H13+AC13+AT13</f>
        <v>114432</v>
      </c>
      <c r="H13" s="33">
        <f t="shared" ref="H13:H20" si="8">SUMIF(I$12:AB$12,"总值",I13:AB13)</f>
        <v>114432</v>
      </c>
      <c r="I13" s="3041">
        <f>A13*0.8</f>
        <v>91545.600000000006</v>
      </c>
      <c r="J13" s="3041"/>
      <c r="K13" s="3041">
        <f>A13-I13</f>
        <v>22886.399999999994</v>
      </c>
      <c r="L13" s="3041"/>
      <c r="M13" s="3041"/>
      <c r="N13" s="83"/>
      <c r="O13" s="83"/>
      <c r="P13" s="83"/>
      <c r="Q13" s="83"/>
      <c r="R13" s="83"/>
      <c r="S13" s="83"/>
      <c r="T13" s="83"/>
      <c r="U13" s="83"/>
      <c r="V13" s="83"/>
      <c r="W13" s="83"/>
      <c r="X13" s="83"/>
      <c r="Y13" s="83"/>
      <c r="Z13" s="83"/>
      <c r="AA13" s="83"/>
      <c r="AB13" s="83"/>
      <c r="AC13" s="27">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114432</v>
      </c>
      <c r="AW13" s="17">
        <f t="shared" si="10"/>
        <v>0</v>
      </c>
      <c r="AX13" s="17">
        <f t="shared" si="10"/>
        <v>0</v>
      </c>
      <c r="AY13" s="994">
        <f t="shared" ref="AY13:AY20" si="11">ROUND($AY$6*AZ13/$AZ$5,2)</f>
        <v>38144</v>
      </c>
      <c r="AZ13" s="27">
        <f t="shared" ref="AZ13:AZ20" si="12">BA13+BL13</f>
        <v>114432</v>
      </c>
      <c r="BA13" s="27">
        <f t="shared" ref="BA13:BA20" si="13">SUM(BB13:BK13)</f>
        <v>114432</v>
      </c>
      <c r="BB13" s="27">
        <f t="shared" ref="BB13:BB20" si="14">IF($D13="是",I13-J13,0)</f>
        <v>91545.600000000006</v>
      </c>
      <c r="BC13" s="27">
        <f t="shared" ref="BC13:BC20" si="15">IF($D13="是",K13-L13,0)</f>
        <v>22886.399999999994</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7"/>
      <c r="B14" s="3037"/>
      <c r="C14" s="3039"/>
      <c r="D14" s="3038"/>
      <c r="E14" s="27">
        <f t="shared" si="6"/>
        <v>0</v>
      </c>
      <c r="F14" s="81"/>
      <c r="G14" s="82">
        <f t="shared" si="7"/>
        <v>0</v>
      </c>
      <c r="H14" s="33">
        <f t="shared" si="8"/>
        <v>0</v>
      </c>
      <c r="I14" s="3041"/>
      <c r="J14" s="3041"/>
      <c r="K14" s="3041"/>
      <c r="L14" s="3041"/>
      <c r="M14" s="3041"/>
      <c r="N14" s="83"/>
      <c r="O14" s="83"/>
      <c r="P14" s="83"/>
      <c r="Q14" s="83"/>
      <c r="R14" s="83"/>
      <c r="S14" s="83"/>
      <c r="T14" s="83"/>
      <c r="U14" s="83"/>
      <c r="V14" s="83"/>
      <c r="W14" s="83"/>
      <c r="X14" s="83"/>
      <c r="Y14" s="83"/>
      <c r="Z14" s="83"/>
      <c r="AA14" s="83"/>
      <c r="AB14" s="83"/>
      <c r="AC14" s="27">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7"/>
      <c r="B15" s="3037"/>
      <c r="C15" s="3039"/>
      <c r="D15" s="3038"/>
      <c r="E15" s="27">
        <f t="shared" si="6"/>
        <v>0</v>
      </c>
      <c r="F15" s="81"/>
      <c r="G15" s="82">
        <f t="shared" si="7"/>
        <v>0</v>
      </c>
      <c r="H15" s="33">
        <f t="shared" si="8"/>
        <v>0</v>
      </c>
      <c r="I15" s="3041"/>
      <c r="J15" s="3041"/>
      <c r="K15" s="3041"/>
      <c r="L15" s="3041"/>
      <c r="M15" s="3041"/>
      <c r="N15" s="83"/>
      <c r="O15" s="83"/>
      <c r="P15" s="83"/>
      <c r="Q15" s="83"/>
      <c r="R15" s="83"/>
      <c r="S15" s="83"/>
      <c r="T15" s="83"/>
      <c r="U15" s="83"/>
      <c r="V15" s="83"/>
      <c r="W15" s="83"/>
      <c r="X15" s="83"/>
      <c r="Y15" s="83"/>
      <c r="Z15" s="83"/>
      <c r="AA15" s="83"/>
      <c r="AB15" s="83"/>
      <c r="AC15" s="27">
        <f t="shared" si="9"/>
        <v>0</v>
      </c>
      <c r="AD15" s="3045"/>
      <c r="AE15" s="3045"/>
      <c r="AF15" s="3045"/>
      <c r="AG15" s="3045"/>
      <c r="AH15" s="3045"/>
      <c r="AI15" s="3045"/>
      <c r="AJ15" s="3045"/>
      <c r="AK15" s="3045"/>
      <c r="AL15" s="3045"/>
      <c r="AM15" s="3045"/>
      <c r="AN15" s="3045"/>
      <c r="AO15" s="3045"/>
      <c r="AP15" s="3045"/>
      <c r="AQ15" s="3045"/>
      <c r="AR15" s="3045"/>
      <c r="AS15" s="3045"/>
      <c r="AT15" s="3046"/>
      <c r="AU15" s="3047"/>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7"/>
      <c r="B16" s="3037"/>
      <c r="C16" s="3039"/>
      <c r="D16" s="3038"/>
      <c r="E16" s="27">
        <f t="shared" si="6"/>
        <v>0</v>
      </c>
      <c r="F16" s="81"/>
      <c r="G16" s="82">
        <f t="shared" si="7"/>
        <v>0</v>
      </c>
      <c r="H16" s="33">
        <f t="shared" si="8"/>
        <v>0</v>
      </c>
      <c r="I16" s="3041"/>
      <c r="J16" s="3041"/>
      <c r="K16" s="3041"/>
      <c r="L16" s="3041"/>
      <c r="M16" s="3041"/>
      <c r="N16" s="83"/>
      <c r="O16" s="83"/>
      <c r="P16" s="83"/>
      <c r="Q16" s="83"/>
      <c r="R16" s="83"/>
      <c r="S16" s="83"/>
      <c r="T16" s="83"/>
      <c r="U16" s="83"/>
      <c r="V16" s="83"/>
      <c r="W16" s="83"/>
      <c r="X16" s="83"/>
      <c r="Y16" s="83"/>
      <c r="Z16" s="83"/>
      <c r="AA16" s="83"/>
      <c r="AB16" s="83"/>
      <c r="AC16" s="27">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7"/>
      <c r="B17" s="3037"/>
      <c r="C17" s="3039"/>
      <c r="D17" s="3038"/>
      <c r="E17" s="27">
        <f t="shared" si="6"/>
        <v>0</v>
      </c>
      <c r="F17" s="81"/>
      <c r="G17" s="82">
        <f t="shared" si="7"/>
        <v>0</v>
      </c>
      <c r="H17" s="33">
        <f t="shared" si="8"/>
        <v>0</v>
      </c>
      <c r="I17" s="3041"/>
      <c r="J17" s="3041"/>
      <c r="K17" s="3041"/>
      <c r="L17" s="3041"/>
      <c r="M17" s="3041"/>
      <c r="N17" s="83"/>
      <c r="O17" s="83"/>
      <c r="P17" s="83"/>
      <c r="Q17" s="83"/>
      <c r="R17" s="83"/>
      <c r="S17" s="83"/>
      <c r="T17" s="83"/>
      <c r="U17" s="83"/>
      <c r="V17" s="83"/>
      <c r="W17" s="83"/>
      <c r="X17" s="83"/>
      <c r="Y17" s="83"/>
      <c r="Z17" s="83"/>
      <c r="AA17" s="83"/>
      <c r="AB17" s="83"/>
      <c r="AC17" s="27">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0"/>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2"/>
      <c r="AM18" s="92"/>
      <c r="AN18" s="1393"/>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2"/>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2"/>
      <c r="N22" s="91"/>
      <c r="O22" s="91"/>
      <c r="P22" s="91"/>
      <c r="Q22" s="91"/>
      <c r="R22" s="91"/>
      <c r="S22" s="91"/>
      <c r="T22" s="91"/>
      <c r="U22" s="91"/>
      <c r="V22" s="91"/>
      <c r="W22" s="91"/>
      <c r="X22" s="91"/>
      <c r="Y22" s="91"/>
      <c r="Z22" s="91"/>
      <c r="AA22" s="91"/>
      <c r="AB22" s="91"/>
      <c r="AC22" s="87">
        <f t="shared" si="36"/>
        <v>0</v>
      </c>
      <c r="AD22" s="1362"/>
      <c r="AE22" s="92"/>
      <c r="AF22" s="1396"/>
      <c r="AG22" s="92"/>
      <c r="AH22" s="92"/>
      <c r="AI22" s="92"/>
      <c r="AJ22" s="92"/>
      <c r="AK22" s="92"/>
      <c r="AL22" s="1362"/>
      <c r="AM22" s="92"/>
      <c r="AN22" s="1362"/>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2"/>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2"/>
      <c r="AM23" s="92"/>
      <c r="AN23" s="1362"/>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2"/>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2"/>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2"/>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6"/>
      <c r="AG114" s="92"/>
      <c r="AH114" s="92"/>
      <c r="AI114" s="92"/>
      <c r="AJ114" s="92"/>
      <c r="AK114" s="92"/>
      <c r="AL114" s="1362"/>
      <c r="AM114" s="92"/>
      <c r="AN114" s="1362"/>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2"/>
      <c r="AM115" s="92"/>
      <c r="AN115" s="1362"/>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2"/>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2"/>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6"/>
      <c r="AG206" s="92"/>
      <c r="AH206" s="92"/>
      <c r="AI206" s="92"/>
      <c r="AJ206" s="92"/>
      <c r="AK206" s="92"/>
      <c r="AL206" s="1362"/>
      <c r="AM206" s="92"/>
      <c r="AN206" s="1362"/>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2"/>
      <c r="AM207" s="92"/>
      <c r="AN207" s="1362"/>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2"/>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2"/>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6"/>
      <c r="AG298" s="92"/>
      <c r="AH298" s="92"/>
      <c r="AI298" s="92"/>
      <c r="AJ298" s="92"/>
      <c r="AK298" s="92"/>
      <c r="AL298" s="1362"/>
      <c r="AM298" s="92"/>
      <c r="AN298" s="1362"/>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2"/>
      <c r="AM299" s="92"/>
      <c r="AN299" s="1362"/>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2"/>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2"/>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6"/>
      <c r="AG390" s="92"/>
      <c r="AH390" s="92"/>
      <c r="AI390" s="92"/>
      <c r="AJ390" s="92"/>
      <c r="AK390" s="92"/>
      <c r="AL390" s="1362"/>
      <c r="AM390" s="92"/>
      <c r="AN390" s="1362"/>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2"/>
      <c r="AM391" s="92"/>
      <c r="AN391" s="1362"/>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2"/>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6"/>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8.875"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8.875" style="2"/>
  </cols>
  <sheetData>
    <row r="1" spans="1:13" ht="14.25">
      <c r="A1" s="3655" t="s">
        <v>0</v>
      </c>
      <c r="B1" s="3655" t="s">
        <v>4</v>
      </c>
      <c r="C1" s="3655" t="s">
        <v>5</v>
      </c>
      <c r="D1" s="3656" t="s">
        <v>40</v>
      </c>
      <c r="E1" s="3656" t="s">
        <v>41</v>
      </c>
      <c r="F1" s="3656"/>
      <c r="G1" s="3656"/>
      <c r="H1" s="3656"/>
      <c r="I1" s="3656"/>
      <c r="J1" s="3656"/>
      <c r="K1" s="3656"/>
      <c r="L1" s="3656"/>
      <c r="M1" s="3656"/>
    </row>
    <row r="2" spans="1:13" ht="27" customHeight="1">
      <c r="A2" s="3655"/>
      <c r="B2" s="3655"/>
      <c r="C2" s="3655"/>
      <c r="D2" s="3656"/>
      <c r="E2" s="3656" t="s">
        <v>24</v>
      </c>
      <c r="F2" s="3656" t="s">
        <v>25</v>
      </c>
      <c r="G2" s="3656"/>
      <c r="H2" s="3656"/>
      <c r="I2" s="3656"/>
      <c r="J2" s="3656" t="s">
        <v>26</v>
      </c>
      <c r="K2" s="3656"/>
      <c r="L2" s="3656"/>
      <c r="M2" s="3656"/>
    </row>
    <row r="3" spans="1:13" ht="28.5">
      <c r="A3" s="3655"/>
      <c r="B3" s="3655"/>
      <c r="C3" s="3655"/>
      <c r="D3" s="3656"/>
      <c r="E3" s="365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56" t="s">
        <v>42</v>
      </c>
      <c r="B9" s="3656"/>
      <c r="C9" s="365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33"/>
  <sheetViews>
    <sheetView zoomScale="90" zoomScaleNormal="90" zoomScaleSheetLayoutView="90" zoomScalePageLayoutView="90" workbookViewId="0">
      <selection activeCell="C22" sqref="C22"/>
    </sheetView>
  </sheetViews>
  <sheetFormatPr defaultColWidth="9.125" defaultRowHeight="14.25"/>
  <cols>
    <col min="1" max="1" width="8.125" style="1984" customWidth="1"/>
    <col min="2" max="2" width="10.1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125" style="1984"/>
  </cols>
  <sheetData>
    <row r="1" spans="1:16" ht="18.75">
      <c r="A1" s="104" t="s">
        <v>202</v>
      </c>
      <c r="B1" s="1983"/>
      <c r="C1" s="1983"/>
      <c r="D1" s="1983"/>
      <c r="E1" s="1983"/>
      <c r="F1" s="1983"/>
      <c r="G1" s="1983"/>
      <c r="H1" s="1983"/>
      <c r="I1" s="1983"/>
      <c r="J1" s="1983"/>
      <c r="K1" s="1983"/>
      <c r="L1" s="1983"/>
    </row>
    <row r="2" spans="1:16" ht="15">
      <c r="A2" s="3666" t="s">
        <v>203</v>
      </c>
      <c r="B2" s="3666"/>
      <c r="C2" s="3666"/>
      <c r="D2" s="1974" t="s">
        <v>204</v>
      </c>
      <c r="E2" s="106" t="s">
        <v>205</v>
      </c>
      <c r="F2" s="1983"/>
      <c r="G2" s="1196"/>
      <c r="H2" s="1197"/>
      <c r="I2" s="1198" t="s">
        <v>856</v>
      </c>
      <c r="J2" s="1983"/>
      <c r="K2" s="1983"/>
      <c r="L2" s="1983"/>
    </row>
    <row r="3" spans="1:16" ht="15.75" thickBot="1">
      <c r="A3" s="3667" t="s">
        <v>206</v>
      </c>
      <c r="B3" s="3667"/>
      <c r="C3" s="3667"/>
      <c r="D3" s="107">
        <f>'数据-基础表'!AY6</f>
        <v>38144</v>
      </c>
      <c r="E3" s="107">
        <f>'数据-基础表'!AZ5</f>
        <v>114432</v>
      </c>
      <c r="F3" s="1983"/>
      <c r="G3" s="279" t="s">
        <v>857</v>
      </c>
      <c r="H3" s="274" t="s">
        <v>858</v>
      </c>
      <c r="I3" s="1975">
        <f>ROUND('数据-基础表'!B3/'数据-基础表'!A3,2)</f>
        <v>3</v>
      </c>
      <c r="J3" s="1983"/>
      <c r="K3" s="1983"/>
      <c r="L3" s="1983"/>
    </row>
    <row r="4" spans="1:16" ht="15">
      <c r="A4" s="3668"/>
      <c r="B4" s="3669"/>
      <c r="C4" s="3670"/>
      <c r="D4" s="108" t="s">
        <v>204</v>
      </c>
      <c r="E4" s="109" t="s">
        <v>205</v>
      </c>
      <c r="F4" s="1983"/>
      <c r="G4" s="1199"/>
      <c r="H4" s="274" t="s">
        <v>859</v>
      </c>
      <c r="I4" s="1975">
        <f>ROUND(SUMIF('数据-基础表'!I9:AS9,"地上",'数据-基础表'!I5:AS5)/'数据-基础表'!A3,2)</f>
        <v>3</v>
      </c>
      <c r="J4" s="1983"/>
      <c r="K4" s="1983"/>
      <c r="L4" s="1983"/>
    </row>
    <row r="5" spans="1:16">
      <c r="A5" s="110" t="s">
        <v>207</v>
      </c>
      <c r="B5" s="3671" t="s">
        <v>230</v>
      </c>
      <c r="C5" s="3671"/>
      <c r="D5" s="111">
        <f>ROUND($D$3*E5/$E$3,2)</f>
        <v>30515.200000000001</v>
      </c>
      <c r="E5" s="112">
        <f>SUMIF('数据-基础表'!$11:$11,"住宅",'数据-基础表'!$5:$5)</f>
        <v>91545.600000000006</v>
      </c>
      <c r="F5" s="1983"/>
      <c r="G5" s="279" t="s">
        <v>860</v>
      </c>
      <c r="H5" s="274" t="s">
        <v>858</v>
      </c>
      <c r="I5" s="1975">
        <f>ROUND(E31/D31,2)</f>
        <v>3</v>
      </c>
      <c r="J5" s="1983"/>
      <c r="K5" s="1983"/>
      <c r="L5" s="1983"/>
    </row>
    <row r="6" spans="1:16" ht="15" thickBot="1">
      <c r="A6" s="113"/>
      <c r="B6" s="3671" t="s">
        <v>208</v>
      </c>
      <c r="C6" s="3671"/>
      <c r="D6" s="111">
        <f>ROUND($D$3*E6/$E$3,2)</f>
        <v>7628.8</v>
      </c>
      <c r="E6" s="112">
        <f>E3-E5</f>
        <v>22886.399999999994</v>
      </c>
      <c r="F6" s="1983"/>
      <c r="G6" s="1199"/>
      <c r="H6" s="274" t="s">
        <v>859</v>
      </c>
      <c r="I6" s="1975">
        <f>ROUND(F31/D31,2)</f>
        <v>3</v>
      </c>
      <c r="J6" s="1983"/>
      <c r="K6" s="1983"/>
      <c r="L6" s="1983"/>
    </row>
    <row r="7" spans="1:16" ht="15">
      <c r="A7" s="3663"/>
      <c r="B7" s="3664"/>
      <c r="C7" s="3665"/>
      <c r="D7" s="108" t="s">
        <v>204</v>
      </c>
      <c r="E7" s="114" t="s">
        <v>231</v>
      </c>
      <c r="F7" s="1983"/>
      <c r="G7" s="1154" t="s">
        <v>1645</v>
      </c>
      <c r="H7" s="1155"/>
      <c r="I7" s="1845"/>
      <c r="J7" s="1983"/>
      <c r="K7" s="1983"/>
      <c r="L7" s="1983"/>
    </row>
    <row r="8" spans="1:16">
      <c r="A8" s="110" t="s">
        <v>209</v>
      </c>
      <c r="B8" s="115" t="s">
        <v>210</v>
      </c>
      <c r="C8" s="111" t="s">
        <v>211</v>
      </c>
      <c r="D8" s="111">
        <f t="shared" ref="D8:D15" si="0">ROUND($D$3*E8/$E$3,2)</f>
        <v>38144</v>
      </c>
      <c r="E8" s="116">
        <f>SUMIF('数据-基础表'!BB10:BK10,"地上",'数据-基础表'!BB5:BK5)</f>
        <v>114432</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2324</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2331</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38144</v>
      </c>
      <c r="E16" s="120">
        <f>SUM(E8:E15)</f>
        <v>114432</v>
      </c>
      <c r="F16" s="1983"/>
      <c r="G16" s="1985"/>
      <c r="H16" s="966" t="s">
        <v>219</v>
      </c>
      <c r="I16" s="967"/>
      <c r="J16" s="1983"/>
      <c r="K16" s="3657" t="s">
        <v>2564</v>
      </c>
      <c r="L16" s="3658"/>
      <c r="M16" s="3658"/>
      <c r="N16" s="3658"/>
      <c r="O16" s="3658"/>
      <c r="P16" s="3659"/>
    </row>
    <row r="17" spans="1:19" ht="15">
      <c r="A17" s="121" t="s">
        <v>216</v>
      </c>
      <c r="B17" s="122" t="s">
        <v>217</v>
      </c>
      <c r="C17" s="2297" t="s">
        <v>2312</v>
      </c>
      <c r="D17" s="108" t="s">
        <v>204</v>
      </c>
      <c r="E17" s="124" t="s">
        <v>205</v>
      </c>
      <c r="F17" s="125"/>
      <c r="G17" s="1364"/>
      <c r="H17" s="968" t="s">
        <v>218</v>
      </c>
      <c r="I17" s="969" t="s">
        <v>2311</v>
      </c>
      <c r="J17" s="1983"/>
      <c r="K17" s="3660" t="s">
        <v>2565</v>
      </c>
      <c r="L17" s="3661"/>
      <c r="M17" s="3662"/>
      <c r="N17" s="3660" t="s">
        <v>2566</v>
      </c>
      <c r="O17" s="3661"/>
      <c r="P17" s="3662"/>
      <c r="R17" s="2298" t="s">
        <v>2310</v>
      </c>
      <c r="S17" s="144"/>
    </row>
    <row r="18" spans="1:19" ht="15">
      <c r="A18" s="117"/>
      <c r="B18" s="128"/>
      <c r="C18" s="129"/>
      <c r="D18" s="2665"/>
      <c r="E18" s="130" t="s">
        <v>220</v>
      </c>
      <c r="F18" s="131" t="s">
        <v>221</v>
      </c>
      <c r="G18" s="1365" t="s">
        <v>222</v>
      </c>
      <c r="H18" s="970" t="s">
        <v>223</v>
      </c>
      <c r="I18" s="971" t="s">
        <v>224</v>
      </c>
      <c r="J18" s="1983"/>
      <c r="K18" s="2628" t="s">
        <v>2567</v>
      </c>
      <c r="L18" s="2629" t="s">
        <v>2568</v>
      </c>
      <c r="M18" s="2630" t="s">
        <v>2569</v>
      </c>
      <c r="N18" s="2628" t="s">
        <v>2567</v>
      </c>
      <c r="O18" s="2629" t="s">
        <v>2568</v>
      </c>
      <c r="P18" s="2630" t="s">
        <v>2569</v>
      </c>
      <c r="R18" s="2299" t="s">
        <v>2308</v>
      </c>
      <c r="S18" s="2299" t="s">
        <v>2309</v>
      </c>
    </row>
    <row r="19" spans="1:19">
      <c r="A19" s="133"/>
      <c r="B19" s="115" t="s">
        <v>225</v>
      </c>
      <c r="C19" s="3048" t="s">
        <v>3171</v>
      </c>
      <c r="D19" s="111">
        <f t="shared" ref="D19:D26" si="1">ROUND($D$3*E19/$E$3,2)</f>
        <v>30515.200000000001</v>
      </c>
      <c r="E19" s="134">
        <f t="shared" ref="E19:E26" si="2">SUM(F19:G19)</f>
        <v>91545.600000000006</v>
      </c>
      <c r="F19" s="135">
        <f>'数据-基础表'!I13</f>
        <v>91545.600000000006</v>
      </c>
      <c r="G19" s="1366"/>
      <c r="H19" s="972">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30515.200000000001</v>
      </c>
      <c r="S19" s="2300">
        <f t="shared" si="5"/>
        <v>91545.600000000006</v>
      </c>
    </row>
    <row r="20" spans="1:19">
      <c r="A20" s="138"/>
      <c r="B20" s="115" t="s">
        <v>226</v>
      </c>
      <c r="C20" s="3048" t="s">
        <v>3172</v>
      </c>
      <c r="D20" s="111">
        <f t="shared" si="1"/>
        <v>7628.8</v>
      </c>
      <c r="E20" s="134">
        <f t="shared" si="2"/>
        <v>22886.399999999994</v>
      </c>
      <c r="F20" s="135">
        <f>'数据-基础表'!K13</f>
        <v>22886.399999999994</v>
      </c>
      <c r="G20" s="1366"/>
      <c r="H20" s="972">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7628.8</v>
      </c>
      <c r="S20" s="2300">
        <f t="shared" si="5"/>
        <v>22886.399999999994</v>
      </c>
    </row>
    <row r="21" spans="1:19">
      <c r="A21" s="138"/>
      <c r="B21" s="115" t="s">
        <v>226</v>
      </c>
      <c r="C21" s="3048"/>
      <c r="D21" s="111">
        <f t="shared" si="1"/>
        <v>0</v>
      </c>
      <c r="E21" s="134">
        <f t="shared" si="2"/>
        <v>0</v>
      </c>
      <c r="F21" s="135"/>
      <c r="G21" s="1366"/>
      <c r="H21" s="972">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226</v>
      </c>
      <c r="C22" s="1363"/>
      <c r="D22" s="111">
        <f t="shared" si="1"/>
        <v>0</v>
      </c>
      <c r="E22" s="134">
        <f t="shared" si="2"/>
        <v>0</v>
      </c>
      <c r="F22" s="140"/>
      <c r="G22" s="1367"/>
      <c r="H22" s="972">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7"/>
      <c r="H23" s="972">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7"/>
      <c r="H24" s="972">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215</v>
      </c>
      <c r="D27" s="134">
        <f>SUM(D19:D26)</f>
        <v>38144</v>
      </c>
      <c r="E27" s="143">
        <f>IF(SUM(E19:E26)='数据-基础表'!BA5,SUM(E19:E26),IF(F27="地上面积有误","面积有误","地下面积有误"))</f>
        <v>114432</v>
      </c>
      <c r="F27" s="134">
        <f>IF(SUM(F19:F26)=E8,SUM(F19:F26),"地上面积有误")</f>
        <v>114432</v>
      </c>
      <c r="G27" s="112">
        <f>SUM(G19:G26)</f>
        <v>0</v>
      </c>
      <c r="H27" s="973">
        <f>SUM(H19:H26)</f>
        <v>0</v>
      </c>
      <c r="I27" s="974">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38144</v>
      </c>
      <c r="S27" s="274">
        <f>IF(SUM(S19:S26)=$E$3,SUM(S19:S26),SUM(S19:S26)&amp;"误差"&amp;ROUND(SUM(S19:S26)-E3,2))</f>
        <v>114432</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8"/>
      <c r="B31" s="1369" t="s">
        <v>229</v>
      </c>
      <c r="C31" s="2329" t="s">
        <v>2321</v>
      </c>
      <c r="D31" s="1370">
        <f>D27+D30</f>
        <v>38144</v>
      </c>
      <c r="E31" s="1370">
        <f>E27+E30</f>
        <v>114432</v>
      </c>
      <c r="F31" s="1371">
        <f>F27+F30</f>
        <v>114432</v>
      </c>
      <c r="G31" s="1372">
        <f>G27+G30</f>
        <v>0</v>
      </c>
      <c r="H31" s="1983"/>
      <c r="I31" s="1983"/>
      <c r="J31" s="1983"/>
      <c r="K31" s="1983"/>
      <c r="L31" s="1983"/>
    </row>
    <row r="32" spans="1:19">
      <c r="A32" s="1983"/>
      <c r="B32" s="2362" t="s">
        <v>2320</v>
      </c>
      <c r="C32" s="2670"/>
      <c r="D32" s="1199"/>
      <c r="E32" s="1199">
        <f>SUMIF(C19:C26,"*住宅*",E19:E26)</f>
        <v>91545.600000000006</v>
      </c>
      <c r="F32" s="1199"/>
      <c r="G32" s="1199"/>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I18" activePane="bottomRight" state="frozen"/>
      <selection pane="topRight" activeCell="D1" sqref="D1"/>
      <selection pane="bottomLeft" activeCell="A4" sqref="A4"/>
      <selection pane="bottomRight" activeCell="M16" sqref="M16"/>
    </sheetView>
  </sheetViews>
  <sheetFormatPr defaultColWidth="13.62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625" style="1201" customWidth="1"/>
    <col min="25" max="25" width="8.125" style="1201" customWidth="1"/>
    <col min="26" max="30" width="6.625" style="1201" hidden="1" customWidth="1"/>
    <col min="31" max="31" width="6.5" style="1201" customWidth="1"/>
    <col min="32" max="34" width="7.125" style="1201" customWidth="1"/>
    <col min="35" max="39" width="8" style="1201" customWidth="1"/>
    <col min="40" max="41" width="13.625" style="1997"/>
    <col min="42" max="42" width="0" style="1997" hidden="1" customWidth="1"/>
    <col min="43" max="83" width="13.625" style="1997"/>
    <col min="84" max="16384" width="13.625" style="1201"/>
  </cols>
  <sheetData>
    <row r="1" spans="1:83" ht="19.5" thickBot="1">
      <c r="A1" s="148" t="s">
        <v>234</v>
      </c>
      <c r="B1" s="1200"/>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4" customFormat="1" ht="15.75" thickBot="1">
      <c r="A2" s="149" t="s">
        <v>235</v>
      </c>
      <c r="B2" s="2337">
        <f>项目基本情况!D3</f>
        <v>43438</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4" customFormat="1" ht="15" thickBot="1">
      <c r="A3" s="1205"/>
      <c r="B3" s="1202"/>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0" customFormat="1" ht="54">
      <c r="A5" s="2303"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2826</v>
      </c>
      <c r="O5" s="163" t="s">
        <v>246</v>
      </c>
      <c r="P5" s="165" t="s">
        <v>247</v>
      </c>
      <c r="Q5" s="166" t="s">
        <v>248</v>
      </c>
      <c r="R5" s="167" t="s">
        <v>249</v>
      </c>
      <c r="S5" s="2644" t="s">
        <v>2570</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2322</v>
      </c>
      <c r="AI5" s="171" t="s">
        <v>2291</v>
      </c>
      <c r="AJ5" s="171" t="s">
        <v>258</v>
      </c>
      <c r="AK5" s="159" t="s">
        <v>259</v>
      </c>
      <c r="AL5" s="159" t="s">
        <v>260</v>
      </c>
      <c r="AM5" s="172" t="s">
        <v>261</v>
      </c>
      <c r="AN5" s="2414" t="s">
        <v>2371</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4" customFormat="1" ht="14.25">
      <c r="A6" s="2301" t="str">
        <f>'数据-汇总表'!C19</f>
        <v>住宅</v>
      </c>
      <c r="B6" s="2336" t="str">
        <f>IF(A6=0,"","经营性")</f>
        <v>经营性</v>
      </c>
      <c r="C6" s="173" t="s">
        <v>922</v>
      </c>
      <c r="D6" s="2307">
        <f>SUMIF(项目基本情况!D$15:I$15,C6,项目基本情况!D$18:I$18)</f>
        <v>70</v>
      </c>
      <c r="E6" s="2308">
        <f>IF(B6="","",SUMIF(项目基本情况!D$15:I$15,C6,项目基本情况!D$17:I$17))</f>
        <v>68828</v>
      </c>
      <c r="F6" s="174">
        <f>SUMIF(项目基本情况!D$15:I$15,C6,项目基本情况!D$19:I$19)</f>
        <v>69.56</v>
      </c>
      <c r="G6" s="175">
        <f>IF(ISERROR(ROUND(POWER(1+H6,D6-F6)*(POWER(1+H6,F6)-1)/(POWER(1+H6,D6)-1),3)),0,ROUND(POWER(1+H6,D6-F6)*(POWER(1+H6,F6)-1)/(POWER(1+H6,D6)-1),3))</f>
        <v>0.999</v>
      </c>
      <c r="H6" s="3049">
        <v>4.4999999999999998E-2</v>
      </c>
      <c r="I6" s="3049">
        <v>5.5E-2</v>
      </c>
      <c r="J6" s="176">
        <v>8.5000000000000006E-2</v>
      </c>
      <c r="K6" s="179">
        <f>SUMIF('数据-汇总表'!C$19:C$33,'数据-取费表'!A6,'数据-汇总表'!E$19:E$33)</f>
        <v>91545.600000000006</v>
      </c>
      <c r="L6" s="3050">
        <v>2000</v>
      </c>
      <c r="M6" s="177">
        <f t="shared" ref="M6:M14" si="0">ROUND(K6*L6/10000,0)</f>
        <v>18309</v>
      </c>
      <c r="N6" s="3051">
        <v>0</v>
      </c>
      <c r="O6" s="177">
        <f>IF($N$5="成新度","——",ROUND(M6*N6,0))</f>
        <v>0</v>
      </c>
      <c r="P6" s="178">
        <f>IF($N$5="成新度","——",M6-O6)</f>
        <v>18309</v>
      </c>
      <c r="Q6" s="3052">
        <v>0.1</v>
      </c>
      <c r="R6" s="179">
        <f>SUMIF('数据-汇总表'!C$19:C$33,A6,'数据-汇总表'!R$19:R$33)</f>
        <v>30515.200000000001</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0">
        <f ca="1">IF(AN6="",0,SUMIF(INDIRECT("'"&amp;AN6&amp;"'"&amp;"!E:E"),$AE$5,INDIRECT("'"&amp;AN6&amp;"'"&amp;"!F:F")))</f>
        <v>0</v>
      </c>
      <c r="AF6" s="141"/>
      <c r="AG6" s="1211">
        <f>IF(AF6="",0,AE6-AF6)</f>
        <v>0</v>
      </c>
      <c r="AH6" s="3180"/>
      <c r="AI6" s="187"/>
      <c r="AJ6" s="188"/>
      <c r="AK6" s="189"/>
      <c r="AL6" s="190"/>
      <c r="AM6" s="3063"/>
      <c r="AN6" s="2415"/>
      <c r="AO6" s="1999"/>
      <c r="AP6" s="1202">
        <f>ROUND(1-1/(1+H6)^F6,3)</f>
        <v>0.95299999999999996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4" customFormat="1" ht="14.25">
      <c r="A7" s="2301" t="str">
        <f>'数据-汇总表'!C20</f>
        <v>商业</v>
      </c>
      <c r="B7" s="2336" t="str">
        <f t="shared" ref="B7:B13" si="1">IF(A7=0,"","经营性")</f>
        <v>经营性</v>
      </c>
      <c r="C7" s="173" t="s">
        <v>2978</v>
      </c>
      <c r="D7" s="2307">
        <f>SUMIF(项目基本情况!D$15:I$15,C7,项目基本情况!D$18:I$18)</f>
        <v>40</v>
      </c>
      <c r="E7" s="2308">
        <f>IF(B7="","",SUMIF(项目基本情况!D$15:I$15,C7,项目基本情况!D$17:I$17))</f>
        <v>57870</v>
      </c>
      <c r="F7" s="174">
        <f>SUMIF(项目基本情况!D$15:I$15,C7,项目基本情况!D$19:I$19)</f>
        <v>39.53</v>
      </c>
      <c r="G7" s="175">
        <f t="shared" ref="G7:G11" si="2">IF(ISERROR(ROUND(POWER(1+H7,D7-F7)*(POWER(1+H7,F7)-1)/(POWER(1+H7,D7)-1),3)),0,ROUND(POWER(1+H7,D7-F7)*(POWER(1+H7,F7)-1)/(POWER(1+H7,D7)-1),3))</f>
        <v>0.996</v>
      </c>
      <c r="H7" s="3049">
        <v>0.05</v>
      </c>
      <c r="I7" s="3049">
        <v>0.06</v>
      </c>
      <c r="J7" s="176">
        <v>8.5000000000000006E-2</v>
      </c>
      <c r="K7" s="179">
        <f>SUMIF('数据-汇总表'!C$19:C$33,'数据-取费表'!A7,'数据-汇总表'!E$19:E$33)</f>
        <v>22886.399999999994</v>
      </c>
      <c r="L7" s="3050">
        <v>2000</v>
      </c>
      <c r="M7" s="177">
        <f t="shared" si="0"/>
        <v>4577</v>
      </c>
      <c r="N7" s="3051">
        <v>0</v>
      </c>
      <c r="O7" s="177">
        <f t="shared" ref="O7:O14" si="3">IF($N$5="成新度","——",ROUND(M7*N7,0))</f>
        <v>0</v>
      </c>
      <c r="P7" s="178">
        <f t="shared" ref="P7:P14" si="4">IF($N$5="成新度","——",M7-O7)</f>
        <v>4577</v>
      </c>
      <c r="Q7" s="3052">
        <v>0.15</v>
      </c>
      <c r="R7" s="179">
        <f>SUMIF('数据-汇总表'!C$19:C$33,A7,'数据-汇总表'!R$19:R$33)</f>
        <v>7628.8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1.7</v>
      </c>
      <c r="V7" s="181">
        <v>0.03</v>
      </c>
      <c r="W7" s="181">
        <v>0.1</v>
      </c>
      <c r="X7" s="2320"/>
      <c r="Y7" s="182">
        <v>1</v>
      </c>
      <c r="Z7" s="183"/>
      <c r="AA7" s="176"/>
      <c r="AB7" s="176"/>
      <c r="AC7" s="2323"/>
      <c r="AD7" s="184"/>
      <c r="AE7" s="970">
        <f t="shared" ref="AE7:AE13" ca="1" si="6">IF(AN7="",0,SUMIF(INDIRECT("'"&amp;AN7&amp;"'"&amp;"!E:E"),$AE$5,INDIRECT("'"&amp;AN7&amp;"'"&amp;"!F:F")))</f>
        <v>38.03</v>
      </c>
      <c r="AF7" s="141"/>
      <c r="AG7" s="1211">
        <f t="shared" ref="AG7:AG13" si="7">IF(AF7="",0,AE7-AF7)</f>
        <v>0</v>
      </c>
      <c r="AH7" s="141"/>
      <c r="AI7" s="187">
        <v>365</v>
      </c>
      <c r="AJ7" s="188"/>
      <c r="AK7" s="189">
        <v>1.4999999999999999E-2</v>
      </c>
      <c r="AL7" s="190">
        <v>1.5E-3</v>
      </c>
      <c r="AM7" s="2413">
        <v>0.01</v>
      </c>
      <c r="AN7" s="2415" t="s">
        <v>2981</v>
      </c>
      <c r="AO7" s="1999"/>
      <c r="AP7" s="1202">
        <f t="shared" ref="AP7:AP13" si="8">ROUND(1-1/(1+H7)^F7,3)</f>
        <v>0.85499999999999998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4"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49"/>
      <c r="I8" s="3049"/>
      <c r="J8" s="176"/>
      <c r="K8" s="179">
        <f>SUMIF('数据-汇总表'!C$19:C$33,'数据-取费表'!A8,'数据-汇总表'!E$19:E$33)</f>
        <v>0</v>
      </c>
      <c r="L8" s="3050"/>
      <c r="M8" s="177">
        <f>ROUND(K8*L8/10000,0)</f>
        <v>0</v>
      </c>
      <c r="N8" s="3051"/>
      <c r="O8" s="177">
        <f t="shared" si="3"/>
        <v>0</v>
      </c>
      <c r="P8" s="178">
        <f t="shared" si="4"/>
        <v>0</v>
      </c>
      <c r="Q8" s="3052"/>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0">
        <f t="shared" ca="1" si="6"/>
        <v>0</v>
      </c>
      <c r="AF8" s="141"/>
      <c r="AG8" s="1211">
        <f t="shared" si="7"/>
        <v>0</v>
      </c>
      <c r="AH8" s="141"/>
      <c r="AI8" s="187"/>
      <c r="AJ8" s="188"/>
      <c r="AK8" s="189"/>
      <c r="AL8" s="190"/>
      <c r="AM8" s="2413"/>
      <c r="AN8" s="2415"/>
      <c r="AO8" s="1999"/>
      <c r="AP8" s="1202">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4"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0">
        <f t="shared" ca="1" si="6"/>
        <v>0</v>
      </c>
      <c r="AF9" s="141"/>
      <c r="AG9" s="1211">
        <f t="shared" si="7"/>
        <v>0</v>
      </c>
      <c r="AH9" s="141"/>
      <c r="AI9" s="187"/>
      <c r="AJ9" s="188"/>
      <c r="AK9" s="189"/>
      <c r="AL9" s="190"/>
      <c r="AM9" s="2413"/>
      <c r="AN9" s="2415"/>
      <c r="AO9" s="1999"/>
      <c r="AP9" s="1202">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4"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0">
        <f t="shared" ca="1" si="6"/>
        <v>0</v>
      </c>
      <c r="AF10" s="141"/>
      <c r="AG10" s="1211">
        <f t="shared" si="7"/>
        <v>0</v>
      </c>
      <c r="AH10" s="141"/>
      <c r="AI10" s="187"/>
      <c r="AJ10" s="188"/>
      <c r="AK10" s="189"/>
      <c r="AL10" s="190"/>
      <c r="AM10" s="2413"/>
      <c r="AN10" s="2415"/>
      <c r="AO10" s="1999"/>
      <c r="AP10" s="1202">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4"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0">
        <f t="shared" ca="1" si="6"/>
        <v>0</v>
      </c>
      <c r="AF11" s="141"/>
      <c r="AG11" s="1211">
        <f t="shared" si="7"/>
        <v>0</v>
      </c>
      <c r="AH11" s="141"/>
      <c r="AI11" s="187"/>
      <c r="AJ11" s="188"/>
      <c r="AK11" s="196"/>
      <c r="AL11" s="197"/>
      <c r="AM11" s="1816"/>
      <c r="AN11" s="2415"/>
      <c r="AO11" s="1999"/>
      <c r="AP11" s="1202">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4"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0">
        <f t="shared" ca="1" si="6"/>
        <v>0</v>
      </c>
      <c r="AF12" s="141"/>
      <c r="AG12" s="1211">
        <f t="shared" si="7"/>
        <v>0</v>
      </c>
      <c r="AH12" s="141"/>
      <c r="AI12" s="187"/>
      <c r="AJ12" s="188"/>
      <c r="AK12" s="196"/>
      <c r="AL12" s="197"/>
      <c r="AM12" s="1816"/>
      <c r="AN12" s="2415"/>
      <c r="AO12" s="1999"/>
      <c r="AP12" s="1202">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4"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0">
        <f t="shared" ca="1" si="6"/>
        <v>0</v>
      </c>
      <c r="AF13" s="141"/>
      <c r="AG13" s="1211">
        <f t="shared" si="7"/>
        <v>0</v>
      </c>
      <c r="AH13" s="141"/>
      <c r="AI13" s="187"/>
      <c r="AJ13" s="188"/>
      <c r="AK13" s="189"/>
      <c r="AL13" s="190"/>
      <c r="AM13" s="2413"/>
      <c r="AN13" s="2415"/>
      <c r="AO13" s="1999"/>
      <c r="AP13" s="1202">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4" customFormat="1" ht="14.25">
      <c r="A14" s="2302" t="s">
        <v>2313</v>
      </c>
      <c r="B14" s="2305" t="s">
        <v>1679</v>
      </c>
      <c r="C14" s="2306" t="s">
        <v>2313</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2"/>
      <c r="V14" s="2319"/>
      <c r="W14" s="2319"/>
      <c r="X14" s="2320"/>
      <c r="Y14" s="2321"/>
      <c r="Z14" s="136"/>
      <c r="AA14" s="2322"/>
      <c r="AB14" s="2322"/>
      <c r="AC14" s="2323"/>
      <c r="AD14" s="2320"/>
      <c r="AE14" s="970"/>
      <c r="AF14" s="2295"/>
      <c r="AG14" s="1211"/>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4" customFormat="1" ht="27">
      <c r="A15" s="2311" t="s">
        <v>2315</v>
      </c>
      <c r="B15" s="2305" t="s">
        <v>1679</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2"/>
      <c r="V15" s="2319"/>
      <c r="W15" s="2319"/>
      <c r="X15" s="2320"/>
      <c r="Y15" s="2321"/>
      <c r="Z15" s="136"/>
      <c r="AA15" s="2322"/>
      <c r="AB15" s="2322"/>
      <c r="AC15" s="2323"/>
      <c r="AD15" s="2320"/>
      <c r="AE15" s="970"/>
      <c r="AF15" s="2295"/>
      <c r="AG15" s="1211"/>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4" customFormat="1" ht="15.75" thickBot="1">
      <c r="A16" s="198" t="s">
        <v>262</v>
      </c>
      <c r="B16" s="199"/>
      <c r="C16" s="200"/>
      <c r="D16" s="201"/>
      <c r="E16" s="199"/>
      <c r="F16" s="199"/>
      <c r="G16" s="202">
        <f>ROUND(SUMPRODUCT(G6:G13,K6:K13)/SUMPRODUCT((G6:G13&gt;0)*(K6:K13)),3)</f>
        <v>0.998</v>
      </c>
      <c r="H16" s="203">
        <f>ROUND(SUMPRODUCT(H6:H13,K6:K13)/SUMPRODUCT((H6:H13&gt;0)*(K6:K13)),3)</f>
        <v>4.5999999999999999E-2</v>
      </c>
      <c r="I16" s="204"/>
      <c r="J16" s="204"/>
      <c r="K16" s="205">
        <f>SUM(K6:K15)</f>
        <v>114432</v>
      </c>
      <c r="L16" s="206">
        <f>ROUND(M16*10000/SUM(K6:K14),0)</f>
        <v>2000</v>
      </c>
      <c r="M16" s="206">
        <f>SUM(M6:M14)</f>
        <v>22886</v>
      </c>
      <c r="N16" s="207">
        <f>ROUND(SUMPRODUCT(M6:M14,N6:N14)/M16,3)</f>
        <v>0</v>
      </c>
      <c r="O16" s="206">
        <f>SUM(O6:O14)</f>
        <v>0</v>
      </c>
      <c r="P16" s="206">
        <f>SUM(P6:P14)</f>
        <v>22886</v>
      </c>
      <c r="Q16" s="208">
        <f>ROUND(SUMPRODUCT(Q6:Q13,K6:K13)/SUMPRODUCT((Q6:Q13&gt;0)*(K6:K13)),2)</f>
        <v>0.11</v>
      </c>
      <c r="R16" s="2310">
        <f>SUM(R6:R13)</f>
        <v>38144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2">
        <f>ROUND(SUMPRODUCT(AP6:AP13,K6:K13)/SUMPRODUCT((AP6:AP13&gt;0)*(K6:K13)),3)</f>
        <v>0.93300000000000005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2"/>
      <c r="B17" s="1200"/>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2"/>
      <c r="C18" s="1991"/>
      <c r="D18" s="1992"/>
      <c r="E18" s="1991"/>
      <c r="F18" s="1991"/>
      <c r="G18" s="1991"/>
      <c r="H18" s="1991"/>
      <c r="I18" s="1991"/>
      <c r="J18" s="1991"/>
      <c r="K18" s="3581" t="s">
        <v>3392</v>
      </c>
      <c r="L18" s="3672" t="s">
        <v>3393</v>
      </c>
      <c r="M18" s="3672"/>
      <c r="N18" s="3672"/>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2333</v>
      </c>
      <c r="D19" s="1992"/>
      <c r="E19" s="1991"/>
      <c r="F19" s="1991"/>
      <c r="G19" s="1991"/>
      <c r="H19" s="1991"/>
      <c r="I19" s="1991"/>
      <c r="J19" s="1991"/>
      <c r="K19" s="3582"/>
      <c r="L19" s="3583" t="s">
        <v>3394</v>
      </c>
      <c r="M19" s="3583" t="s">
        <v>3395</v>
      </c>
      <c r="N19" s="3583" t="s">
        <v>3359</v>
      </c>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1.5</v>
      </c>
      <c r="C20" s="2363" t="s">
        <v>2332</v>
      </c>
      <c r="D20" s="1992"/>
      <c r="E20" s="1991"/>
      <c r="F20" s="1991"/>
      <c r="G20" s="1991"/>
      <c r="H20" s="1991"/>
      <c r="I20" s="1991"/>
      <c r="J20" s="1991"/>
      <c r="K20" s="3584" t="s">
        <v>3396</v>
      </c>
      <c r="L20" s="3584" t="s">
        <v>3397</v>
      </c>
      <c r="M20" s="3584" t="s">
        <v>3398</v>
      </c>
      <c r="N20" s="3584" t="s">
        <v>3399</v>
      </c>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5"/>
      <c r="B25" s="1202"/>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3" customFormat="1" ht="27.75">
      <c r="A27" s="226" t="s">
        <v>2335</v>
      </c>
      <c r="B27" s="227">
        <v>90</v>
      </c>
      <c r="C27" s="2366" t="s">
        <v>2339</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3" customFormat="1" ht="27.75">
      <c r="A28" s="228" t="s">
        <v>2336</v>
      </c>
      <c r="B28" s="229">
        <v>90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3" customFormat="1" ht="28.5" thickBot="1">
      <c r="A29" s="231" t="s">
        <v>2334</v>
      </c>
      <c r="B29" s="232">
        <v>0</v>
      </c>
      <c r="C29" s="1551" t="s">
        <v>2337</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3" customFormat="1" ht="27">
      <c r="A30" s="235" t="s">
        <v>273</v>
      </c>
      <c r="B30" s="976">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3"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3" customFormat="1" ht="27.75" thickBot="1">
      <c r="A32" s="237" t="s">
        <v>275</v>
      </c>
      <c r="B32" s="1376">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3" customFormat="1" ht="14.25">
      <c r="A33" s="226" t="s">
        <v>278</v>
      </c>
      <c r="B33" s="1377">
        <v>0.03</v>
      </c>
      <c r="C33" s="2364" t="s">
        <v>2888</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0.03</v>
      </c>
      <c r="C34" s="2364" t="s">
        <v>2889</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2890</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2891</v>
      </c>
      <c r="D36" s="1989"/>
      <c r="E36" s="1200"/>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2892</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0.01</v>
      </c>
      <c r="C38" s="2364" t="s">
        <v>2892</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2454</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2455</v>
      </c>
      <c r="B40" s="2504">
        <f ca="1">存贷款利率!E2</f>
        <v>4.7500000000000001E-2</v>
      </c>
      <c r="C40" s="2364" t="s">
        <v>2338</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7" t="s">
        <v>283</v>
      </c>
      <c r="B42" s="240">
        <v>0.05</v>
      </c>
      <c r="C42" s="312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7"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2893</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2894</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2895</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v>0</v>
      </c>
      <c r="C47" s="3098" t="s">
        <v>2896</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3585">
        <v>0.04</v>
      </c>
      <c r="C48" s="3099" t="s">
        <v>2897</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99" t="s">
        <v>2898</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6</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0" t="s">
        <v>1096</v>
      </c>
      <c r="C53" s="3100" t="s">
        <v>2899</v>
      </c>
      <c r="D53" s="3101" t="s">
        <v>2900</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2901</v>
      </c>
      <c r="B54" s="186">
        <v>6</v>
      </c>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2902</v>
      </c>
      <c r="B55" s="186">
        <v>4</v>
      </c>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2903</v>
      </c>
      <c r="B56" s="186">
        <v>2</v>
      </c>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2904</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2905</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2906</v>
      </c>
      <c r="B59" s="186"/>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2907</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2908</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2909</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2910</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mergeCells count="1">
    <mergeCell ref="L18:N18"/>
  </mergeCells>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32',21);"/>
  </hyperlinks>
  <pageMargins left="0.7" right="0.7" top="0.75" bottom="0.75" header="0.3" footer="0.3"/>
  <pageSetup paperSize="9" scale="24" fitToHeight="0" orientation="portrait"/>
  <legacyDrawing r:id="rId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8.875"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625" style="2023" customWidth="1"/>
    <col min="10" max="10" width="2.625" style="2024" customWidth="1"/>
    <col min="11" max="11" width="11.875" style="2022" customWidth="1"/>
    <col min="12" max="12" width="16.625" style="2023" customWidth="1"/>
    <col min="13" max="13" width="2.625" style="2024" customWidth="1"/>
    <col min="14" max="14" width="11.875" style="2022" customWidth="1"/>
    <col min="15" max="15" width="16.625" style="2023" customWidth="1"/>
    <col min="16" max="16" width="2.625" style="2024" customWidth="1"/>
    <col min="17" max="17" width="11.875" style="2022" customWidth="1"/>
    <col min="18" max="18" width="16.625" style="2025" customWidth="1"/>
    <col min="19" max="16384" width="8.875" style="2007"/>
  </cols>
  <sheetData>
    <row r="1" spans="1:18" s="2006" customFormat="1" ht="19.5" thickBot="1">
      <c r="A1" s="3673" t="s">
        <v>1663</v>
      </c>
      <c r="B1" s="3674"/>
      <c r="C1" s="3674"/>
      <c r="D1" s="3674"/>
      <c r="E1" s="3674"/>
      <c r="F1" s="3674"/>
      <c r="G1" s="3674"/>
      <c r="H1" s="2001"/>
      <c r="I1" s="2002"/>
      <c r="J1" s="2003"/>
      <c r="K1" s="2001"/>
      <c r="L1" s="2002"/>
      <c r="M1" s="2003"/>
      <c r="N1" s="2001"/>
      <c r="O1" s="2002"/>
      <c r="P1" s="2003"/>
      <c r="Q1" s="2004"/>
      <c r="R1" s="2005"/>
    </row>
    <row r="2" spans="1:18" ht="14.25" thickBot="1">
      <c r="A2" s="1219"/>
      <c r="B2" s="1220"/>
      <c r="C2" s="1221" t="s">
        <v>1664</v>
      </c>
      <c r="D2" s="1222"/>
      <c r="E2" s="1223"/>
      <c r="F2" s="1224"/>
      <c r="G2" s="1221" t="s">
        <v>1665</v>
      </c>
      <c r="H2" s="2007"/>
      <c r="I2" s="2007"/>
      <c r="J2" s="2007"/>
      <c r="K2" s="2007"/>
      <c r="L2" s="2007"/>
      <c r="M2" s="2007"/>
      <c r="N2" s="2007"/>
      <c r="O2" s="2007"/>
      <c r="P2" s="2007"/>
      <c r="Q2" s="2007"/>
      <c r="R2" s="2007"/>
    </row>
    <row r="3" spans="1:18" ht="54">
      <c r="A3" s="1225" t="s">
        <v>1666</v>
      </c>
      <c r="B3" s="1226" t="s">
        <v>1653</v>
      </c>
      <c r="C3" s="3105" t="s">
        <v>2917</v>
      </c>
      <c r="D3" s="2008"/>
      <c r="E3" s="1227" t="s">
        <v>1666</v>
      </c>
      <c r="F3" s="1228" t="s">
        <v>1654</v>
      </c>
      <c r="G3" s="3109" t="s">
        <v>2916</v>
      </c>
      <c r="H3" s="2007"/>
      <c r="I3" s="2007"/>
      <c r="J3" s="2007"/>
      <c r="K3" s="2007"/>
      <c r="L3" s="2007"/>
      <c r="M3" s="2007"/>
      <c r="N3" s="2007"/>
      <c r="O3" s="2007"/>
      <c r="P3" s="2007"/>
      <c r="Q3" s="2007"/>
      <c r="R3" s="2007"/>
    </row>
    <row r="4" spans="1:18" ht="41.25">
      <c r="A4" s="1227"/>
      <c r="B4" s="1229" t="s">
        <v>1667</v>
      </c>
      <c r="C4" s="3106" t="s">
        <v>2918</v>
      </c>
      <c r="D4" s="2008"/>
      <c r="E4" s="1230"/>
      <c r="F4" s="1231" t="s">
        <v>1668</v>
      </c>
      <c r="G4" s="3107" t="s">
        <v>2913</v>
      </c>
      <c r="H4" s="2007"/>
      <c r="I4" s="2007"/>
      <c r="J4" s="2007"/>
      <c r="K4" s="2007"/>
      <c r="L4" s="2007"/>
      <c r="M4" s="2007"/>
      <c r="N4" s="2007"/>
      <c r="O4" s="2007"/>
      <c r="P4" s="2007"/>
      <c r="Q4" s="2007"/>
      <c r="R4" s="2007"/>
    </row>
    <row r="5" spans="1:18" ht="41.25">
      <c r="A5" s="1227"/>
      <c r="B5" s="1229" t="s">
        <v>1669</v>
      </c>
      <c r="C5" s="3106" t="s">
        <v>2919</v>
      </c>
      <c r="D5" s="2008"/>
      <c r="E5" s="1230"/>
      <c r="F5" s="1229" t="s">
        <v>2544</v>
      </c>
      <c r="G5" s="3107" t="s">
        <v>2914</v>
      </c>
      <c r="H5" s="2007"/>
      <c r="I5" s="2007"/>
      <c r="J5" s="2007"/>
      <c r="K5" s="2007"/>
      <c r="L5" s="2007"/>
      <c r="M5" s="2007"/>
      <c r="N5" s="2007"/>
      <c r="O5" s="2007"/>
      <c r="P5" s="2007"/>
      <c r="Q5" s="2007"/>
      <c r="R5" s="2007"/>
    </row>
    <row r="6" spans="1:18" ht="54">
      <c r="A6" s="1227"/>
      <c r="B6" s="1229" t="s">
        <v>1655</v>
      </c>
      <c r="C6" s="3107" t="s">
        <v>2913</v>
      </c>
      <c r="D6" s="2008"/>
      <c r="E6" s="1230"/>
      <c r="F6" s="1229" t="s">
        <v>2545</v>
      </c>
      <c r="G6" s="3107" t="s">
        <v>2911</v>
      </c>
      <c r="H6" s="2007"/>
      <c r="I6" s="2007"/>
      <c r="J6" s="2007"/>
      <c r="K6" s="2007"/>
      <c r="L6" s="2007"/>
      <c r="M6" s="2007"/>
      <c r="N6" s="2007"/>
      <c r="O6" s="2007"/>
      <c r="P6" s="2007"/>
      <c r="Q6" s="2007"/>
      <c r="R6" s="2007"/>
    </row>
    <row r="7" spans="1:18" ht="41.25" thickBot="1">
      <c r="A7" s="1227"/>
      <c r="B7" s="1229" t="s">
        <v>2544</v>
      </c>
      <c r="C7" s="3107" t="s">
        <v>2914</v>
      </c>
      <c r="D7" s="2009"/>
      <c r="E7" s="1232"/>
      <c r="F7" s="1233" t="s">
        <v>1670</v>
      </c>
      <c r="G7" s="3110" t="s">
        <v>2915</v>
      </c>
      <c r="H7" s="2007"/>
      <c r="I7" s="2007"/>
      <c r="J7" s="2007"/>
      <c r="K7" s="2007"/>
      <c r="L7" s="2007"/>
      <c r="M7" s="2007"/>
      <c r="N7" s="2007"/>
      <c r="O7" s="2007"/>
      <c r="P7" s="2007"/>
      <c r="Q7" s="2007"/>
      <c r="R7" s="2007"/>
    </row>
    <row r="8" spans="1:18" ht="27">
      <c r="A8" s="1227"/>
      <c r="B8" s="1229" t="s">
        <v>2545</v>
      </c>
      <c r="C8" s="3107" t="s">
        <v>2911</v>
      </c>
      <c r="D8" s="2009"/>
      <c r="E8" s="2009"/>
      <c r="F8" s="1552"/>
      <c r="G8" s="1552"/>
      <c r="H8" s="2007"/>
      <c r="I8" s="2007"/>
      <c r="J8" s="2007"/>
      <c r="K8" s="2007"/>
      <c r="L8" s="2007"/>
      <c r="M8" s="2007"/>
      <c r="N8" s="2007"/>
      <c r="O8" s="2007"/>
      <c r="P8" s="2007"/>
      <c r="Q8" s="2007"/>
      <c r="R8" s="2007"/>
    </row>
    <row r="9" spans="1:18" ht="40.5">
      <c r="A9" s="1227"/>
      <c r="B9" s="1229" t="s">
        <v>1656</v>
      </c>
      <c r="C9" s="3106" t="s">
        <v>2912</v>
      </c>
      <c r="D9" s="2008"/>
      <c r="E9" s="2009"/>
      <c r="F9" s="1552"/>
      <c r="G9" s="1552"/>
      <c r="H9" s="2007"/>
      <c r="I9" s="2007"/>
      <c r="J9" s="2007"/>
      <c r="K9" s="2007"/>
      <c r="L9" s="2007"/>
      <c r="M9" s="2007"/>
      <c r="N9" s="2007"/>
      <c r="O9" s="2007"/>
      <c r="P9" s="2007"/>
      <c r="Q9" s="2007"/>
      <c r="R9" s="2007"/>
    </row>
    <row r="10" spans="1:18" s="2015" customFormat="1" ht="15" thickBot="1">
      <c r="A10" s="1234"/>
      <c r="B10" s="1235" t="s">
        <v>1671</v>
      </c>
      <c r="C10" s="3108"/>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2"/>
      <c r="E13" s="2601"/>
      <c r="F13" s="2601"/>
      <c r="G13" s="2601"/>
    </row>
    <row r="14" spans="1:18" ht="14.25" thickBot="1">
      <c r="A14" s="1236"/>
      <c r="B14" s="1237"/>
      <c r="C14" s="1238" t="s">
        <v>1664</v>
      </c>
      <c r="D14" s="2008"/>
      <c r="E14" s="1239"/>
      <c r="F14" s="1239"/>
      <c r="G14" s="1221" t="s">
        <v>1665</v>
      </c>
    </row>
    <row r="15" spans="1:18" ht="54">
      <c r="A15" s="2611" t="s">
        <v>1657</v>
      </c>
      <c r="B15" s="1240" t="s">
        <v>1653</v>
      </c>
      <c r="C15" s="1241" t="str">
        <f>C3</f>
        <v>估价对象周边居住用地比例、居住小区规模和社区发展完善程度，综合评价居住社区成熟度一般</v>
      </c>
      <c r="D15" s="2008"/>
      <c r="E15" s="2608" t="s">
        <v>1658</v>
      </c>
      <c r="F15" s="1240" t="s">
        <v>1673</v>
      </c>
      <c r="G15" s="1242" t="str">
        <f>G3</f>
        <v>估价对象位于XX开发区，园区建设成熟度XX，产业集聚程度XX</v>
      </c>
    </row>
    <row r="16" spans="1:18" ht="40.5">
      <c r="A16" s="2612"/>
      <c r="B16" s="1243" t="s">
        <v>1667</v>
      </c>
      <c r="C16" s="1244" t="str">
        <f>C4</f>
        <v>估价对象位于XX商圈，周边商业氛围成熟，人流量大，商业繁华度好</v>
      </c>
      <c r="D16" s="2008"/>
      <c r="E16" s="2609"/>
      <c r="F16" s="1245" t="s">
        <v>1668</v>
      </c>
      <c r="G16" s="1003" t="str">
        <f>G4</f>
        <v>估价对象周边道路状况、公共交通通达情况、停车便捷程度，综合评价交通便捷度较好</v>
      </c>
    </row>
    <row r="17" spans="1:7" ht="40.5">
      <c r="A17" s="2612"/>
      <c r="B17" s="1243" t="s">
        <v>1669</v>
      </c>
      <c r="C17" s="1244" t="str">
        <f>C5</f>
        <v>估价对象位于XX商圈，周边办公楼项目较多，入驻率高，办公集聚程度较好</v>
      </c>
      <c r="D17" s="2009"/>
      <c r="E17" s="2609"/>
      <c r="F17" s="1245" t="s">
        <v>1674</v>
      </c>
      <c r="G17" s="2817"/>
    </row>
    <row r="18" spans="1:7" ht="54">
      <c r="A18" s="2612"/>
      <c r="B18" s="1245" t="s">
        <v>1655</v>
      </c>
      <c r="C18" s="1003" t="str">
        <f>C6</f>
        <v>估价对象周边道路状况、公共交通通达情况、停车便捷程度，综合评价交通便捷度较好</v>
      </c>
      <c r="D18" s="2009"/>
      <c r="E18" s="2609"/>
      <c r="F18" s="1245" t="s">
        <v>1670</v>
      </c>
      <c r="G18" s="1003" t="str">
        <f>G7</f>
        <v>该园区内是否有污染型企业，绿化情况，卫生条件，整体环境状况判断</v>
      </c>
    </row>
    <row r="19" spans="1:7" ht="27">
      <c r="A19" s="2612"/>
      <c r="B19" s="1245" t="s">
        <v>1659</v>
      </c>
      <c r="C19" s="2817"/>
      <c r="D19" s="2008"/>
      <c r="E19" s="2609"/>
      <c r="F19" s="1229" t="s">
        <v>2544</v>
      </c>
      <c r="G19" s="1003" t="str">
        <f>G5</f>
        <v>估价对象所在区域公共配套设施齐备情况</v>
      </c>
    </row>
    <row r="20" spans="1:7" ht="40.5">
      <c r="A20" s="2612"/>
      <c r="B20" s="1245" t="s">
        <v>1660</v>
      </c>
      <c r="C20" s="1244" t="str">
        <f>C9</f>
        <v>区域自然环境：；人文环境；综合评价环境状况一般</v>
      </c>
      <c r="D20" s="2009"/>
      <c r="E20" s="2609"/>
      <c r="F20" s="1229" t="s">
        <v>2545</v>
      </c>
      <c r="G20" s="1003" t="str">
        <f>G6</f>
        <v>估价对象所在区域基础设施水平</v>
      </c>
    </row>
    <row r="21" spans="1:7" ht="27">
      <c r="A21" s="2612"/>
      <c r="B21" s="1229" t="s">
        <v>2544</v>
      </c>
      <c r="C21" s="1003" t="str">
        <f>C7</f>
        <v>估价对象所在区域公共配套设施齐备情况</v>
      </c>
      <c r="D21" s="2008"/>
      <c r="E21" s="2609"/>
      <c r="F21" s="1245" t="s">
        <v>1661</v>
      </c>
      <c r="G21" s="3111"/>
    </row>
    <row r="22" spans="1:7" ht="27">
      <c r="A22" s="2612"/>
      <c r="B22" s="1229" t="s">
        <v>2545</v>
      </c>
      <c r="C22" s="1003" t="str">
        <f>C8</f>
        <v>估价对象所在区域基础设施水平</v>
      </c>
      <c r="D22" s="2008"/>
      <c r="E22" s="2609"/>
      <c r="F22" s="1245" t="s">
        <v>1671</v>
      </c>
      <c r="G22" s="2817"/>
    </row>
    <row r="23" spans="1:7" ht="15" thickBot="1">
      <c r="A23" s="2612"/>
      <c r="B23" s="1245" t="s">
        <v>1661</v>
      </c>
      <c r="C23" s="3111"/>
      <c r="E23" s="2610"/>
      <c r="F23" s="1246" t="s">
        <v>1675</v>
      </c>
      <c r="G23" s="3112"/>
    </row>
    <row r="24" spans="1:7" ht="14.25" thickBot="1">
      <c r="A24" s="2613"/>
      <c r="B24" s="1246" t="s">
        <v>1662</v>
      </c>
      <c r="C24" s="1247">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workbookViewId="0">
      <selection activeCell="B5" sqref="B5"/>
    </sheetView>
  </sheetViews>
  <sheetFormatPr defaultColWidth="14.625" defaultRowHeight="13.5"/>
  <cols>
    <col min="1" max="1" width="24.375" customWidth="1"/>
  </cols>
  <sheetData>
    <row r="1" spans="1:9" ht="16.5">
      <c r="A1" s="3069" t="s">
        <v>2842</v>
      </c>
      <c r="B1" s="3069">
        <f>SUM(B14:B23)</f>
        <v>154971</v>
      </c>
      <c r="C1" s="3070"/>
      <c r="D1" s="3070"/>
      <c r="E1" s="3070"/>
      <c r="F1" s="3070"/>
    </row>
    <row r="2" spans="1:9" ht="16.5">
      <c r="A2" s="3069" t="s">
        <v>2843</v>
      </c>
      <c r="B2" s="3069">
        <f>SUM(C14:C23)</f>
        <v>51657</v>
      </c>
      <c r="C2" s="3070"/>
      <c r="D2" s="3070"/>
      <c r="E2" s="3070"/>
      <c r="F2" s="3070"/>
    </row>
    <row r="3" spans="1:9" ht="16.5">
      <c r="A3" s="3069" t="s">
        <v>2844</v>
      </c>
      <c r="B3" s="3071">
        <f>项目基本情况!D3</f>
        <v>43438</v>
      </c>
      <c r="C3" s="3070"/>
      <c r="D3" s="3070"/>
      <c r="E3" s="3070"/>
      <c r="F3" s="3070"/>
    </row>
    <row r="4" spans="1:9" ht="33">
      <c r="A4" s="3069" t="s">
        <v>2845</v>
      </c>
      <c r="B4" s="3069" t="s">
        <v>2846</v>
      </c>
      <c r="C4" s="3069" t="s">
        <v>2847</v>
      </c>
      <c r="D4" s="3069" t="s">
        <v>2848</v>
      </c>
      <c r="E4" s="3070"/>
      <c r="F4" s="3070"/>
    </row>
    <row r="5" spans="1:9" ht="16.5">
      <c r="A5" s="3069" t="s">
        <v>2849</v>
      </c>
      <c r="B5" s="3069">
        <f ca="1">SUM(D14:D23)</f>
        <v>52979</v>
      </c>
      <c r="C5" s="3069">
        <f ca="1">ROUND(B5*10000/$B$1,0)</f>
        <v>3419</v>
      </c>
      <c r="D5" s="3069">
        <f ca="1">ROUND(B5*10000/$B$2,0)</f>
        <v>10256</v>
      </c>
      <c r="E5" s="3070"/>
      <c r="F5" s="3070"/>
    </row>
    <row r="6" spans="1:9" ht="16.5">
      <c r="A6" s="3069" t="s">
        <v>2850</v>
      </c>
      <c r="B6" s="3069">
        <f>SUM(G14:G23)</f>
        <v>0</v>
      </c>
      <c r="C6" s="3069">
        <f t="shared" ref="C6:C8" si="0">ROUND(B6*10000/$B$1,0)</f>
        <v>0</v>
      </c>
      <c r="D6" s="3069">
        <f t="shared" ref="D6:D8" si="1">ROUND(B6*10000/$B$2,0)</f>
        <v>0</v>
      </c>
      <c r="E6" s="3070"/>
      <c r="F6" s="3070"/>
    </row>
    <row r="7" spans="1:9" ht="16.5">
      <c r="A7" s="3069" t="s">
        <v>2851</v>
      </c>
      <c r="B7" s="3069">
        <f>SUM(H14:H23)</f>
        <v>0</v>
      </c>
      <c r="C7" s="3069">
        <f t="shared" si="0"/>
        <v>0</v>
      </c>
      <c r="D7" s="3069">
        <f t="shared" si="1"/>
        <v>0</v>
      </c>
      <c r="E7" s="3070"/>
      <c r="F7" s="3070"/>
    </row>
    <row r="8" spans="1:9" ht="16.5">
      <c r="A8" s="3069" t="s">
        <v>2852</v>
      </c>
      <c r="B8" s="3069">
        <f>SUM(I14:I23)</f>
        <v>0</v>
      </c>
      <c r="C8" s="3069">
        <f t="shared" si="0"/>
        <v>0</v>
      </c>
      <c r="D8" s="3069">
        <f t="shared" si="1"/>
        <v>0</v>
      </c>
      <c r="E8" s="3070"/>
      <c r="F8" s="3070"/>
    </row>
    <row r="9" spans="1:9" ht="16.5">
      <c r="A9" s="3069" t="s">
        <v>2853</v>
      </c>
      <c r="B9" s="3072"/>
      <c r="C9" s="3070"/>
      <c r="D9" s="3070"/>
      <c r="E9" s="3070"/>
      <c r="F9" s="3070"/>
    </row>
    <row r="10" spans="1:9" ht="16.5">
      <c r="A10" s="3069" t="s">
        <v>2854</v>
      </c>
      <c r="B10" s="3072"/>
      <c r="C10" s="3070"/>
      <c r="D10" s="3070"/>
      <c r="E10" s="3070"/>
      <c r="F10" s="3070"/>
    </row>
    <row r="11" spans="1:9" ht="16.5">
      <c r="A11" s="3069" t="s">
        <v>2871</v>
      </c>
      <c r="B11" s="3072"/>
      <c r="C11" s="3070"/>
      <c r="D11" s="3070"/>
      <c r="E11" s="3070"/>
      <c r="F11" s="3070"/>
    </row>
    <row r="12" spans="1:9" ht="16.5">
      <c r="A12" s="3070"/>
      <c r="B12" s="3070"/>
      <c r="C12" s="3070"/>
      <c r="D12" s="3070"/>
      <c r="E12" s="3070"/>
      <c r="F12" s="3070"/>
    </row>
    <row r="13" spans="1:9" ht="33">
      <c r="A13" s="3075" t="s">
        <v>2870</v>
      </c>
      <c r="B13" s="3073" t="s">
        <v>2842</v>
      </c>
      <c r="C13" s="3073" t="s">
        <v>2843</v>
      </c>
      <c r="D13" s="3073" t="s">
        <v>2855</v>
      </c>
      <c r="E13" s="3069" t="s">
        <v>2869</v>
      </c>
      <c r="F13" s="3069" t="s">
        <v>2848</v>
      </c>
      <c r="G13" s="3073" t="s">
        <v>2856</v>
      </c>
      <c r="H13" s="3073" t="s">
        <v>2857</v>
      </c>
      <c r="I13" s="3073" t="s">
        <v>2858</v>
      </c>
    </row>
    <row r="14" spans="1:9" ht="16.5">
      <c r="A14" s="3076" t="s">
        <v>2868</v>
      </c>
      <c r="B14" s="3073">
        <f>结果表!L38</f>
        <v>114432</v>
      </c>
      <c r="C14" s="3073">
        <f>结果表!K38</f>
        <v>38144</v>
      </c>
      <c r="D14" s="3073">
        <f ca="1">结果表!C42</f>
        <v>39126</v>
      </c>
      <c r="E14" s="3073">
        <f ca="1">ROUND(D14*10000/B14,0)</f>
        <v>3419</v>
      </c>
      <c r="F14" s="3073">
        <f ca="1">ROUND(D14*10000/C14,0)</f>
        <v>10257</v>
      </c>
      <c r="G14" s="3073" t="str">
        <f>结果表!C44</f>
        <v>——</v>
      </c>
      <c r="H14" s="3073" t="str">
        <f>结果表!C45</f>
        <v>——</v>
      </c>
      <c r="I14" s="3073" t="str">
        <f>结果表!C46</f>
        <v>——</v>
      </c>
    </row>
    <row r="15" spans="1:9" ht="16.5">
      <c r="A15" s="3076" t="s">
        <v>2859</v>
      </c>
      <c r="B15" s="3077">
        <f>[2]系统读取表!$B$14</f>
        <v>40539</v>
      </c>
      <c r="C15" s="3077">
        <f>[2]系统读取表!$C$14</f>
        <v>13513</v>
      </c>
      <c r="D15" s="3077">
        <f ca="1">[2]系统读取表!$D$14</f>
        <v>13853</v>
      </c>
      <c r="E15" s="3073">
        <f t="shared" ref="E15:E23" ca="1" si="2">ROUND(D15*10000/B15,0)</f>
        <v>3417</v>
      </c>
      <c r="F15" s="3073">
        <f t="shared" ref="F15:F23" ca="1" si="3">ROUND(D15*10000/C15,0)</f>
        <v>10252</v>
      </c>
      <c r="G15" s="3074"/>
      <c r="H15" s="3074"/>
      <c r="I15" s="3077"/>
    </row>
    <row r="16" spans="1:9" ht="16.5">
      <c r="A16" s="3076" t="s">
        <v>2860</v>
      </c>
      <c r="B16" s="3077"/>
      <c r="C16" s="3077"/>
      <c r="D16" s="3077"/>
      <c r="E16" s="3073" t="e">
        <f t="shared" si="2"/>
        <v>#DIV/0!</v>
      </c>
      <c r="F16" s="3073" t="e">
        <f t="shared" si="3"/>
        <v>#DIV/0!</v>
      </c>
      <c r="G16" s="3074"/>
      <c r="H16" s="3074"/>
      <c r="I16" s="3077"/>
    </row>
    <row r="17" spans="1:9" ht="16.5">
      <c r="A17" s="3076" t="s">
        <v>2861</v>
      </c>
      <c r="B17" s="3077"/>
      <c r="C17" s="3077"/>
      <c r="D17" s="3077"/>
      <c r="E17" s="3073" t="e">
        <f t="shared" si="2"/>
        <v>#DIV/0!</v>
      </c>
      <c r="F17" s="3073" t="e">
        <f t="shared" si="3"/>
        <v>#DIV/0!</v>
      </c>
      <c r="G17" s="3074"/>
      <c r="H17" s="3074"/>
      <c r="I17" s="3077"/>
    </row>
    <row r="18" spans="1:9" ht="16.5">
      <c r="A18" s="3076" t="s">
        <v>2862</v>
      </c>
      <c r="B18" s="3077"/>
      <c r="C18" s="3077"/>
      <c r="D18" s="3077"/>
      <c r="E18" s="3073" t="e">
        <f t="shared" si="2"/>
        <v>#DIV/0!</v>
      </c>
      <c r="F18" s="3073" t="e">
        <f t="shared" si="3"/>
        <v>#DIV/0!</v>
      </c>
      <c r="G18" s="3077"/>
      <c r="H18" s="3077"/>
      <c r="I18" s="3077"/>
    </row>
    <row r="19" spans="1:9" ht="16.5">
      <c r="A19" s="3076" t="s">
        <v>2863</v>
      </c>
      <c r="B19" s="3077"/>
      <c r="C19" s="3077"/>
      <c r="D19" s="3077"/>
      <c r="E19" s="3073" t="e">
        <f t="shared" si="2"/>
        <v>#DIV/0!</v>
      </c>
      <c r="F19" s="3073" t="e">
        <f t="shared" si="3"/>
        <v>#DIV/0!</v>
      </c>
      <c r="G19" s="3077"/>
      <c r="H19" s="3077"/>
      <c r="I19" s="3077"/>
    </row>
    <row r="20" spans="1:9" ht="16.5">
      <c r="A20" s="3076" t="s">
        <v>2864</v>
      </c>
      <c r="B20" s="3077"/>
      <c r="C20" s="3077"/>
      <c r="D20" s="3077"/>
      <c r="E20" s="3073" t="e">
        <f t="shared" si="2"/>
        <v>#DIV/0!</v>
      </c>
      <c r="F20" s="3073" t="e">
        <f t="shared" si="3"/>
        <v>#DIV/0!</v>
      </c>
      <c r="G20" s="3077"/>
      <c r="H20" s="3077"/>
      <c r="I20" s="3077"/>
    </row>
    <row r="21" spans="1:9" ht="16.5">
      <c r="A21" s="3076" t="s">
        <v>2865</v>
      </c>
      <c r="B21" s="3077"/>
      <c r="C21" s="3077"/>
      <c r="D21" s="3077"/>
      <c r="E21" s="3073" t="e">
        <f t="shared" si="2"/>
        <v>#DIV/0!</v>
      </c>
      <c r="F21" s="3073" t="e">
        <f t="shared" si="3"/>
        <v>#DIV/0!</v>
      </c>
      <c r="G21" s="3077"/>
      <c r="H21" s="3077"/>
      <c r="I21" s="3077"/>
    </row>
    <row r="22" spans="1:9" ht="16.5">
      <c r="A22" s="3076" t="s">
        <v>2866</v>
      </c>
      <c r="B22" s="3077"/>
      <c r="C22" s="3077"/>
      <c r="D22" s="3077"/>
      <c r="E22" s="3073" t="e">
        <f t="shared" si="2"/>
        <v>#DIV/0!</v>
      </c>
      <c r="F22" s="3073" t="e">
        <f t="shared" si="3"/>
        <v>#DIV/0!</v>
      </c>
      <c r="G22" s="3077"/>
      <c r="H22" s="3077"/>
      <c r="I22" s="3077"/>
    </row>
    <row r="23" spans="1:9" ht="16.5">
      <c r="A23" s="3076" t="s">
        <v>2867</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D12" sqref="D12:D13"/>
    </sheetView>
  </sheetViews>
  <sheetFormatPr defaultColWidth="12.625" defaultRowHeight="21.75" customHeight="1"/>
  <cols>
    <col min="1" max="2" width="12.625" style="1248" bestFit="1" customWidth="1"/>
    <col min="3" max="4" width="12.625" style="1248" customWidth="1"/>
    <col min="5" max="9" width="12.625" style="1248"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8"/>
  </cols>
  <sheetData>
    <row r="1" spans="1:22" ht="21.75" customHeight="1" thickBot="1">
      <c r="A1" s="1775" t="s">
        <v>2054</v>
      </c>
      <c r="B1" s="1776"/>
      <c r="C1" s="1804" t="s">
        <v>2055</v>
      </c>
      <c r="D1" s="1805" t="s">
        <v>3387</v>
      </c>
      <c r="E1" s="1804" t="s">
        <v>2056</v>
      </c>
      <c r="F1" s="1806" t="s">
        <v>2986</v>
      </c>
      <c r="G1" s="310"/>
      <c r="H1" s="310"/>
      <c r="I1" s="310"/>
      <c r="J1" s="2028"/>
      <c r="K1" s="2028"/>
      <c r="L1" s="2028"/>
      <c r="M1" s="2028"/>
      <c r="N1" s="2028"/>
      <c r="O1" s="2028"/>
      <c r="P1" s="2028"/>
      <c r="Q1" s="2028"/>
      <c r="R1" s="2028"/>
      <c r="S1" s="2028"/>
      <c r="T1" s="2028"/>
      <c r="U1" s="2028"/>
      <c r="V1" s="2028"/>
    </row>
    <row r="2" spans="1:22" ht="21.75" customHeight="1" thickBot="1">
      <c r="A2" s="3720" t="str">
        <f>项目基本情况!K2</f>
        <v>江苏省南通市海安市高新区祖师庙村1组320621108211GB00054W00000000号一宗住宅、商业用地出让国有建设用地使用权</v>
      </c>
      <c r="B2" s="3721"/>
      <c r="C2" s="3722"/>
      <c r="D2" s="3722"/>
      <c r="E2" s="3722"/>
      <c r="F2" s="3722"/>
      <c r="G2" s="3721"/>
      <c r="H2" s="3721"/>
      <c r="I2" s="3723"/>
      <c r="J2" s="2029"/>
      <c r="K2" s="2028"/>
      <c r="L2" s="2028"/>
      <c r="M2" s="2028"/>
      <c r="N2" s="2028"/>
      <c r="O2" s="2028"/>
      <c r="P2" s="2028"/>
      <c r="Q2" s="2028"/>
      <c r="R2" s="2028"/>
      <c r="S2" s="2028"/>
      <c r="T2" s="2028"/>
      <c r="U2" s="2028"/>
      <c r="V2" s="2028"/>
    </row>
    <row r="3" spans="1:22" ht="14.25">
      <c r="A3" s="3731" t="s">
        <v>298</v>
      </c>
      <c r="B3" s="3732"/>
      <c r="C3" s="3732"/>
      <c r="D3" s="3732"/>
      <c r="E3" s="3732"/>
      <c r="F3" s="3732"/>
      <c r="G3" s="3732"/>
      <c r="H3" s="3732"/>
      <c r="I3" s="3732"/>
      <c r="J3" s="2029"/>
      <c r="K3" s="2028"/>
      <c r="L3" s="2028"/>
      <c r="M3" s="2028"/>
      <c r="N3" s="2028"/>
      <c r="O3" s="2028"/>
      <c r="P3" s="2028"/>
      <c r="Q3" s="2028"/>
      <c r="R3" s="2028"/>
      <c r="S3" s="2028"/>
      <c r="T3" s="2028"/>
      <c r="U3" s="2028"/>
      <c r="V3" s="2028"/>
    </row>
    <row r="4" spans="1:22" ht="14.25">
      <c r="A4" s="257" t="s">
        <v>299</v>
      </c>
      <c r="B4" s="258" t="s">
        <v>300</v>
      </c>
      <c r="C4" s="259" t="s">
        <v>3173</v>
      </c>
      <c r="D4" s="259" t="s">
        <v>2985</v>
      </c>
      <c r="E4" s="3695" t="s">
        <v>301</v>
      </c>
      <c r="F4" s="3737"/>
      <c r="G4" s="3737"/>
      <c r="H4" s="3737"/>
      <c r="I4" s="3696"/>
      <c r="J4" s="2029"/>
      <c r="K4" s="2028"/>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724" t="s">
        <v>302</v>
      </c>
      <c r="B5" s="3725">
        <v>25</v>
      </c>
      <c r="C5" s="3733"/>
      <c r="D5" s="3736"/>
      <c r="E5" s="260" t="s">
        <v>303</v>
      </c>
      <c r="F5" s="261"/>
      <c r="G5" s="261"/>
      <c r="H5" s="261"/>
      <c r="I5" s="262"/>
      <c r="J5" s="2029"/>
      <c r="K5" s="2028"/>
      <c r="L5" s="2028"/>
      <c r="M5" s="2028"/>
      <c r="N5" s="2028"/>
      <c r="O5" s="2028"/>
      <c r="P5" s="2028"/>
      <c r="Q5" s="2028"/>
      <c r="R5" s="2028"/>
      <c r="S5" s="2028"/>
      <c r="T5" s="2028"/>
      <c r="U5" s="2028"/>
      <c r="V5" s="2028"/>
    </row>
    <row r="6" spans="1:22" ht="14.25">
      <c r="A6" s="3724"/>
      <c r="B6" s="3725"/>
      <c r="C6" s="3734"/>
      <c r="D6" s="3736"/>
      <c r="E6" s="260" t="s">
        <v>304</v>
      </c>
      <c r="F6" s="261"/>
      <c r="G6" s="261"/>
      <c r="H6" s="261"/>
      <c r="I6" s="262"/>
      <c r="J6" s="2029"/>
      <c r="K6" s="2028"/>
      <c r="L6" s="2028"/>
      <c r="M6" s="2028"/>
      <c r="N6" s="2028"/>
      <c r="O6" s="2028"/>
      <c r="P6" s="2028"/>
      <c r="Q6" s="2028"/>
      <c r="R6" s="2028"/>
      <c r="S6" s="2028"/>
      <c r="T6" s="2028"/>
      <c r="U6" s="2028"/>
      <c r="V6" s="2028"/>
    </row>
    <row r="7" spans="1:22" ht="14.25">
      <c r="A7" s="3724"/>
      <c r="B7" s="3725"/>
      <c r="C7" s="3735"/>
      <c r="D7" s="3736"/>
      <c r="E7" s="260" t="s">
        <v>305</v>
      </c>
      <c r="F7" s="261"/>
      <c r="G7" s="261"/>
      <c r="H7" s="261"/>
      <c r="I7" s="262"/>
      <c r="J7" s="2029"/>
      <c r="K7" s="2028"/>
      <c r="L7" s="2028"/>
      <c r="M7" s="2028"/>
      <c r="N7" s="2028"/>
      <c r="O7" s="2028"/>
      <c r="P7" s="2028"/>
      <c r="Q7" s="2028"/>
      <c r="R7" s="2028"/>
      <c r="S7" s="2028"/>
      <c r="T7" s="2028"/>
      <c r="U7" s="2028"/>
      <c r="V7" s="2028"/>
    </row>
    <row r="8" spans="1:22" ht="14.25">
      <c r="A8" s="3724" t="s">
        <v>306</v>
      </c>
      <c r="B8" s="3725">
        <v>15</v>
      </c>
      <c r="C8" s="3733"/>
      <c r="D8" s="3736"/>
      <c r="E8" s="260" t="s">
        <v>307</v>
      </c>
      <c r="F8" s="261"/>
      <c r="G8" s="261"/>
      <c r="H8" s="261"/>
      <c r="I8" s="262"/>
      <c r="J8" s="2029"/>
      <c r="K8" s="2028"/>
      <c r="L8" s="2028"/>
      <c r="M8" s="2028"/>
      <c r="N8" s="2028"/>
      <c r="O8" s="2028"/>
      <c r="P8" s="2028"/>
      <c r="Q8" s="2028"/>
      <c r="R8" s="2028"/>
      <c r="S8" s="2028"/>
      <c r="T8" s="2028"/>
      <c r="U8" s="2028"/>
      <c r="V8" s="2028"/>
    </row>
    <row r="9" spans="1:22" ht="14.25">
      <c r="A9" s="3724"/>
      <c r="B9" s="3725"/>
      <c r="C9" s="3735"/>
      <c r="D9" s="3736"/>
      <c r="E9" s="260" t="s">
        <v>308</v>
      </c>
      <c r="F9" s="261"/>
      <c r="G9" s="261"/>
      <c r="H9" s="261"/>
      <c r="I9" s="262"/>
      <c r="J9" s="2029"/>
      <c r="K9" s="2028"/>
      <c r="L9" s="2028"/>
      <c r="M9" s="2028"/>
      <c r="N9" s="2028"/>
      <c r="O9" s="2028"/>
      <c r="P9" s="2028"/>
      <c r="Q9" s="2028"/>
      <c r="R9" s="2028"/>
      <c r="S9" s="2028"/>
      <c r="T9" s="2028"/>
      <c r="U9" s="2028"/>
      <c r="V9" s="2028"/>
    </row>
    <row r="10" spans="1:22" ht="14.25">
      <c r="A10" s="3724" t="s">
        <v>309</v>
      </c>
      <c r="B10" s="3725">
        <v>15</v>
      </c>
      <c r="C10" s="3733"/>
      <c r="D10" s="3736"/>
      <c r="E10" s="260" t="s">
        <v>310</v>
      </c>
      <c r="F10" s="261"/>
      <c r="G10" s="261"/>
      <c r="H10" s="261"/>
      <c r="I10" s="262"/>
      <c r="J10" s="2029"/>
      <c r="K10" s="2028"/>
      <c r="L10" s="2028"/>
      <c r="M10" s="2028"/>
      <c r="N10" s="2028"/>
      <c r="O10" s="2028"/>
      <c r="P10" s="2028"/>
      <c r="Q10" s="2028"/>
      <c r="R10" s="2028"/>
      <c r="S10" s="2028"/>
      <c r="T10" s="2028"/>
      <c r="U10" s="2028"/>
      <c r="V10" s="2028"/>
    </row>
    <row r="11" spans="1:22" ht="14.25">
      <c r="A11" s="3724"/>
      <c r="B11" s="3725"/>
      <c r="C11" s="3735"/>
      <c r="D11" s="3736"/>
      <c r="E11" s="260" t="s">
        <v>311</v>
      </c>
      <c r="F11" s="261"/>
      <c r="G11" s="261"/>
      <c r="H11" s="261"/>
      <c r="I11" s="262"/>
      <c r="J11" s="2029"/>
      <c r="K11" s="2028"/>
      <c r="L11" s="2028"/>
      <c r="M11" s="2028"/>
      <c r="N11" s="2028"/>
      <c r="O11" s="2028"/>
      <c r="P11" s="2028"/>
      <c r="Q11" s="2028"/>
      <c r="R11" s="2028"/>
      <c r="S11" s="2028"/>
      <c r="T11" s="2028"/>
      <c r="U11" s="2028"/>
      <c r="V11" s="2028"/>
    </row>
    <row r="12" spans="1:22" ht="14.25">
      <c r="A12" s="3724" t="s">
        <v>312</v>
      </c>
      <c r="B12" s="3725">
        <v>15</v>
      </c>
      <c r="C12" s="3733"/>
      <c r="D12" s="3736"/>
      <c r="E12" s="260" t="s">
        <v>313</v>
      </c>
      <c r="F12" s="261"/>
      <c r="G12" s="261"/>
      <c r="H12" s="261"/>
      <c r="I12" s="262"/>
      <c r="J12" s="2029"/>
      <c r="K12" s="2028"/>
      <c r="L12" s="2028"/>
      <c r="M12" s="2028"/>
      <c r="N12" s="2028"/>
      <c r="O12" s="2028"/>
      <c r="P12" s="2028"/>
      <c r="Q12" s="2028"/>
      <c r="R12" s="2028"/>
      <c r="S12" s="2028"/>
      <c r="T12" s="2028"/>
      <c r="U12" s="2028"/>
      <c r="V12" s="2028"/>
    </row>
    <row r="13" spans="1:22" ht="14.25">
      <c r="A13" s="3724"/>
      <c r="B13" s="3725"/>
      <c r="C13" s="3735"/>
      <c r="D13" s="3736"/>
      <c r="E13" s="260" t="s">
        <v>314</v>
      </c>
      <c r="F13" s="261"/>
      <c r="G13" s="261"/>
      <c r="H13" s="261"/>
      <c r="I13" s="262"/>
      <c r="J13" s="2029"/>
      <c r="K13" s="2028"/>
      <c r="L13" s="2028"/>
      <c r="M13" s="2028"/>
      <c r="N13" s="2028"/>
      <c r="O13" s="2028"/>
      <c r="P13" s="2028"/>
      <c r="Q13" s="2028"/>
      <c r="R13" s="2028"/>
      <c r="S13" s="2028"/>
      <c r="T13" s="2028"/>
      <c r="U13" s="2028"/>
      <c r="V13" s="2028"/>
    </row>
    <row r="14" spans="1:22" ht="14.25">
      <c r="A14" s="3724" t="s">
        <v>315</v>
      </c>
      <c r="B14" s="3725">
        <v>30</v>
      </c>
      <c r="C14" s="3733">
        <v>0</v>
      </c>
      <c r="D14" s="3736">
        <v>10</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724"/>
      <c r="B15" s="3725"/>
      <c r="C15" s="3734"/>
      <c r="D15" s="3736"/>
      <c r="E15" s="260" t="s">
        <v>317</v>
      </c>
      <c r="F15" s="261"/>
      <c r="G15" s="261"/>
      <c r="H15" s="261"/>
      <c r="I15" s="262"/>
      <c r="J15" s="2029"/>
      <c r="K15" s="2028"/>
      <c r="L15" s="2028"/>
      <c r="M15" s="2028"/>
      <c r="N15" s="2028"/>
      <c r="O15" s="2028"/>
      <c r="P15" s="2028"/>
      <c r="Q15" s="2028"/>
      <c r="R15" s="2028"/>
      <c r="S15" s="2028"/>
      <c r="T15" s="2028"/>
      <c r="U15" s="2028"/>
      <c r="V15" s="2028"/>
    </row>
    <row r="16" spans="1:22" ht="14.25">
      <c r="A16" s="3724"/>
      <c r="B16" s="3725"/>
      <c r="C16" s="3735"/>
      <c r="D16" s="3736"/>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0</v>
      </c>
      <c r="D17" s="264">
        <f>SUM(D5:D16)</f>
        <v>10</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320</v>
      </c>
      <c r="B18" s="105"/>
      <c r="C18" s="266">
        <f>ROUND(C17/SUM(C17:D17),2)</f>
        <v>0</v>
      </c>
      <c r="D18" s="266">
        <f>1-C18</f>
        <v>1</v>
      </c>
      <c r="E18" s="310"/>
      <c r="F18" s="310"/>
      <c r="G18" s="310"/>
      <c r="H18" s="310"/>
      <c r="I18" s="310"/>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18664</v>
      </c>
      <c r="D19" s="270">
        <f ca="1">SUMIF(INDIRECT("'"&amp;D4&amp;"'"&amp;"!A:A"),结果表!B19,INDIRECT("'"&amp;D4&amp;"'"&amp;"!B:B"))</f>
        <v>39526</v>
      </c>
      <c r="E19" s="267" t="s">
        <v>323</v>
      </c>
      <c r="F19" s="268" t="s">
        <v>322</v>
      </c>
      <c r="G19" s="271">
        <f ca="1">ROUND(C19*$C$18+D19*$D$18,0)</f>
        <v>39526</v>
      </c>
      <c r="H19" s="272" t="s">
        <v>324</v>
      </c>
      <c r="I19" s="310"/>
      <c r="J19" s="2028"/>
      <c r="K19" s="2028">
        <v>14876</v>
      </c>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1631</v>
      </c>
      <c r="D20" s="276">
        <f ca="1">SUMIF(INDIRECT("'"&amp;D4&amp;"'"&amp;"!A:A"),结果表!B20,INDIRECT("'"&amp;D4&amp;"'"&amp;"!B:B"))</f>
        <v>3454</v>
      </c>
      <c r="E20" s="273"/>
      <c r="F20" s="274" t="s">
        <v>325</v>
      </c>
      <c r="G20" s="277">
        <f ca="1">ROUND(C20*$C$18+D20*$D$18,0)</f>
        <v>3454</v>
      </c>
      <c r="H20" s="278" t="s">
        <v>326</v>
      </c>
      <c r="I20" s="310"/>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4893</v>
      </c>
      <c r="D21" s="151">
        <f ca="1">SUMIF(INDIRECT("'"&amp;D4&amp;"'"&amp;"!A:A"),结果表!B21,INDIRECT("'"&amp;D4&amp;"'"&amp;"!B:B"))</f>
        <v>10362</v>
      </c>
      <c r="E21" s="273"/>
      <c r="F21" s="279" t="s">
        <v>327</v>
      </c>
      <c r="G21" s="281">
        <f ca="1">ROUND(C21*$C$18+D21*$D$18,0)</f>
        <v>10362</v>
      </c>
      <c r="H21" s="1249" t="s">
        <v>326</v>
      </c>
      <c r="I21" s="310"/>
      <c r="J21" s="2028"/>
      <c r="K21" s="2028"/>
      <c r="L21" s="2028"/>
      <c r="M21" s="2028"/>
      <c r="N21" s="2028"/>
      <c r="O21" s="2028"/>
      <c r="P21" s="2028"/>
      <c r="Q21" s="2028"/>
      <c r="R21" s="2028"/>
      <c r="S21" s="2028"/>
      <c r="T21" s="2028"/>
      <c r="U21" s="2028"/>
      <c r="V21" s="2028"/>
    </row>
    <row r="22" spans="1:26" ht="15.75" thickBot="1">
      <c r="A22" s="126" t="s">
        <v>328</v>
      </c>
      <c r="B22" s="1250"/>
      <c r="C22" s="1251"/>
      <c r="D22" s="282">
        <f ca="1">IF(C19&lt;D19,D19/C19-1,C19/D19-1)</f>
        <v>1.117766823831976</v>
      </c>
      <c r="E22" s="283"/>
      <c r="F22" s="284"/>
      <c r="G22" s="285">
        <f ca="1">ROUND(G19/('数据-汇总表'!D3/666.67),0)</f>
        <v>691</v>
      </c>
      <c r="H22" s="286" t="s">
        <v>329</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697" t="s">
        <v>330</v>
      </c>
      <c r="B24" s="268" t="s">
        <v>322</v>
      </c>
      <c r="C24" s="287">
        <f>IF(B30=0,0,D30)</f>
        <v>400</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739"/>
      <c r="B25" s="1319" t="s">
        <v>331</v>
      </c>
      <c r="C25" s="289">
        <f>IF(B30=0,0,C30)</f>
        <v>100</v>
      </c>
      <c r="D25" s="290"/>
      <c r="E25" s="310"/>
      <c r="F25" s="310"/>
      <c r="G25" s="310"/>
      <c r="H25" s="310"/>
      <c r="I25" s="310"/>
      <c r="J25" s="2028"/>
      <c r="K25" s="1253" t="str">
        <f ca="1">项目基本情况!B16&amp;"国有建设用地使用权价格："&amp;O38&amp;"万元"</f>
        <v>出让国有建设用地使用权价格：39126万元</v>
      </c>
      <c r="L25" s="1254"/>
      <c r="M25" s="1254"/>
      <c r="N25" s="1254"/>
      <c r="O25" s="1255"/>
      <c r="P25" s="2028"/>
      <c r="Q25" s="2028"/>
      <c r="R25" s="2028"/>
      <c r="S25" s="2028"/>
      <c r="T25" s="2028"/>
      <c r="U25" s="2028"/>
      <c r="V25" s="2028"/>
    </row>
    <row r="26" spans="1:26" s="1252" customFormat="1" ht="18">
      <c r="A26" s="292" t="s">
        <v>332</v>
      </c>
      <c r="B26" s="293" t="s">
        <v>333</v>
      </c>
      <c r="C26" s="293" t="s">
        <v>334</v>
      </c>
      <c r="D26" s="294" t="s">
        <v>335</v>
      </c>
      <c r="E26" s="310"/>
      <c r="F26" s="310"/>
      <c r="G26" s="310"/>
      <c r="H26" s="310"/>
      <c r="I26" s="310"/>
      <c r="J26" s="2028"/>
      <c r="K26" s="1256" t="str">
        <f ca="1">"大写金额：人民币"&amp;NUMBERSTRING(INT(O38*10000),2)&amp;"元整"</f>
        <v>大写金额：人民币叁亿玖仟壹佰贰拾陆万元整</v>
      </c>
      <c r="L26" s="1250"/>
      <c r="M26" s="1250"/>
      <c r="N26" s="1250"/>
      <c r="O26" s="1249"/>
      <c r="P26" s="2028"/>
      <c r="Q26" s="2028"/>
      <c r="R26" s="2028"/>
      <c r="S26" s="2028"/>
      <c r="T26" s="2028"/>
      <c r="U26" s="2028"/>
      <c r="V26" s="2028"/>
      <c r="W26" s="291"/>
      <c r="X26" s="291"/>
      <c r="Y26" s="291"/>
      <c r="Z26" s="291"/>
    </row>
    <row r="27" spans="1:26" ht="18">
      <c r="A27" s="3181" t="s">
        <v>2999</v>
      </c>
      <c r="B27" s="293">
        <f>'数据-汇总表'!D3</f>
        <v>38144</v>
      </c>
      <c r="C27" s="293">
        <v>100</v>
      </c>
      <c r="D27" s="294">
        <v>400</v>
      </c>
      <c r="E27" s="310"/>
      <c r="F27" s="310"/>
      <c r="G27" s="310"/>
      <c r="H27" s="310"/>
      <c r="I27" s="310"/>
      <c r="J27" s="2028"/>
      <c r="K27" s="1256" t="str">
        <f ca="1">"单位面积地价："&amp;M38&amp;"元/平方米"</f>
        <v>单位面积地价：10257元/平方米</v>
      </c>
      <c r="L27" s="1250"/>
      <c r="M27" s="1250"/>
      <c r="N27" s="1250"/>
      <c r="O27" s="1249"/>
      <c r="P27" s="2028"/>
      <c r="Q27" s="2028"/>
      <c r="R27" s="2028"/>
      <c r="S27" s="2028"/>
      <c r="T27" s="2028"/>
      <c r="U27" s="2028"/>
      <c r="V27" s="2028"/>
    </row>
    <row r="28" spans="1:26" ht="18.75" customHeight="1">
      <c r="A28" s="292"/>
      <c r="B28" s="293"/>
      <c r="C28" s="293"/>
      <c r="D28" s="294"/>
      <c r="E28" s="310"/>
      <c r="F28" s="310"/>
      <c r="G28" s="310"/>
      <c r="H28" s="310"/>
      <c r="I28" s="310"/>
      <c r="J28" s="2028"/>
      <c r="K28" s="1256" t="str">
        <f ca="1">"楼面地价："&amp;N38&amp;"元/平方米"</f>
        <v>楼面地价：3419元/平方米</v>
      </c>
      <c r="L28" s="1250"/>
      <c r="M28" s="1250"/>
      <c r="N28" s="1250"/>
      <c r="O28" s="1249"/>
      <c r="P28" s="2028"/>
      <c r="V28" s="2028"/>
    </row>
    <row r="29" spans="1:26" ht="18">
      <c r="A29" s="292"/>
      <c r="B29" s="293"/>
      <c r="C29" s="293"/>
      <c r="D29" s="294"/>
      <c r="E29" s="310"/>
      <c r="F29" s="310"/>
      <c r="G29" s="310"/>
      <c r="H29" s="310"/>
      <c r="I29" s="310"/>
      <c r="J29" s="2028"/>
      <c r="K29" s="1256" t="str">
        <f>IF(OR(项目基本情况!E8="抵押价格",项目基本情况!E8="已注销及未注销"),"抵押价格："&amp;O39&amp;"万元","——")</f>
        <v>——</v>
      </c>
      <c r="L29" s="1250"/>
      <c r="M29" s="1250"/>
      <c r="N29" s="1250"/>
      <c r="O29" s="1249"/>
      <c r="P29" s="2028"/>
      <c r="V29" s="2028"/>
    </row>
    <row r="30" spans="1:26" ht="18.75" thickBot="1">
      <c r="A30" s="3160" t="s">
        <v>336</v>
      </c>
      <c r="B30" s="308">
        <f>B27</f>
        <v>38144</v>
      </c>
      <c r="C30" s="308">
        <f>C27</f>
        <v>100</v>
      </c>
      <c r="D30" s="309">
        <f>D27</f>
        <v>400</v>
      </c>
      <c r="E30" s="3161" t="s">
        <v>2967</v>
      </c>
      <c r="F30" s="310"/>
      <c r="G30" s="310"/>
      <c r="H30" s="310"/>
      <c r="I30" s="310"/>
      <c r="J30" s="2028"/>
      <c r="K30" s="1256" t="str">
        <f>IF(K29="——","——","大写金额：人民币"&amp;NUMBERSTRING(INT(O39*10000),2)&amp;"元整")</f>
        <v>——</v>
      </c>
      <c r="L30" s="1250"/>
      <c r="M30" s="1250"/>
      <c r="N30" s="1250"/>
      <c r="O30" s="1249"/>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抵押担保权已注销时的抵押价格：——万元</v>
      </c>
      <c r="L31" s="2488"/>
      <c r="M31" s="2488"/>
      <c r="N31" s="2488"/>
      <c r="O31" s="2489"/>
      <c r="P31" s="2028"/>
      <c r="V31" s="2028"/>
    </row>
    <row r="32" spans="1:26" ht="18.75" thickBot="1">
      <c r="A32" s="267" t="s">
        <v>337</v>
      </c>
      <c r="B32" s="1380" t="s">
        <v>1688</v>
      </c>
      <c r="C32" s="1381">
        <f ca="1">G19-C24</f>
        <v>39126</v>
      </c>
      <c r="D32" s="1382" t="s">
        <v>1689</v>
      </c>
      <c r="E32" s="310"/>
      <c r="F32" s="310"/>
      <c r="G32" s="310"/>
      <c r="H32" s="310"/>
      <c r="I32" s="310"/>
      <c r="J32" s="2028"/>
      <c r="K32" s="2487" t="e">
        <f>IF(K31="——","——","大写金额：人民币"&amp;NUMBERSTRING(INT(O40*10000),2)&amp;"元整")</f>
        <v>#VALUE!</v>
      </c>
      <c r="L32" s="2490"/>
      <c r="M32" s="2490"/>
      <c r="N32" s="2490"/>
      <c r="O32" s="2491"/>
      <c r="P32" s="2028"/>
      <c r="V32" s="2028"/>
    </row>
    <row r="33" spans="1:26" ht="18.75" thickBot="1">
      <c r="A33" s="297" t="s">
        <v>340</v>
      </c>
      <c r="B33" s="1383" t="s">
        <v>1690</v>
      </c>
      <c r="C33" s="263">
        <f ca="1">ROUND(C32*10000/'数据-汇总表'!E3,0)</f>
        <v>3419</v>
      </c>
      <c r="D33" s="1384" t="s">
        <v>1691</v>
      </c>
      <c r="E33" s="3697" t="s">
        <v>338</v>
      </c>
      <c r="F33" s="295" t="s">
        <v>339</v>
      </c>
      <c r="G33" s="296"/>
      <c r="H33" s="978"/>
      <c r="I33" s="1257"/>
      <c r="J33" s="2028"/>
      <c r="K33" s="1256" t="str">
        <f>IF(项目基本情况!E9="——","——","抵押净值："&amp;C46&amp;"万元")</f>
        <v>抵押净值：——万元</v>
      </c>
      <c r="L33" s="1250"/>
      <c r="M33" s="1250"/>
      <c r="N33" s="1250"/>
      <c r="O33" s="1249"/>
      <c r="P33" s="2028"/>
      <c r="V33" s="2028"/>
    </row>
    <row r="34" spans="1:26" s="1252" customFormat="1" ht="18.75" thickBot="1">
      <c r="A34" s="299"/>
      <c r="B34" s="1385" t="s">
        <v>1692</v>
      </c>
      <c r="C34" s="263">
        <f ca="1">ROUND(C32*10000/'数据-汇总表'!D3,0)</f>
        <v>10257</v>
      </c>
      <c r="D34" s="1386" t="s">
        <v>1691</v>
      </c>
      <c r="E34" s="3698"/>
      <c r="F34" s="127" t="s">
        <v>341</v>
      </c>
      <c r="G34" s="298"/>
      <c r="H34" s="105"/>
      <c r="I34" s="310"/>
      <c r="J34" s="2028"/>
      <c r="K34" s="1259" t="e">
        <f>IF(K33="——","——","大写金额：人民币"&amp;NUMBERSTRING(INT(O41*10000),2)&amp;"元整")</f>
        <v>#VALUE!</v>
      </c>
      <c r="L34" s="1260"/>
      <c r="M34" s="1260"/>
      <c r="N34" s="1260"/>
      <c r="O34" s="1261"/>
      <c r="P34" s="2028"/>
      <c r="Q34" s="291"/>
      <c r="R34" s="291"/>
      <c r="S34" s="291"/>
      <c r="T34" s="291"/>
      <c r="U34" s="291"/>
      <c r="V34" s="2028"/>
      <c r="W34" s="291"/>
      <c r="X34" s="291"/>
      <c r="Y34" s="291"/>
      <c r="Z34" s="291"/>
    </row>
    <row r="35" spans="1:26" ht="15.75" thickBot="1">
      <c r="A35" s="283"/>
      <c r="B35" s="1387"/>
      <c r="C35" s="1388">
        <f ca="1">ROUND(C32/('数据-汇总表'!D3/666.67),0)</f>
        <v>684</v>
      </c>
      <c r="D35" s="1389" t="s">
        <v>1693</v>
      </c>
      <c r="E35" s="3699"/>
      <c r="F35" s="300" t="s">
        <v>342</v>
      </c>
      <c r="G35" s="980"/>
      <c r="H35" s="979" t="s">
        <v>343</v>
      </c>
      <c r="I35" s="310"/>
      <c r="J35" s="2028"/>
      <c r="K35" s="3703" t="s">
        <v>350</v>
      </c>
      <c r="L35" s="3703" t="s">
        <v>351</v>
      </c>
      <c r="M35" s="1262" t="s">
        <v>352</v>
      </c>
      <c r="N35" s="3703" t="s">
        <v>353</v>
      </c>
      <c r="O35" s="3703" t="s">
        <v>354</v>
      </c>
      <c r="P35" s="2028"/>
      <c r="V35" s="2028"/>
    </row>
    <row r="36" spans="1:26" ht="16.5" customHeight="1">
      <c r="A36" s="302" t="s">
        <v>344</v>
      </c>
      <c r="B36" s="303" t="s">
        <v>333</v>
      </c>
      <c r="C36" s="304" t="s">
        <v>345</v>
      </c>
      <c r="D36" s="304" t="s">
        <v>346</v>
      </c>
      <c r="E36" s="305" t="s">
        <v>347</v>
      </c>
      <c r="F36" s="310"/>
      <c r="G36" s="310"/>
      <c r="H36" s="310"/>
      <c r="I36" s="310"/>
      <c r="J36" s="2030"/>
      <c r="K36" s="3704"/>
      <c r="L36" s="3704"/>
      <c r="M36" s="1264" t="s">
        <v>355</v>
      </c>
      <c r="N36" s="3704"/>
      <c r="O36" s="3704"/>
      <c r="P36" s="2028"/>
      <c r="V36" s="2028"/>
    </row>
    <row r="37" spans="1:26" ht="16.5" customHeight="1" thickBot="1">
      <c r="A37" s="1258" t="s">
        <v>348</v>
      </c>
      <c r="B37" s="306"/>
      <c r="C37" s="293"/>
      <c r="D37" s="293"/>
      <c r="E37" s="294"/>
      <c r="F37" s="310"/>
      <c r="G37" s="310"/>
      <c r="H37" s="310"/>
      <c r="I37" s="310"/>
      <c r="J37" s="2030"/>
      <c r="K37" s="3705"/>
      <c r="L37" s="3705"/>
      <c r="M37" s="1265"/>
      <c r="N37" s="3705"/>
      <c r="O37" s="3705"/>
      <c r="P37" s="2028"/>
      <c r="V37" s="2028"/>
    </row>
    <row r="38" spans="1:26" ht="16.5" customHeight="1" thickBot="1">
      <c r="A38" s="1258" t="s">
        <v>349</v>
      </c>
      <c r="B38" s="306"/>
      <c r="C38" s="293"/>
      <c r="D38" s="293"/>
      <c r="E38" s="294"/>
      <c r="F38" s="310"/>
      <c r="G38" s="310"/>
      <c r="H38" s="310"/>
      <c r="I38" s="310"/>
      <c r="J38" s="2030"/>
      <c r="K38" s="1266">
        <f>'数据-汇总表'!D3</f>
        <v>38144</v>
      </c>
      <c r="L38" s="1267">
        <f>'数据-汇总表'!E3</f>
        <v>114432</v>
      </c>
      <c r="M38" s="1267">
        <f ca="1">C34</f>
        <v>10257</v>
      </c>
      <c r="N38" s="1267">
        <f ca="1">C33</f>
        <v>3419</v>
      </c>
      <c r="O38" s="1268">
        <f ca="1">C32</f>
        <v>39126</v>
      </c>
      <c r="P38" s="2028"/>
      <c r="V38" s="2028"/>
    </row>
    <row r="39" spans="1:26" ht="16.5" customHeight="1" thickBot="1">
      <c r="A39" s="1263"/>
      <c r="B39" s="307"/>
      <c r="C39" s="308"/>
      <c r="D39" s="308"/>
      <c r="E39" s="309"/>
      <c r="F39" s="310"/>
      <c r="G39" s="310"/>
      <c r="H39" s="310"/>
      <c r="I39" s="310"/>
      <c r="J39" s="2030"/>
      <c r="K39" s="3680" t="str">
        <f>MID(A44,3,LEN(A44)-2)</f>
        <v/>
      </c>
      <c r="L39" s="3681"/>
      <c r="M39" s="3681"/>
      <c r="N39" s="3682"/>
      <c r="O39" s="1391" t="str">
        <f>C44</f>
        <v>——</v>
      </c>
      <c r="P39" s="2028"/>
      <c r="V39" s="2028"/>
    </row>
    <row r="40" spans="1:26" ht="19.5" thickBot="1">
      <c r="A40" s="104" t="s">
        <v>872</v>
      </c>
      <c r="B40" s="310"/>
      <c r="C40" s="310"/>
      <c r="D40" s="310"/>
      <c r="E40" s="310"/>
      <c r="F40" s="310"/>
      <c r="G40" s="310"/>
      <c r="H40" s="310"/>
      <c r="I40" s="310"/>
      <c r="J40" s="2030"/>
      <c r="K40" s="3680" t="str">
        <f t="shared" ref="K40:K41" si="0">MID(A45,3,LEN(A45)-2)</f>
        <v/>
      </c>
      <c r="L40" s="3681"/>
      <c r="M40" s="3681"/>
      <c r="N40" s="3682"/>
      <c r="O40" s="1391" t="str">
        <f>C45</f>
        <v>——</v>
      </c>
      <c r="P40" s="2028"/>
      <c r="V40" s="2028"/>
    </row>
    <row r="41" spans="1:26" ht="16.5" thickBot="1">
      <c r="A41" s="311" t="s">
        <v>356</v>
      </c>
      <c r="B41" s="312"/>
      <c r="C41" s="313" t="s">
        <v>357</v>
      </c>
      <c r="D41" s="314" t="s">
        <v>358</v>
      </c>
      <c r="E41" s="314" t="s">
        <v>359</v>
      </c>
      <c r="F41" s="315" t="s">
        <v>360</v>
      </c>
      <c r="G41" s="310"/>
      <c r="H41" s="310"/>
      <c r="I41" s="310"/>
      <c r="J41" s="2030"/>
      <c r="K41" s="3680" t="str">
        <f t="shared" si="0"/>
        <v/>
      </c>
      <c r="L41" s="3681"/>
      <c r="M41" s="3681"/>
      <c r="N41" s="3682"/>
      <c r="O41" s="1391" t="str">
        <f>C46</f>
        <v>——</v>
      </c>
      <c r="P41" s="2028"/>
      <c r="V41" s="2028"/>
    </row>
    <row r="42" spans="1:26" ht="29.25">
      <c r="A42" s="3740" t="s">
        <v>2066</v>
      </c>
      <c r="B42" s="3741"/>
      <c r="C42" s="263">
        <f ca="1">C32</f>
        <v>39126</v>
      </c>
      <c r="D42" s="316">
        <f ca="1">C33</f>
        <v>3419</v>
      </c>
      <c r="E42" s="316">
        <f ca="1">C34</f>
        <v>10257</v>
      </c>
      <c r="F42" s="317">
        <f ca="1">C35</f>
        <v>684</v>
      </c>
      <c r="G42" s="310"/>
      <c r="H42" s="310"/>
      <c r="I42" s="318"/>
      <c r="J42" s="2030"/>
      <c r="K42" s="1269" t="s">
        <v>361</v>
      </c>
      <c r="L42" s="2047" t="s">
        <v>362</v>
      </c>
      <c r="M42" s="1270" t="s">
        <v>363</v>
      </c>
      <c r="N42" s="2048" t="s">
        <v>364</v>
      </c>
      <c r="O42" s="2049" t="s">
        <v>365</v>
      </c>
      <c r="P42" s="2028"/>
      <c r="V42" s="2028"/>
    </row>
    <row r="43" spans="1:26" ht="30">
      <c r="A43" s="3750" t="s">
        <v>2728</v>
      </c>
      <c r="B43" s="3751"/>
      <c r="C43" s="263">
        <f>IF(H33="正常操作",G33+G34+G35,G34+G35)</f>
        <v>0</v>
      </c>
      <c r="D43" s="316" t="s">
        <v>43</v>
      </c>
      <c r="E43" s="316" t="s">
        <v>44</v>
      </c>
      <c r="F43" s="317" t="s">
        <v>44</v>
      </c>
      <c r="G43" s="2890" t="s">
        <v>951</v>
      </c>
      <c r="H43" s="310"/>
      <c r="I43" s="318"/>
      <c r="J43" s="2030"/>
      <c r="K43" s="1271" t="str">
        <f>C4</f>
        <v>比较法-住宅、综合</v>
      </c>
      <c r="L43" s="1272">
        <f ca="1">IF(L42="估价结果/万元",C19,C20)</f>
        <v>18664</v>
      </c>
      <c r="M43" s="1273">
        <f>C18</f>
        <v>0</v>
      </c>
      <c r="N43" s="1274">
        <f ca="1">IF(N42="测算结果/万元",G19,G20)</f>
        <v>39526</v>
      </c>
      <c r="O43" s="1275">
        <f ca="1">IF(O42="最终结果/万元",C32,C33)</f>
        <v>39126</v>
      </c>
      <c r="P43" s="2028"/>
      <c r="V43" s="2028"/>
    </row>
    <row r="44" spans="1:26" ht="30.75" thickBot="1">
      <c r="A44" s="3740" t="str">
        <f>IF(OR(项目基本情况!E8="抵押价格",项目基本情况!E8="已注销及未注销"),"3.抵押价格","——")</f>
        <v>——</v>
      </c>
      <c r="B44" s="3741"/>
      <c r="C44" s="263" t="str">
        <f>IF(A44="——","——",C42-C43)</f>
        <v>——</v>
      </c>
      <c r="D44" s="316" t="e">
        <f>ROUND(C44*10000/'数据-汇总表'!E3,0)</f>
        <v>#VALUE!</v>
      </c>
      <c r="E44" s="316" t="e">
        <f>ROUND(C44*10000/'数据-汇总表'!D3,0)</f>
        <v>#VALUE!</v>
      </c>
      <c r="F44" s="317" t="e">
        <f>ROUND(C44/('数据-汇总表'!D3/666.67),0)</f>
        <v>#VALUE!</v>
      </c>
      <c r="G44" s="310"/>
      <c r="H44" s="310"/>
      <c r="I44" s="318"/>
      <c r="J44" s="2030"/>
      <c r="K44" s="1276" t="str">
        <f>D4</f>
        <v>剩余法-待开发</v>
      </c>
      <c r="L44" s="1277">
        <f ca="1">IF(L42="估价结果/万元",D19,D20)</f>
        <v>39526</v>
      </c>
      <c r="M44" s="1278">
        <f>D18</f>
        <v>1</v>
      </c>
      <c r="N44" s="1279"/>
      <c r="O44" s="1280"/>
      <c r="P44" s="2028"/>
      <c r="V44" s="2028"/>
    </row>
    <row r="45" spans="1:26" ht="15">
      <c r="A45" s="3745" t="str">
        <f>IF(项目基本情况!E8="已注销及未注销","4.抵押担保权已注销时的抵押价格",IF(项目基本情况!E8="已注销","3.抵押担保权已注销时的抵押价格","——"))</f>
        <v>——</v>
      </c>
      <c r="B45" s="3746"/>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742" t="str">
        <f>IF(项目基本情况!E9="抵押净值",IF(A45="——","4.抵押净值","5.抵押净值"),"——")</f>
        <v>——</v>
      </c>
      <c r="B46" s="3743"/>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366</v>
      </c>
      <c r="B47" s="1281"/>
      <c r="C47" s="321" t="s">
        <v>367</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368</v>
      </c>
      <c r="G53" s="336"/>
      <c r="H53" s="336"/>
      <c r="I53" s="337" t="s">
        <v>369</v>
      </c>
      <c r="J53" s="2031"/>
      <c r="K53" s="2028"/>
      <c r="L53" s="2028"/>
      <c r="M53" s="2028"/>
      <c r="N53" s="2028"/>
      <c r="O53" s="2028"/>
      <c r="P53" s="2028"/>
      <c r="Q53" s="2028"/>
      <c r="R53" s="2028"/>
      <c r="S53" s="2028"/>
      <c r="T53" s="2028"/>
      <c r="U53" s="2028"/>
      <c r="V53" s="2028"/>
    </row>
    <row r="54" spans="1:22" ht="12.75">
      <c r="A54" s="256"/>
      <c r="B54" s="338" t="s">
        <v>370</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371</v>
      </c>
      <c r="J56" s="2031"/>
      <c r="K56" s="2028"/>
      <c r="L56" s="2028"/>
      <c r="M56" s="2028"/>
      <c r="N56" s="2028"/>
      <c r="O56" s="2028"/>
      <c r="P56" s="2028"/>
      <c r="Q56" s="2028"/>
      <c r="R56" s="2028"/>
      <c r="S56" s="2028"/>
      <c r="T56" s="2028"/>
      <c r="U56" s="2028"/>
      <c r="V56" s="2028"/>
    </row>
    <row r="57" spans="1:22" ht="12.75">
      <c r="A57" s="256"/>
      <c r="B57" s="338" t="s">
        <v>372</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371</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2" t="s">
        <v>373</v>
      </c>
      <c r="B62" s="1283"/>
      <c r="C62" s="1283"/>
      <c r="D62" s="1284"/>
      <c r="E62" s="1284"/>
      <c r="F62" s="1285"/>
      <c r="G62" s="1285"/>
      <c r="H62" s="1285"/>
      <c r="I62" s="1285"/>
      <c r="J62" s="2032"/>
      <c r="K62" s="2028"/>
      <c r="L62" s="2028"/>
      <c r="M62" s="2028"/>
      <c r="N62" s="2028"/>
      <c r="O62" s="2028"/>
      <c r="P62" s="2028"/>
      <c r="Q62" s="2028"/>
      <c r="R62" s="2028"/>
      <c r="S62" s="2028"/>
      <c r="T62" s="2028"/>
      <c r="U62" s="2028"/>
      <c r="V62" s="2028"/>
    </row>
    <row r="63" spans="1:22" ht="14.25" customHeight="1" thickBot="1">
      <c r="A63" s="3708" t="s">
        <v>374</v>
      </c>
      <c r="B63" s="3709"/>
      <c r="C63" s="3710"/>
      <c r="D63" s="340">
        <f ca="1">ROUND(C42*F63,0)</f>
        <v>23476</v>
      </c>
      <c r="E63" s="301" t="s">
        <v>375</v>
      </c>
      <c r="F63" s="341">
        <v>0.6</v>
      </c>
      <c r="G63" s="342" t="s">
        <v>376</v>
      </c>
      <c r="H63" s="310"/>
      <c r="I63" s="310"/>
      <c r="J63" s="2028"/>
      <c r="K63" s="2028"/>
      <c r="L63" s="2028"/>
      <c r="M63" s="2028"/>
      <c r="N63" s="2028"/>
      <c r="O63" s="2028"/>
      <c r="P63" s="310"/>
      <c r="Q63" s="2028"/>
      <c r="R63" s="2028"/>
      <c r="S63" s="2028"/>
      <c r="T63" s="2028"/>
      <c r="U63" s="2028"/>
      <c r="V63" s="2028"/>
    </row>
    <row r="64" spans="1:22" ht="14.25" customHeight="1">
      <c r="A64" s="3747" t="s">
        <v>378</v>
      </c>
      <c r="B64" s="3748"/>
      <c r="C64" s="3748"/>
      <c r="D64" s="3748"/>
      <c r="E64" s="3748"/>
      <c r="F64" s="3748"/>
      <c r="G64" s="3749"/>
      <c r="H64" s="1286"/>
      <c r="I64" s="946"/>
      <c r="J64" s="1990"/>
      <c r="K64" s="1560" t="s">
        <v>377</v>
      </c>
      <c r="L64" s="11"/>
      <c r="M64" s="11"/>
      <c r="N64" s="11"/>
      <c r="O64" s="11"/>
      <c r="P64" s="310"/>
      <c r="Q64" s="2028"/>
      <c r="R64" s="2028"/>
      <c r="S64" s="2028"/>
      <c r="T64" s="2028"/>
      <c r="U64" s="2028"/>
      <c r="V64" s="2028"/>
    </row>
    <row r="65" spans="1:22" ht="12" customHeight="1">
      <c r="A65" s="343" t="s">
        <v>380</v>
      </c>
      <c r="B65" s="344"/>
      <c r="C65" s="345"/>
      <c r="D65" s="346" t="s">
        <v>381</v>
      </c>
      <c r="E65" s="53" t="s">
        <v>382</v>
      </c>
      <c r="F65" s="347" t="s">
        <v>383</v>
      </c>
      <c r="G65" s="348" t="s">
        <v>384</v>
      </c>
      <c r="H65" s="1286"/>
      <c r="I65" s="946"/>
      <c r="J65" s="1990"/>
      <c r="K65" s="1287"/>
      <c r="L65" s="1288"/>
      <c r="M65" s="1288"/>
      <c r="N65" s="1320" t="s">
        <v>379</v>
      </c>
      <c r="O65" s="1321"/>
      <c r="P65" s="1322"/>
      <c r="Q65" s="2028"/>
      <c r="R65" s="2028"/>
      <c r="S65" s="2028"/>
      <c r="T65" s="2028"/>
      <c r="U65" s="2028"/>
      <c r="V65" s="2028"/>
    </row>
    <row r="66" spans="1:22" ht="25.5">
      <c r="A66" s="3744" t="s">
        <v>386</v>
      </c>
      <c r="B66" s="3715"/>
      <c r="C66" s="3715"/>
      <c r="D66" s="260">
        <f ca="1">IF(H66="情况1",0,IF(H66="情况2",D70,IF(H66="情况3",D71,IF(H66="情况4",D72))))</f>
        <v>1230</v>
      </c>
      <c r="E66" s="991" t="str">
        <f>IF(H66="情况4","(销售额-原购置价)×税（费）率","销售额×税（费）率")</f>
        <v>销售额×税（费）率</v>
      </c>
      <c r="F66" s="349">
        <f>IF(H66="情况1","免征",'数据-取费表'!B41)</f>
        <v>5.5000000000000007E-2</v>
      </c>
      <c r="G66" s="350" t="s">
        <v>387</v>
      </c>
      <c r="H66" s="191" t="s">
        <v>388</v>
      </c>
      <c r="I66" s="1286"/>
      <c r="J66" s="2034"/>
      <c r="K66" s="1289">
        <v>1</v>
      </c>
      <c r="L66" s="3684" t="s">
        <v>385</v>
      </c>
      <c r="M66" s="3685"/>
      <c r="N66" s="2482"/>
      <c r="O66" s="2483"/>
      <c r="P66" s="2484"/>
      <c r="Q66" s="2028"/>
      <c r="R66" s="2028"/>
      <c r="S66" s="2028"/>
      <c r="T66" s="2028"/>
      <c r="U66" s="2028"/>
      <c r="V66" s="2028"/>
    </row>
    <row r="67" spans="1:22" ht="25.5" customHeight="1">
      <c r="A67" s="351" t="s">
        <v>390</v>
      </c>
      <c r="B67" s="3727" t="s">
        <v>391</v>
      </c>
      <c r="C67" s="3727"/>
      <c r="D67" s="352">
        <v>0</v>
      </c>
      <c r="E67" s="41" t="s">
        <v>392</v>
      </c>
      <c r="F67" s="62" t="s">
        <v>21</v>
      </c>
      <c r="G67" s="3711"/>
      <c r="H67" s="310"/>
      <c r="I67" s="1290"/>
      <c r="J67" s="2035"/>
      <c r="K67" s="1976">
        <v>2</v>
      </c>
      <c r="L67" s="3683" t="s">
        <v>389</v>
      </c>
      <c r="M67" s="3683"/>
      <c r="N67" s="1323">
        <f>'数据-取费表'!B2</f>
        <v>43438</v>
      </c>
      <c r="O67" s="1323"/>
      <c r="P67" s="1323"/>
      <c r="Q67" s="2028"/>
      <c r="R67" s="2028"/>
      <c r="S67" s="2028"/>
      <c r="T67" s="2028"/>
      <c r="U67" s="2028"/>
      <c r="V67" s="2028"/>
    </row>
    <row r="68" spans="1:22" ht="25.5" customHeight="1">
      <c r="A68" s="353"/>
      <c r="B68" s="3727" t="s">
        <v>394</v>
      </c>
      <c r="C68" s="3727"/>
      <c r="D68" s="354"/>
      <c r="E68" s="77"/>
      <c r="F68" s="355"/>
      <c r="G68" s="3712"/>
      <c r="H68" s="310"/>
      <c r="I68" s="1290"/>
      <c r="J68" s="2035"/>
      <c r="K68" s="1976">
        <v>3</v>
      </c>
      <c r="L68" s="3683" t="s">
        <v>393</v>
      </c>
      <c r="M68" s="3683"/>
      <c r="N68" s="1291">
        <f ca="1">C42</f>
        <v>39126</v>
      </c>
      <c r="O68" s="1291"/>
      <c r="P68" s="1291"/>
      <c r="Q68" s="2028"/>
      <c r="R68" s="2028"/>
      <c r="S68" s="2028"/>
      <c r="T68" s="2028"/>
      <c r="U68" s="2028"/>
      <c r="V68" s="2028"/>
    </row>
    <row r="69" spans="1:22" ht="12" customHeight="1">
      <c r="A69" s="356"/>
      <c r="B69" s="3727" t="s">
        <v>395</v>
      </c>
      <c r="C69" s="3727"/>
      <c r="D69" s="357"/>
      <c r="E69" s="73"/>
      <c r="F69" s="355"/>
      <c r="G69" s="3713"/>
      <c r="H69" s="310"/>
      <c r="I69" s="1290"/>
      <c r="J69" s="2035"/>
      <c r="K69" s="1292">
        <v>4</v>
      </c>
      <c r="L69" s="3689" t="s">
        <v>2881</v>
      </c>
      <c r="M69" s="3690"/>
      <c r="N69" s="1293" t="str">
        <f>C44</f>
        <v>——</v>
      </c>
      <c r="O69" s="1293"/>
      <c r="P69" s="1293"/>
      <c r="Q69" s="2028"/>
      <c r="R69" s="2028"/>
      <c r="S69" s="2028"/>
      <c r="T69" s="2028"/>
      <c r="U69" s="2028"/>
      <c r="V69" s="2028"/>
    </row>
    <row r="70" spans="1:22" ht="24" customHeight="1">
      <c r="A70" s="358" t="s">
        <v>396</v>
      </c>
      <c r="B70" s="3727" t="s">
        <v>397</v>
      </c>
      <c r="C70" s="3727"/>
      <c r="D70" s="357">
        <f ca="1">ROUND(D63*'数据-取费表'!B41/(1+'数据-取费表'!C42),0)</f>
        <v>1230</v>
      </c>
      <c r="E70" s="17" t="s">
        <v>398</v>
      </c>
      <c r="F70" s="359">
        <f>'数据-取费表'!B41</f>
        <v>5.5000000000000007E-2</v>
      </c>
      <c r="G70" s="360"/>
      <c r="H70" s="310"/>
      <c r="I70" s="1290"/>
      <c r="J70" s="2035"/>
      <c r="K70" s="3086"/>
      <c r="L70" s="3087"/>
      <c r="M70" s="3087"/>
      <c r="N70" s="3088" t="s">
        <v>2886</v>
      </c>
      <c r="O70" s="3087"/>
      <c r="P70" s="3089"/>
      <c r="Q70" s="2028"/>
      <c r="R70" s="2028"/>
      <c r="S70" s="2028"/>
      <c r="T70" s="2028"/>
      <c r="U70" s="2028"/>
      <c r="V70" s="2028"/>
    </row>
    <row r="71" spans="1:22" ht="12" customHeight="1">
      <c r="A71" s="358" t="s">
        <v>404</v>
      </c>
      <c r="B71" s="3726" t="s">
        <v>405</v>
      </c>
      <c r="C71" s="3738"/>
      <c r="D71" s="357">
        <f ca="1">ROUND(D63*'数据-取费表'!B41/(1+'数据-取费表'!C42),0)</f>
        <v>1230</v>
      </c>
      <c r="E71" s="17" t="s">
        <v>398</v>
      </c>
      <c r="F71" s="359">
        <f>'数据-取费表'!B41</f>
        <v>5.5000000000000007E-2</v>
      </c>
      <c r="G71" s="360"/>
      <c r="H71" s="310"/>
      <c r="I71" s="1290"/>
      <c r="J71" s="2035"/>
      <c r="K71" s="3085" t="s">
        <v>399</v>
      </c>
      <c r="L71" s="3691" t="s">
        <v>400</v>
      </c>
      <c r="M71" s="3691"/>
      <c r="N71" s="3085" t="s">
        <v>401</v>
      </c>
      <c r="O71" s="3085" t="s">
        <v>402</v>
      </c>
      <c r="P71" s="3085" t="s">
        <v>403</v>
      </c>
      <c r="Q71" s="2028"/>
      <c r="R71" s="2028"/>
      <c r="S71" s="2028"/>
      <c r="T71" s="2028"/>
      <c r="U71" s="2028"/>
      <c r="V71" s="2028"/>
    </row>
    <row r="72" spans="1:22" ht="12" customHeight="1">
      <c r="A72" s="358" t="s">
        <v>407</v>
      </c>
      <c r="B72" s="3726" t="s">
        <v>408</v>
      </c>
      <c r="C72" s="3738"/>
      <c r="D72" s="357">
        <f ca="1">C86</f>
        <v>1120</v>
      </c>
      <c r="E72" s="73" t="s">
        <v>409</v>
      </c>
      <c r="F72" s="359">
        <f>'数据-取费表'!B41</f>
        <v>5.5000000000000007E-2</v>
      </c>
      <c r="G72" s="360"/>
      <c r="H72" s="1296"/>
      <c r="I72" s="1290"/>
      <c r="J72" s="2035"/>
      <c r="K72" s="1976">
        <v>1</v>
      </c>
      <c r="L72" s="3688" t="s">
        <v>406</v>
      </c>
      <c r="M72" s="3688"/>
      <c r="N72" s="1294">
        <f ca="1">D66</f>
        <v>1230</v>
      </c>
      <c r="O72" s="1859" t="str">
        <f>E66</f>
        <v>销售额×税（费）率</v>
      </c>
      <c r="P72" s="1295">
        <f>F66</f>
        <v>5.5000000000000007E-2</v>
      </c>
      <c r="Q72" s="2028"/>
      <c r="R72" s="2028"/>
      <c r="S72" s="2028"/>
      <c r="T72" s="2028"/>
      <c r="U72" s="2028"/>
      <c r="V72" s="2028"/>
    </row>
    <row r="73" spans="1:22" ht="24" customHeight="1">
      <c r="A73" s="3714" t="s">
        <v>411</v>
      </c>
      <c r="B73" s="3715"/>
      <c r="C73" s="3715"/>
      <c r="D73" s="361">
        <f>IF(H73="个人住宅",0,ROUND(D63*I73,0))</f>
        <v>0</v>
      </c>
      <c r="E73" s="17" t="s">
        <v>412</v>
      </c>
      <c r="F73" s="359" t="str">
        <f>IF(H73="正常",I73,"免征")</f>
        <v>免征</v>
      </c>
      <c r="G73" s="360"/>
      <c r="H73" s="191" t="s">
        <v>2453</v>
      </c>
      <c r="I73" s="359">
        <f>'数据-取费表'!B49</f>
        <v>5.0000000000000001E-4</v>
      </c>
      <c r="J73" s="2035"/>
      <c r="K73" s="1976">
        <v>2</v>
      </c>
      <c r="L73" s="3688" t="s">
        <v>410</v>
      </c>
      <c r="M73" s="3688"/>
      <c r="N73" s="1294">
        <f t="shared" ref="N73:P74" si="1">D73</f>
        <v>0</v>
      </c>
      <c r="O73" s="1859" t="str">
        <f t="shared" si="1"/>
        <v>销售额×税（费）率</v>
      </c>
      <c r="P73" s="1295" t="str">
        <f t="shared" si="1"/>
        <v>免征</v>
      </c>
      <c r="Q73" s="2028"/>
      <c r="R73" s="2028"/>
      <c r="S73" s="2028"/>
      <c r="T73" s="2028"/>
      <c r="U73" s="2028"/>
      <c r="V73" s="2028"/>
    </row>
    <row r="74" spans="1:22" ht="24.75">
      <c r="A74" s="3714" t="s">
        <v>415</v>
      </c>
      <c r="B74" s="3715"/>
      <c r="C74" s="3715"/>
      <c r="D74" s="361">
        <f ca="1">IF(H74="个人住宅",D75,D76)</f>
        <v>12648</v>
      </c>
      <c r="E74" s="17" t="s">
        <v>416</v>
      </c>
      <c r="F74" s="359" t="str">
        <f>IF(H74="正常",F76,"免征")</f>
        <v>——</v>
      </c>
      <c r="G74" s="981" t="s">
        <v>417</v>
      </c>
      <c r="H74" s="362" t="s">
        <v>413</v>
      </c>
      <c r="I74" s="42"/>
      <c r="J74" s="2035"/>
      <c r="K74" s="1976">
        <v>3</v>
      </c>
      <c r="L74" s="3688" t="s">
        <v>414</v>
      </c>
      <c r="M74" s="3688"/>
      <c r="N74" s="1294">
        <f t="shared" ca="1" si="1"/>
        <v>12648</v>
      </c>
      <c r="O74" s="1859" t="str">
        <f t="shared" si="1"/>
        <v>增值额×税（费）率</v>
      </c>
      <c r="P74" s="1297" t="str">
        <f t="shared" si="1"/>
        <v>——</v>
      </c>
      <c r="Q74" s="2028"/>
      <c r="R74" s="2028"/>
      <c r="S74" s="2028"/>
      <c r="T74" s="2028"/>
      <c r="U74" s="2028"/>
      <c r="V74" s="2028"/>
    </row>
    <row r="75" spans="1:22" ht="24">
      <c r="A75" s="358" t="s">
        <v>418</v>
      </c>
      <c r="B75" s="3695" t="s">
        <v>419</v>
      </c>
      <c r="C75" s="3696"/>
      <c r="D75" s="363">
        <v>0</v>
      </c>
      <c r="E75" s="41" t="s">
        <v>420</v>
      </c>
      <c r="F75" s="364"/>
      <c r="G75" s="360"/>
      <c r="H75" s="42"/>
      <c r="I75" s="42"/>
      <c r="J75" s="2035"/>
      <c r="K75" s="3078">
        <f>IF(H77="非个人房产","",4)</f>
        <v>4</v>
      </c>
      <c r="L75" s="3688" t="str">
        <f>IF(H77="非个人房产","——","个人所得税")</f>
        <v>个人所得税</v>
      </c>
      <c r="M75" s="3688"/>
      <c r="N75" s="1298">
        <f ca="1">D77</f>
        <v>235</v>
      </c>
      <c r="O75" s="1872" t="str">
        <f>E77</f>
        <v>销售额×税（费）率</v>
      </c>
      <c r="P75" s="1299">
        <f>F77</f>
        <v>0.01</v>
      </c>
      <c r="Q75" s="2028"/>
      <c r="R75" s="2028"/>
      <c r="S75" s="2028"/>
      <c r="T75" s="2028"/>
      <c r="U75" s="2028"/>
      <c r="V75" s="2028"/>
    </row>
    <row r="76" spans="1:22" ht="24.75">
      <c r="A76" s="358" t="s">
        <v>396</v>
      </c>
      <c r="B76" s="3695" t="s">
        <v>422</v>
      </c>
      <c r="C76" s="3737"/>
      <c r="D76" s="361">
        <f ca="1">IF(H76="转让取得",C99,C115)</f>
        <v>12648</v>
      </c>
      <c r="E76" s="17" t="s">
        <v>423</v>
      </c>
      <c r="F76" s="53" t="s">
        <v>21</v>
      </c>
      <c r="G76" s="360"/>
      <c r="H76" s="362" t="s">
        <v>424</v>
      </c>
      <c r="I76" s="42"/>
      <c r="J76" s="2035"/>
      <c r="K76" s="3078" t="str">
        <f>IF(项目基本情况!K6="上海银行",IF(K75="",4,K75+1),"")</f>
        <v/>
      </c>
      <c r="L76" s="3676" t="str">
        <f>IF(项目基本情况!K6="上海银行","其他处置费用","")</f>
        <v/>
      </c>
      <c r="M76" s="3677"/>
      <c r="N76" s="1294" t="str">
        <f>IF(项目基本情况!K6="上海银行",N89,"")</f>
        <v/>
      </c>
      <c r="O76" s="3678" t="str">
        <f>IF(项目基本情况!K6="上海银行","包含处置中涉及的律师、诉讼、拍卖、评估等费用","")</f>
        <v/>
      </c>
      <c r="P76" s="3679"/>
      <c r="Q76" s="2028"/>
      <c r="R76" s="2028"/>
      <c r="S76" s="2028"/>
      <c r="T76" s="2028"/>
      <c r="U76" s="2028"/>
      <c r="V76" s="2028"/>
    </row>
    <row r="77" spans="1:22" ht="26.25" thickBot="1">
      <c r="A77" s="3706" t="s">
        <v>426</v>
      </c>
      <c r="B77" s="3707"/>
      <c r="C77" s="3707"/>
      <c r="D77" s="365">
        <f ca="1">IF(H77="非个人房产","——",IF(H77="个人住宅",0,ROUND(D63*I77,0)))</f>
        <v>235</v>
      </c>
      <c r="E77" s="366" t="str">
        <f>IF(H77="非个人房产","——","销售额×税（费）率")</f>
        <v>销售额×税（费）率</v>
      </c>
      <c r="F77" s="367">
        <f>IF(H77="非个人房产","——",IF(H77="个人住宅","免征",I77))</f>
        <v>0.01</v>
      </c>
      <c r="G77" s="982" t="s">
        <v>417</v>
      </c>
      <c r="H77" s="362" t="s">
        <v>2882</v>
      </c>
      <c r="I77" s="368">
        <v>0.01</v>
      </c>
      <c r="J77" s="2035"/>
      <c r="K77" s="3702">
        <f>IF(AND(K75="",K76=""),4,IF(项目基本情况!K6="上海银行",K76+1,K75+1))</f>
        <v>5</v>
      </c>
      <c r="L77" s="3688" t="s">
        <v>2883</v>
      </c>
      <c r="M77" s="3084" t="s">
        <v>421</v>
      </c>
      <c r="N77" s="1300"/>
      <c r="O77" s="1301">
        <f ca="1">SUMIF(N72:N76,"&lt;9e307")</f>
        <v>14113</v>
      </c>
      <c r="P77" s="1302"/>
      <c r="Q77" s="3082" t="e">
        <f ca="1">O77/N69</f>
        <v>#VALUE!</v>
      </c>
      <c r="R77" s="2028"/>
      <c r="S77" s="2028"/>
      <c r="T77" s="2028"/>
      <c r="U77" s="2028"/>
      <c r="V77" s="2028"/>
    </row>
    <row r="78" spans="1:22" ht="12" customHeight="1">
      <c r="A78" s="1303"/>
      <c r="B78" s="310"/>
      <c r="C78" s="310"/>
      <c r="D78" s="310"/>
      <c r="E78" s="42"/>
      <c r="F78" s="42"/>
      <c r="G78" s="42"/>
      <c r="H78" s="1001"/>
      <c r="I78" s="310"/>
      <c r="J78" s="2035"/>
      <c r="K78" s="3702"/>
      <c r="L78" s="3688"/>
      <c r="M78" s="3084" t="s">
        <v>425</v>
      </c>
      <c r="N78" s="1300"/>
      <c r="O78" s="1301" t="str">
        <f ca="1">NUMBERSTRING(INT(O77*10000),2)&amp;"元整"</f>
        <v>壹亿肆仟壹佰壹拾叁万元整</v>
      </c>
      <c r="P78" s="1302"/>
      <c r="Q78" s="2028"/>
      <c r="R78" s="2028"/>
      <c r="S78" s="2028"/>
      <c r="T78" s="2028"/>
      <c r="U78" s="2028"/>
      <c r="V78" s="2028"/>
    </row>
    <row r="79" spans="1:22" ht="13.5" thickBot="1">
      <c r="A79" s="3692" t="s">
        <v>427</v>
      </c>
      <c r="B79" s="3692"/>
      <c r="C79" s="3692"/>
      <c r="D79" s="3692"/>
      <c r="E79" s="3692"/>
      <c r="F79" s="42"/>
      <c r="G79" s="42"/>
      <c r="H79" s="1001"/>
      <c r="I79" s="310"/>
      <c r="J79" s="2035"/>
      <c r="K79" s="3686">
        <f>K77+1</f>
        <v>6</v>
      </c>
      <c r="L79" s="3688" t="s">
        <v>2884</v>
      </c>
      <c r="M79" s="3084" t="s">
        <v>421</v>
      </c>
      <c r="N79" s="1300"/>
      <c r="O79" s="1301" t="e">
        <f ca="1">N69-O77</f>
        <v>#VALUE!</v>
      </c>
      <c r="P79" s="1302"/>
      <c r="Q79" s="2028"/>
      <c r="R79" s="2028"/>
      <c r="S79" s="2028"/>
      <c r="T79" s="2028"/>
      <c r="U79" s="2028"/>
      <c r="V79" s="2028"/>
    </row>
    <row r="80" spans="1:22" ht="12.75">
      <c r="A80" s="3693" t="s">
        <v>428</v>
      </c>
      <c r="B80" s="3694"/>
      <c r="C80" s="992"/>
      <c r="D80" s="992" t="s">
        <v>429</v>
      </c>
      <c r="E80" s="369" t="s">
        <v>430</v>
      </c>
      <c r="F80" s="42"/>
      <c r="G80" s="42"/>
      <c r="H80" s="1001"/>
      <c r="I80" s="310"/>
      <c r="J80" s="2028"/>
      <c r="K80" s="3687"/>
      <c r="L80" s="3688"/>
      <c r="M80" s="3084" t="s">
        <v>425</v>
      </c>
      <c r="N80" s="1300"/>
      <c r="O80" s="1301" t="e">
        <f ca="1">NUMBERSTRING(INT(O79*10000),2)&amp;"元整"</f>
        <v>#VALUE!</v>
      </c>
      <c r="P80" s="1302"/>
      <c r="Q80" s="2028"/>
      <c r="R80" s="2028"/>
      <c r="S80" s="2028"/>
      <c r="T80" s="2028"/>
      <c r="U80" s="2028"/>
      <c r="V80" s="2028"/>
    </row>
    <row r="81" spans="1:26" ht="13.5" thickBot="1">
      <c r="A81" s="380" t="s">
        <v>1823</v>
      </c>
      <c r="B81" s="370" t="s">
        <v>431</v>
      </c>
      <c r="C81" s="371">
        <f ca="1">ROUND((C82+C83)/(1+'数据-取费表'!C42),0)</f>
        <v>22358</v>
      </c>
      <c r="D81" s="372"/>
      <c r="E81" s="373"/>
      <c r="F81" s="42"/>
      <c r="G81" s="42"/>
      <c r="H81" s="1001"/>
      <c r="I81" s="310"/>
      <c r="J81" s="2028"/>
      <c r="K81" s="3078">
        <f>K79+1</f>
        <v>7</v>
      </c>
      <c r="L81" s="3700" t="s">
        <v>2885</v>
      </c>
      <c r="M81" s="3701"/>
      <c r="N81" s="1304"/>
      <c r="O81" s="1305" t="e">
        <f ca="1">ROUND(O79*10000/'数据-汇总表'!E3,0)</f>
        <v>#VALUE!</v>
      </c>
      <c r="P81" s="1306"/>
      <c r="Q81" s="2028"/>
      <c r="R81" s="2028"/>
      <c r="S81" s="2028"/>
      <c r="T81" s="2028"/>
      <c r="U81" s="2028"/>
      <c r="V81" s="2028"/>
    </row>
    <row r="82" spans="1:26" ht="13.5" thickTop="1">
      <c r="A82" s="374" t="s">
        <v>1824</v>
      </c>
      <c r="B82" s="375" t="s">
        <v>432</v>
      </c>
      <c r="C82" s="376">
        <f ca="1">D63</f>
        <v>23476</v>
      </c>
      <c r="D82" s="377" t="s">
        <v>19</v>
      </c>
      <c r="E82" s="378"/>
      <c r="F82" s="42"/>
      <c r="G82" s="42"/>
      <c r="H82" s="1001"/>
      <c r="I82" s="310"/>
      <c r="J82" s="2028"/>
      <c r="K82" s="2028"/>
      <c r="L82" s="2028"/>
      <c r="M82" s="2028"/>
      <c r="N82" s="2028"/>
      <c r="O82" s="2028"/>
      <c r="P82" s="2028"/>
      <c r="Q82" s="2028"/>
      <c r="R82" s="2028"/>
      <c r="S82" s="2028"/>
      <c r="T82" s="2028"/>
      <c r="U82" s="2028"/>
      <c r="V82" s="2028"/>
    </row>
    <row r="83" spans="1:26" ht="12.75">
      <c r="A83" s="374" t="s">
        <v>1825</v>
      </c>
      <c r="B83" s="375" t="s">
        <v>433</v>
      </c>
      <c r="C83" s="379">
        <v>0</v>
      </c>
      <c r="D83" s="377"/>
      <c r="E83" s="378"/>
      <c r="F83" s="42"/>
      <c r="G83" s="42"/>
      <c r="H83" s="1001"/>
      <c r="I83" s="310"/>
      <c r="J83" s="2028"/>
      <c r="K83" s="3675" t="s">
        <v>2872</v>
      </c>
      <c r="L83" s="3090" t="s">
        <v>2873</v>
      </c>
      <c r="M83" s="3080" t="e">
        <f>IF(N69&gt;10000,N69*0.5%,IF(AND(N69&gt;1000,N69&lt;=10000),N69*1%,IF(AND(N69&gt;100,N69&lt;=1000),N69*3%,IF(AND(N69&gt;10,N69&lt;=100),N69*5%,N69*8%))))</f>
        <v>#VALUE!</v>
      </c>
      <c r="N83" s="53" t="e">
        <f>ROUND(M83,1)</f>
        <v>#VALUE!</v>
      </c>
      <c r="O83" s="3083"/>
      <c r="P83" s="2028"/>
      <c r="Q83" s="2028"/>
      <c r="R83" s="2028"/>
      <c r="S83" s="2028"/>
      <c r="T83" s="2028"/>
      <c r="U83" s="2028"/>
      <c r="V83" s="2028"/>
    </row>
    <row r="84" spans="1:26" ht="12.75">
      <c r="A84" s="380" t="s">
        <v>1826</v>
      </c>
      <c r="B84" s="381" t="s">
        <v>434</v>
      </c>
      <c r="C84" s="382">
        <v>2000</v>
      </c>
      <c r="D84" s="383" t="s">
        <v>19</v>
      </c>
      <c r="E84" s="3125" t="s">
        <v>2938</v>
      </c>
      <c r="F84" s="42"/>
      <c r="G84" s="42"/>
      <c r="H84" s="1001"/>
      <c r="I84" s="310"/>
      <c r="J84" s="2028"/>
      <c r="K84" s="3675"/>
      <c r="L84" s="3090" t="s">
        <v>2874</v>
      </c>
      <c r="M84" s="308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2875</v>
      </c>
      <c r="P84" s="2028"/>
      <c r="Q84" s="2028"/>
      <c r="R84" s="2028"/>
      <c r="S84" s="2028"/>
      <c r="T84" s="2028"/>
      <c r="U84" s="2028"/>
      <c r="V84" s="2028"/>
    </row>
    <row r="85" spans="1:26" ht="12.75">
      <c r="A85" s="380" t="s">
        <v>1827</v>
      </c>
      <c r="B85" s="381" t="s">
        <v>435</v>
      </c>
      <c r="C85" s="384">
        <f ca="1">C81-C84</f>
        <v>20358</v>
      </c>
      <c r="D85" s="377" t="s">
        <v>19</v>
      </c>
      <c r="E85" s="378"/>
      <c r="F85" s="42"/>
      <c r="G85" s="42"/>
      <c r="H85" s="1001"/>
      <c r="I85" s="310"/>
      <c r="J85" s="2028"/>
      <c r="K85" s="3675"/>
      <c r="L85" s="3090" t="s">
        <v>2876</v>
      </c>
      <c r="M85" s="3080" t="e">
        <f>IF(N69&gt;1000,N69*0.1%,IF(AND(N69&gt;500,N69&lt;=1000),N69*0.5%,IF(AND(N69&gt;50,N69&lt;=500),N69*1%,IF(AND(N69&gt;1,N69&lt;=50),N69*1.5%))))</f>
        <v>#VALUE!</v>
      </c>
      <c r="N85" s="53" t="e">
        <f t="shared" si="2"/>
        <v>#VALUE!</v>
      </c>
      <c r="O85" s="2028" t="s">
        <v>2875</v>
      </c>
      <c r="P85" s="2028"/>
      <c r="Q85" s="2028"/>
      <c r="R85" s="2028"/>
      <c r="S85" s="2028"/>
      <c r="T85" s="2028"/>
      <c r="U85" s="2028"/>
      <c r="V85" s="2028"/>
    </row>
    <row r="86" spans="1:26" ht="13.5" thickBot="1">
      <c r="A86" s="385" t="s">
        <v>1828</v>
      </c>
      <c r="B86" s="386" t="s">
        <v>436</v>
      </c>
      <c r="C86" s="387">
        <f ca="1">IF(C85&lt;=0,0,ROUND(C85*D86,0))</f>
        <v>1120</v>
      </c>
      <c r="D86" s="388">
        <f>'数据-取费表'!B41</f>
        <v>5.5000000000000007E-2</v>
      </c>
      <c r="E86" s="389"/>
      <c r="F86" s="42"/>
      <c r="G86" s="42"/>
      <c r="H86" s="1001"/>
      <c r="I86" s="310"/>
      <c r="J86" s="2028"/>
      <c r="K86" s="3675"/>
      <c r="L86" s="3090" t="s">
        <v>2877</v>
      </c>
      <c r="M86" s="3080" t="e">
        <f>N69*0.5%</f>
        <v>#VALUE!</v>
      </c>
      <c r="N86" s="53" t="e">
        <f>IF(M86&gt;0.5,0.5,ROUND(M86,0))</f>
        <v>#VALUE!</v>
      </c>
      <c r="O86" s="2028" t="s">
        <v>2878</v>
      </c>
      <c r="P86" s="2028"/>
      <c r="Q86" s="2028"/>
      <c r="R86" s="2028"/>
      <c r="S86" s="2028"/>
      <c r="T86" s="2028"/>
      <c r="U86" s="2028"/>
      <c r="V86" s="2028"/>
    </row>
    <row r="87" spans="1:26" s="1252" customFormat="1" ht="14.25" customHeight="1">
      <c r="A87" s="1307"/>
      <c r="B87" s="1308"/>
      <c r="C87" s="1309"/>
      <c r="D87" s="1310"/>
      <c r="E87" s="1311"/>
      <c r="F87" s="42"/>
      <c r="G87" s="42"/>
      <c r="H87" s="1001"/>
      <c r="I87" s="310"/>
      <c r="J87" s="2028"/>
      <c r="K87" s="3675"/>
      <c r="L87" s="3090" t="s">
        <v>2879</v>
      </c>
      <c r="M87" s="308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83"/>
      <c r="P87" s="310"/>
      <c r="Q87" s="2028"/>
      <c r="R87" s="2028"/>
      <c r="S87" s="2028"/>
      <c r="T87" s="2028"/>
      <c r="U87" s="2028"/>
      <c r="V87" s="2028"/>
      <c r="W87" s="291"/>
      <c r="X87" s="291"/>
      <c r="Y87" s="291"/>
      <c r="Z87" s="291"/>
    </row>
    <row r="88" spans="1:26" s="1312" customFormat="1" ht="15" thickBot="1">
      <c r="A88" s="3729" t="s">
        <v>437</v>
      </c>
      <c r="B88" s="3730"/>
      <c r="C88" s="3730"/>
      <c r="D88" s="3730"/>
      <c r="E88" s="3730"/>
      <c r="F88" s="3730"/>
      <c r="G88" s="3730"/>
      <c r="H88" s="3730"/>
      <c r="I88" s="1313"/>
      <c r="J88" s="2036"/>
      <c r="K88" s="3675"/>
      <c r="L88" s="3090" t="s">
        <v>2880</v>
      </c>
      <c r="M88" s="3080" t="e">
        <f>IF(N69&gt;10000,N69*0.5%,IF(AND(N69&gt;5000,N69&lt;=10000),N69*1%,IF(AND(N69&gt;1000,N69&lt;=5000),N69*2%,IF(AND(N69&gt;200,N69&lt;=1000),N69*3%,N69*5%))))</f>
        <v>#VALUE!</v>
      </c>
      <c r="N88" s="53" t="e">
        <f>ROUND(M88,1)</f>
        <v>#VALUE!</v>
      </c>
      <c r="O88" s="3083"/>
      <c r="P88" s="11"/>
      <c r="Q88" s="2033"/>
      <c r="R88" s="2033"/>
      <c r="S88" s="2033"/>
      <c r="T88" s="2033"/>
      <c r="U88" s="2033"/>
      <c r="V88" s="2033"/>
      <c r="W88" s="2037"/>
      <c r="X88" s="2037"/>
      <c r="Y88" s="2037"/>
      <c r="Z88" s="2037"/>
    </row>
    <row r="89" spans="1:26" s="1312" customFormat="1" ht="14.25">
      <c r="A89" s="3693" t="s">
        <v>428</v>
      </c>
      <c r="B89" s="3694"/>
      <c r="C89" s="992"/>
      <c r="D89" s="992" t="s">
        <v>429</v>
      </c>
      <c r="E89" s="390" t="s">
        <v>438</v>
      </c>
      <c r="F89" s="391"/>
      <c r="G89" s="391"/>
      <c r="H89" s="392"/>
      <c r="I89" s="1314"/>
      <c r="J89" s="2038"/>
      <c r="K89" s="3675"/>
      <c r="L89" s="3090" t="s">
        <v>27</v>
      </c>
      <c r="M89" s="3081"/>
      <c r="N89" s="53" t="e">
        <f>ROUND(SUM(N83:N88),0)</f>
        <v>#VALUE!</v>
      </c>
      <c r="O89" s="3091" t="e">
        <f>N89/N69</f>
        <v>#VALUE!</v>
      </c>
      <c r="P89" s="2033"/>
      <c r="Q89" s="2033"/>
      <c r="R89" s="2033"/>
      <c r="S89" s="2033"/>
      <c r="T89" s="2033"/>
      <c r="U89" s="2033"/>
      <c r="V89" s="2033"/>
      <c r="W89" s="2037"/>
      <c r="X89" s="2037"/>
      <c r="Y89" s="2037"/>
      <c r="Z89" s="2037"/>
    </row>
    <row r="90" spans="1:26" s="1312" customFormat="1" ht="14.25">
      <c r="A90" s="380" t="s">
        <v>1823</v>
      </c>
      <c r="B90" s="381" t="s">
        <v>439</v>
      </c>
      <c r="C90" s="384">
        <f ca="1">ROUND(D63/(1+'数据-取费表'!C42),0)</f>
        <v>22358</v>
      </c>
      <c r="D90" s="377" t="s">
        <v>19</v>
      </c>
      <c r="E90" s="989"/>
      <c r="F90" s="988"/>
      <c r="G90" s="988"/>
      <c r="H90" s="393"/>
      <c r="I90" s="1314"/>
      <c r="J90" s="2038"/>
      <c r="K90" s="2033"/>
      <c r="L90" s="2033"/>
      <c r="M90" s="2033"/>
      <c r="N90" s="2033"/>
      <c r="O90" s="2033"/>
      <c r="P90" s="2033"/>
      <c r="Q90" s="2033"/>
      <c r="R90" s="2033"/>
      <c r="S90" s="2033"/>
      <c r="T90" s="2033"/>
      <c r="U90" s="2033"/>
      <c r="V90" s="2033"/>
      <c r="W90" s="2037"/>
      <c r="X90" s="2037"/>
      <c r="Y90" s="2037"/>
      <c r="Z90" s="2037"/>
    </row>
    <row r="91" spans="1:26" s="1312" customFormat="1" ht="14.25">
      <c r="A91" s="380" t="s">
        <v>1829</v>
      </c>
      <c r="B91" s="347" t="s">
        <v>440</v>
      </c>
      <c r="C91" s="384">
        <f ca="1">C92+C96</f>
        <v>2693</v>
      </c>
      <c r="D91" s="377" t="s">
        <v>19</v>
      </c>
      <c r="E91" s="989"/>
      <c r="F91" s="988"/>
      <c r="G91" s="988"/>
      <c r="H91" s="393"/>
      <c r="I91" s="1314"/>
      <c r="J91" s="2038"/>
      <c r="K91" s="2033"/>
      <c r="L91" s="2033"/>
      <c r="M91" s="2033"/>
      <c r="N91" s="2033"/>
      <c r="O91" s="2033"/>
      <c r="P91" s="2033"/>
      <c r="Q91" s="2033"/>
      <c r="R91" s="2033"/>
      <c r="S91" s="2033"/>
      <c r="T91" s="2033"/>
      <c r="U91" s="2033"/>
      <c r="V91" s="2033"/>
      <c r="W91" s="2037"/>
      <c r="X91" s="2037"/>
      <c r="Y91" s="2037"/>
      <c r="Z91" s="2037"/>
    </row>
    <row r="92" spans="1:26" s="1312" customFormat="1" ht="24">
      <c r="A92" s="394" t="s">
        <v>1830</v>
      </c>
      <c r="B92" s="375" t="s">
        <v>441</v>
      </c>
      <c r="C92" s="377">
        <f>ROUND(IF(G95="2016年5月1日后购买",C93/(1+'数据-取费表'!C30)+C94+C95,C93+C94+C95),0)</f>
        <v>2581</v>
      </c>
      <c r="D92" s="377" t="s">
        <v>19</v>
      </c>
      <c r="E92" s="989"/>
      <c r="F92" s="988"/>
      <c r="G92" s="988"/>
      <c r="H92" s="393"/>
      <c r="I92" s="1314"/>
      <c r="J92" s="2038"/>
      <c r="K92" s="2033"/>
      <c r="L92" s="2033"/>
      <c r="M92" s="2033"/>
      <c r="N92" s="2033"/>
      <c r="O92" s="2033"/>
      <c r="P92" s="2033"/>
      <c r="Q92" s="2033"/>
      <c r="R92" s="2033"/>
      <c r="S92" s="2033"/>
      <c r="T92" s="2033"/>
      <c r="U92" s="2033"/>
      <c r="V92" s="2033"/>
      <c r="W92" s="2037"/>
      <c r="X92" s="2037"/>
      <c r="Y92" s="2037"/>
      <c r="Z92" s="2037"/>
    </row>
    <row r="93" spans="1:26" s="1312" customFormat="1" ht="14.25">
      <c r="A93" s="394" t="s">
        <v>1831</v>
      </c>
      <c r="B93" s="375" t="s">
        <v>442</v>
      </c>
      <c r="C93" s="395">
        <v>2000</v>
      </c>
      <c r="D93" s="377" t="s">
        <v>19</v>
      </c>
      <c r="E93" s="396" t="s">
        <v>443</v>
      </c>
      <c r="F93" s="397" t="s">
        <v>444</v>
      </c>
      <c r="G93" s="396" t="s">
        <v>445</v>
      </c>
      <c r="H93" s="398">
        <v>5</v>
      </c>
      <c r="I93" s="11"/>
      <c r="J93" s="2033"/>
      <c r="K93" s="2033"/>
      <c r="L93" s="2033"/>
      <c r="M93" s="2033"/>
      <c r="N93" s="2033"/>
      <c r="O93" s="2033"/>
      <c r="P93" s="2033"/>
      <c r="Q93" s="2033"/>
      <c r="R93" s="2033"/>
      <c r="S93" s="2033"/>
      <c r="T93" s="2033"/>
      <c r="U93" s="2033"/>
      <c r="V93" s="2033"/>
      <c r="W93" s="2037"/>
      <c r="X93" s="2037"/>
      <c r="Y93" s="2037"/>
      <c r="Z93" s="2037"/>
    </row>
    <row r="94" spans="1:26" s="1312" customFormat="1" ht="24.75" customHeight="1">
      <c r="A94" s="394" t="s">
        <v>1832</v>
      </c>
      <c r="B94" s="399" t="s">
        <v>446</v>
      </c>
      <c r="C94" s="377">
        <f>IF(F93="购房发票",ROUND(C93*H93*5%,0),0)</f>
        <v>500</v>
      </c>
      <c r="D94" s="400">
        <v>0.05</v>
      </c>
      <c r="E94" s="3726" t="s">
        <v>447</v>
      </c>
      <c r="F94" s="3727"/>
      <c r="G94" s="3727"/>
      <c r="H94" s="3728"/>
      <c r="I94" s="1314"/>
      <c r="J94" s="2038"/>
      <c r="K94" s="2033"/>
      <c r="L94" s="2033"/>
      <c r="M94" s="2033"/>
      <c r="N94" s="2033"/>
      <c r="O94" s="2033"/>
      <c r="P94" s="2033"/>
      <c r="Q94" s="2033"/>
      <c r="R94" s="2033"/>
      <c r="S94" s="2033"/>
      <c r="T94" s="2033"/>
      <c r="U94" s="2033"/>
      <c r="V94" s="2033"/>
      <c r="W94" s="2037"/>
      <c r="X94" s="2037"/>
      <c r="Y94" s="2037"/>
      <c r="Z94" s="2037"/>
    </row>
    <row r="95" spans="1:26" s="1312" customFormat="1" ht="24.75" customHeight="1">
      <c r="A95" s="394" t="s">
        <v>1833</v>
      </c>
      <c r="B95" s="375" t="s">
        <v>448</v>
      </c>
      <c r="C95" s="377">
        <f>ROUND(IF(G95="个人买卖住房",0,IF(G95="2016年5月1日前购买",C93*D95,C93*D95/(1+'数据-取费表'!C42))),0)</f>
        <v>81</v>
      </c>
      <c r="D95" s="401">
        <f>'数据-取费表'!B48+'数据-取费表'!B49</f>
        <v>4.0500000000000001E-2</v>
      </c>
      <c r="E95" s="26" t="s">
        <v>449</v>
      </c>
      <c r="F95" s="402"/>
      <c r="G95" s="403" t="s">
        <v>2427</v>
      </c>
      <c r="H95" s="997" t="str">
        <f>IF(G95="个人买卖住房","免征印花税"," ")</f>
        <v xml:space="preserve"> </v>
      </c>
      <c r="I95" s="1314"/>
      <c r="J95" s="2038"/>
      <c r="K95" s="2033"/>
      <c r="L95" s="2033"/>
      <c r="M95" s="2033"/>
      <c r="N95" s="2033"/>
      <c r="O95" s="2033"/>
      <c r="P95" s="2033"/>
      <c r="Q95" s="2033"/>
      <c r="R95" s="2033"/>
      <c r="S95" s="2033"/>
      <c r="T95" s="2033"/>
      <c r="U95" s="2033"/>
      <c r="V95" s="2033"/>
      <c r="W95" s="2037"/>
      <c r="X95" s="2037"/>
      <c r="Y95" s="2037"/>
      <c r="Z95" s="2037"/>
    </row>
    <row r="96" spans="1:26" s="1312" customFormat="1" ht="24.75" customHeight="1">
      <c r="A96" s="394" t="s">
        <v>1834</v>
      </c>
      <c r="B96" s="375" t="s">
        <v>450</v>
      </c>
      <c r="C96" s="404">
        <f ca="1">ROUND(D63*D96/(1+'数据-取费表'!C42),0)</f>
        <v>112</v>
      </c>
      <c r="D96" s="405">
        <f>'数据-取费表'!B43</f>
        <v>5.000000000000001E-3</v>
      </c>
      <c r="E96" s="3716" t="s">
        <v>2426</v>
      </c>
      <c r="F96" s="3717"/>
      <c r="G96" s="3717"/>
      <c r="H96" s="3718"/>
      <c r="I96" s="1315"/>
      <c r="J96" s="2039"/>
      <c r="K96" s="2033"/>
      <c r="L96" s="2033"/>
      <c r="M96" s="2033"/>
      <c r="N96" s="2033"/>
      <c r="O96" s="2033"/>
      <c r="P96" s="2033"/>
      <c r="Q96" s="2033"/>
      <c r="R96" s="2033"/>
      <c r="S96" s="2033"/>
      <c r="T96" s="2033"/>
      <c r="U96" s="2033"/>
      <c r="V96" s="2033"/>
      <c r="W96" s="2037"/>
      <c r="X96" s="2037"/>
      <c r="Y96" s="2037"/>
      <c r="Z96" s="2037"/>
    </row>
    <row r="97" spans="1:26" s="1312" customFormat="1" ht="14.25">
      <c r="A97" s="1616" t="s">
        <v>1835</v>
      </c>
      <c r="B97" s="381" t="s">
        <v>451</v>
      </c>
      <c r="C97" s="384">
        <f ca="1">C90-C91</f>
        <v>19665</v>
      </c>
      <c r="D97" s="377" t="s">
        <v>19</v>
      </c>
      <c r="E97" s="989"/>
      <c r="F97" s="988"/>
      <c r="G97" s="988"/>
      <c r="H97" s="393"/>
      <c r="I97" s="1314"/>
      <c r="J97" s="2038"/>
      <c r="K97" s="2033"/>
      <c r="L97" s="2033"/>
      <c r="M97" s="2033"/>
      <c r="N97" s="2033"/>
      <c r="O97" s="2033"/>
      <c r="P97" s="2033"/>
      <c r="Q97" s="2033"/>
      <c r="R97" s="2033"/>
      <c r="S97" s="2033"/>
      <c r="T97" s="2033"/>
      <c r="U97" s="2033"/>
      <c r="V97" s="2033"/>
      <c r="W97" s="2037"/>
      <c r="X97" s="2037"/>
      <c r="Y97" s="2037"/>
      <c r="Z97" s="2037"/>
    </row>
    <row r="98" spans="1:26" s="1312" customFormat="1" ht="24">
      <c r="A98" s="1616" t="s">
        <v>1836</v>
      </c>
      <c r="B98" s="381" t="s">
        <v>452</v>
      </c>
      <c r="C98" s="406">
        <f ca="1">IF(C97&lt;=0,0,C97/C91)</f>
        <v>7.3022651318232459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8"/>
      <c r="K98" s="2033"/>
      <c r="L98" s="2033"/>
      <c r="M98" s="2033"/>
      <c r="N98" s="2033"/>
      <c r="O98" s="2033"/>
      <c r="P98" s="2033"/>
      <c r="Q98" s="2033"/>
      <c r="R98" s="2033"/>
      <c r="S98" s="2033"/>
      <c r="T98" s="2033"/>
      <c r="U98" s="2033"/>
      <c r="V98" s="2033"/>
      <c r="W98" s="2037"/>
      <c r="X98" s="2037"/>
      <c r="Y98" s="2037"/>
      <c r="Z98" s="2037"/>
    </row>
    <row r="99" spans="1:26" s="1312" customFormat="1" ht="24.75" thickBot="1">
      <c r="A99" s="1617" t="s">
        <v>1837</v>
      </c>
      <c r="B99" s="386" t="s">
        <v>453</v>
      </c>
      <c r="C99" s="407">
        <f ca="1">ROUND(IF(C97&lt;=0,0,IF(C98&gt;=200%,C97*60%-C91*35%,IF(C98&gt;=100%,C97*50%-C91*15%,IF(C98&gt;=50%,C97*40%-C91*5%,IF(C98&lt;50%,C97*30%,0))))),0)</f>
        <v>10856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8"/>
      <c r="K99" s="2033"/>
      <c r="L99" s="2033"/>
      <c r="M99" s="2033"/>
      <c r="N99" s="2033"/>
      <c r="O99" s="2033"/>
      <c r="P99" s="2033"/>
      <c r="Q99" s="2033"/>
      <c r="R99" s="2033"/>
      <c r="S99" s="2033"/>
      <c r="T99" s="2033"/>
      <c r="U99" s="2033"/>
      <c r="V99" s="2033"/>
      <c r="W99" s="2037"/>
      <c r="X99" s="2037"/>
      <c r="Y99" s="2037"/>
      <c r="Z99" s="2037"/>
    </row>
    <row r="100" spans="1:26" s="1312" customFormat="1" ht="7.5" customHeight="1">
      <c r="A100" s="1316"/>
      <c r="B100" s="1317"/>
      <c r="C100" s="11"/>
      <c r="D100" s="11"/>
      <c r="E100" s="1317"/>
      <c r="F100" s="1317"/>
      <c r="G100" s="1317"/>
      <c r="H100" s="1318"/>
      <c r="I100" s="1315"/>
      <c r="J100" s="2039"/>
      <c r="K100" s="2033"/>
      <c r="L100" s="2033"/>
      <c r="M100" s="2033"/>
      <c r="N100" s="2033"/>
      <c r="O100" s="2033"/>
      <c r="P100" s="2033"/>
      <c r="Q100" s="2033"/>
      <c r="R100" s="2033"/>
      <c r="S100" s="2033"/>
      <c r="T100" s="2033"/>
      <c r="U100" s="2033"/>
      <c r="V100" s="2033"/>
      <c r="W100" s="2037"/>
      <c r="X100" s="2037"/>
      <c r="Y100" s="2037"/>
      <c r="Z100" s="2037"/>
    </row>
    <row r="101" spans="1:26" s="1312" customFormat="1" ht="15" thickBot="1">
      <c r="A101" s="3729" t="s">
        <v>454</v>
      </c>
      <c r="B101" s="3730"/>
      <c r="C101" s="3730"/>
      <c r="D101" s="3730"/>
      <c r="E101" s="3730"/>
      <c r="F101" s="3730"/>
      <c r="G101" s="3730"/>
      <c r="H101" s="3730"/>
      <c r="I101" s="11"/>
      <c r="J101" s="2033"/>
      <c r="K101" s="2033"/>
      <c r="L101" s="2033"/>
      <c r="M101" s="2033"/>
      <c r="N101" s="2033"/>
      <c r="O101" s="2033"/>
      <c r="P101" s="2033"/>
      <c r="Q101" s="2033"/>
      <c r="R101" s="2033"/>
      <c r="S101" s="2033"/>
      <c r="T101" s="2033"/>
      <c r="U101" s="2033"/>
      <c r="V101" s="2033"/>
      <c r="W101" s="2037"/>
      <c r="X101" s="2037"/>
      <c r="Y101" s="2037"/>
      <c r="Z101" s="2037"/>
    </row>
    <row r="102" spans="1:26" s="1312" customFormat="1" ht="14.25">
      <c r="A102" s="3693" t="s">
        <v>428</v>
      </c>
      <c r="B102" s="3694"/>
      <c r="C102" s="992"/>
      <c r="D102" s="992" t="s">
        <v>429</v>
      </c>
      <c r="E102" s="390" t="s">
        <v>438</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2" customFormat="1" ht="14.25">
      <c r="A103" s="380" t="s">
        <v>1823</v>
      </c>
      <c r="B103" s="381" t="s">
        <v>439</v>
      </c>
      <c r="C103" s="384">
        <f ca="1">ROUND(D63/(1+'数据-取费表'!C42),0)</f>
        <v>22358</v>
      </c>
      <c r="D103" s="377" t="s">
        <v>19</v>
      </c>
      <c r="E103" s="989"/>
      <c r="F103" s="988"/>
      <c r="G103" s="988"/>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2" customFormat="1" ht="14.25">
      <c r="A104" s="380" t="s">
        <v>1829</v>
      </c>
      <c r="B104" s="347" t="s">
        <v>440</v>
      </c>
      <c r="C104" s="384">
        <f ca="1">IF(H106="仅含出让金",C105+C108+C109+C110+C111+C112,C105+C109+C110+C111+C112)</f>
        <v>807</v>
      </c>
      <c r="D104" s="414"/>
      <c r="E104" s="989"/>
      <c r="F104" s="988"/>
      <c r="G104" s="988"/>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2" customFormat="1" ht="14.25">
      <c r="A105" s="394" t="s">
        <v>1830</v>
      </c>
      <c r="B105" s="375" t="s">
        <v>455</v>
      </c>
      <c r="C105" s="404">
        <f>C106+C107</f>
        <v>577</v>
      </c>
      <c r="D105" s="405"/>
      <c r="E105" s="983"/>
      <c r="F105" s="984"/>
      <c r="G105" s="984"/>
      <c r="H105" s="985"/>
      <c r="I105" s="11"/>
      <c r="J105" s="2033"/>
      <c r="K105" s="2033"/>
      <c r="L105" s="2033"/>
      <c r="M105" s="2033"/>
      <c r="N105" s="2033"/>
      <c r="O105" s="2033"/>
      <c r="P105" s="2033"/>
      <c r="Q105" s="2033"/>
      <c r="R105" s="2033"/>
      <c r="S105" s="2033"/>
      <c r="T105" s="2033"/>
      <c r="U105" s="2033"/>
      <c r="V105" s="2033"/>
      <c r="W105" s="2037"/>
      <c r="X105" s="2037"/>
      <c r="Y105" s="2037"/>
      <c r="Z105" s="2037"/>
    </row>
    <row r="106" spans="1:26" s="1312" customFormat="1" ht="14.25">
      <c r="A106" s="394" t="s">
        <v>1831</v>
      </c>
      <c r="B106" s="375" t="s">
        <v>456</v>
      </c>
      <c r="C106" s="415">
        <v>555</v>
      </c>
      <c r="D106" s="405"/>
      <c r="E106" s="416" t="s">
        <v>457</v>
      </c>
      <c r="F106" s="984"/>
      <c r="G106" s="417" t="s">
        <v>458</v>
      </c>
      <c r="H106" s="418" t="s">
        <v>2437</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2" customFormat="1" ht="14.25">
      <c r="A107" s="394" t="s">
        <v>1832</v>
      </c>
      <c r="B107" s="375" t="s">
        <v>448</v>
      </c>
      <c r="C107" s="404">
        <f>ROUND(C106*D107,0)</f>
        <v>22</v>
      </c>
      <c r="D107" s="405">
        <f>'数据-取费表'!B48+'数据-取费表'!B49</f>
        <v>4.0500000000000001E-2</v>
      </c>
      <c r="E107" s="416" t="s">
        <v>459</v>
      </c>
      <c r="F107" s="984"/>
      <c r="G107" s="984"/>
      <c r="H107" s="985"/>
      <c r="I107" s="11"/>
      <c r="J107" s="2033"/>
      <c r="K107" s="2033"/>
      <c r="L107" s="2033"/>
      <c r="M107" s="2033"/>
      <c r="N107" s="2033"/>
      <c r="O107" s="2033"/>
      <c r="P107" s="2033"/>
      <c r="Q107" s="2033"/>
      <c r="R107" s="2033"/>
      <c r="S107" s="2033"/>
      <c r="T107" s="2033"/>
      <c r="U107" s="2033"/>
      <c r="V107" s="2033"/>
      <c r="W107" s="2037"/>
      <c r="X107" s="2037"/>
      <c r="Y107" s="2037"/>
      <c r="Z107" s="2037"/>
    </row>
    <row r="108" spans="1:26" s="1312" customFormat="1" ht="14.25">
      <c r="A108" s="394" t="s">
        <v>1834</v>
      </c>
      <c r="B108" s="375" t="s">
        <v>460</v>
      </c>
      <c r="C108" s="415"/>
      <c r="D108" s="405"/>
      <c r="E108" s="416" t="str">
        <f>IF(H106="-","土地取得成本中已包含该笔费用"," ")</f>
        <v xml:space="preserve"> </v>
      </c>
      <c r="F108" s="984"/>
      <c r="G108" s="984"/>
      <c r="H108" s="985"/>
      <c r="I108" s="11"/>
      <c r="J108" s="2033"/>
      <c r="K108" s="2033"/>
      <c r="L108" s="2033"/>
      <c r="M108" s="2033"/>
      <c r="N108" s="2033"/>
      <c r="O108" s="2033"/>
      <c r="P108" s="2033"/>
      <c r="Q108" s="2033"/>
      <c r="R108" s="2033"/>
      <c r="S108" s="2033"/>
      <c r="T108" s="2033"/>
      <c r="U108" s="2033"/>
      <c r="V108" s="2033"/>
      <c r="W108" s="2037"/>
      <c r="X108" s="2037"/>
      <c r="Y108" s="2037"/>
      <c r="Z108" s="2037"/>
    </row>
    <row r="109" spans="1:26" s="1312" customFormat="1" ht="24" customHeight="1">
      <c r="A109" s="1618" t="s">
        <v>1838</v>
      </c>
      <c r="B109" s="375" t="s">
        <v>461</v>
      </c>
      <c r="C109" s="404">
        <f>IF(H109="——",IF(F1="现房",'剩余法-现房'!C18,'剩余法-待开发'!C18),I109)</f>
        <v>55</v>
      </c>
      <c r="D109" s="405"/>
      <c r="E109" s="3719" t="s">
        <v>462</v>
      </c>
      <c r="F109" s="3717"/>
      <c r="G109" s="3717"/>
      <c r="H109" s="1941" t="s">
        <v>2278</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2" customFormat="1" ht="25.5" customHeight="1">
      <c r="A110" s="1618" t="s">
        <v>1839</v>
      </c>
      <c r="B110" s="375" t="s">
        <v>463</v>
      </c>
      <c r="C110" s="404">
        <f>ROUND((C105+C108+C109)*D110,0)</f>
        <v>63</v>
      </c>
      <c r="D110" s="405">
        <v>0.1</v>
      </c>
      <c r="E110" s="3719" t="s">
        <v>464</v>
      </c>
      <c r="F110" s="3717"/>
      <c r="G110" s="3717"/>
      <c r="H110" s="3718"/>
      <c r="I110" s="11"/>
      <c r="J110" s="2033"/>
      <c r="K110" s="2033"/>
      <c r="L110" s="2033"/>
      <c r="M110" s="2033"/>
      <c r="N110" s="2033"/>
      <c r="O110" s="2033"/>
      <c r="P110" s="2033"/>
      <c r="Q110" s="2033"/>
      <c r="R110" s="2033"/>
      <c r="S110" s="2033"/>
      <c r="T110" s="2033"/>
      <c r="U110" s="2033"/>
      <c r="V110" s="2033"/>
      <c r="W110" s="2037"/>
      <c r="X110" s="2037"/>
      <c r="Y110" s="2037"/>
      <c r="Z110" s="2037"/>
    </row>
    <row r="111" spans="1:26" s="1312" customFormat="1" ht="25.5" customHeight="1">
      <c r="A111" s="1618" t="s">
        <v>1840</v>
      </c>
      <c r="B111" s="375" t="s">
        <v>450</v>
      </c>
      <c r="C111" s="404">
        <f ca="1">ROUND(D63*D111/(1+'数据-取费表'!C42),0)</f>
        <v>112</v>
      </c>
      <c r="D111" s="405">
        <f>'数据-取费表'!B43</f>
        <v>5.000000000000001E-3</v>
      </c>
      <c r="E111" s="3716" t="s">
        <v>2426</v>
      </c>
      <c r="F111" s="3717"/>
      <c r="G111" s="3717"/>
      <c r="H111" s="3718"/>
      <c r="I111" s="11"/>
      <c r="J111" s="2033"/>
      <c r="K111" s="2033"/>
      <c r="L111" s="2033"/>
      <c r="M111" s="2033"/>
      <c r="N111" s="2033"/>
      <c r="O111" s="2033"/>
      <c r="P111" s="2033"/>
      <c r="Q111" s="2033"/>
      <c r="R111" s="2033"/>
      <c r="S111" s="2033"/>
      <c r="T111" s="2033"/>
      <c r="U111" s="2033"/>
      <c r="V111" s="2033"/>
      <c r="W111" s="2037"/>
      <c r="X111" s="2037"/>
      <c r="Y111" s="2037"/>
      <c r="Z111" s="2037"/>
    </row>
    <row r="112" spans="1:26" s="1312" customFormat="1" ht="25.5" customHeight="1">
      <c r="A112" s="1618" t="s">
        <v>1841</v>
      </c>
      <c r="B112" s="375" t="s">
        <v>465</v>
      </c>
      <c r="C112" s="404">
        <f>ROUND(C108*D112,0)</f>
        <v>0</v>
      </c>
      <c r="D112" s="405">
        <v>0.2</v>
      </c>
      <c r="E112" s="3719" t="s">
        <v>2451</v>
      </c>
      <c r="F112" s="3717"/>
      <c r="G112" s="3717"/>
      <c r="H112" s="3718"/>
      <c r="I112" s="11"/>
      <c r="J112" s="2033"/>
      <c r="K112" s="2033"/>
      <c r="L112" s="2033"/>
      <c r="M112" s="2033"/>
      <c r="N112" s="2033"/>
      <c r="O112" s="2033"/>
      <c r="P112" s="2033"/>
      <c r="Q112" s="2033"/>
      <c r="R112" s="2033"/>
      <c r="S112" s="2033"/>
      <c r="T112" s="2033"/>
      <c r="U112" s="2033"/>
      <c r="V112" s="2033"/>
      <c r="W112" s="2037"/>
      <c r="X112" s="2037"/>
      <c r="Y112" s="2037"/>
      <c r="Z112" s="2037"/>
    </row>
    <row r="113" spans="1:26" s="1312" customFormat="1" ht="14.25">
      <c r="A113" s="1616" t="s">
        <v>1835</v>
      </c>
      <c r="B113" s="381" t="s">
        <v>451</v>
      </c>
      <c r="C113" s="384">
        <f ca="1">ROUND(C103-C104,0)</f>
        <v>21551</v>
      </c>
      <c r="D113" s="377" t="s">
        <v>19</v>
      </c>
      <c r="E113" s="989"/>
      <c r="F113" s="988"/>
      <c r="G113" s="988"/>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2" customFormat="1" ht="24">
      <c r="A114" s="1616" t="s">
        <v>1836</v>
      </c>
      <c r="B114" s="381" t="s">
        <v>452</v>
      </c>
      <c r="C114" s="406">
        <f ca="1">IF(C113&lt;=0,0,C113/C104)</f>
        <v>26.705080545229244</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2" customFormat="1" ht="24.75" thickBot="1">
      <c r="A115" s="1617" t="s">
        <v>1837</v>
      </c>
      <c r="B115" s="386" t="s">
        <v>453</v>
      </c>
      <c r="C115" s="407">
        <f ca="1">ROUND(IF(C113&lt;=0,0,IF(C114&gt;=200%,C113*60%-C104*35%,IF(C114&gt;=100%,C113*50%-C104*15%,IF(C114&gt;=50%,C113*40%-C104*5%,IF(C114&lt;50%,C113*30%,0))))),0)</f>
        <v>12648</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62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466</v>
      </c>
      <c r="B1" s="2833"/>
      <c r="C1" s="2104"/>
      <c r="D1" s="2104"/>
      <c r="E1" s="2104"/>
      <c r="F1" s="2104"/>
      <c r="G1" s="2104"/>
      <c r="H1" s="2104"/>
      <c r="I1" s="2104"/>
      <c r="J1" s="2104"/>
      <c r="K1" s="421">
        <f>MATCH(B1,'数据-取费表'!A6:A16,0)+5</f>
        <v>8</v>
      </c>
    </row>
    <row r="2" spans="1:41" s="2041" customFormat="1" ht="18" customHeight="1">
      <c r="A2" s="422" t="s">
        <v>467</v>
      </c>
      <c r="B2" s="423">
        <f ca="1">C32</f>
        <v>0</v>
      </c>
      <c r="C2" s="2104"/>
      <c r="D2" s="2104"/>
      <c r="E2" s="2104"/>
      <c r="F2" s="2104"/>
      <c r="G2" s="2104"/>
      <c r="H2" s="2104"/>
      <c r="I2" s="2104"/>
      <c r="J2" s="2104"/>
      <c r="K2" s="2104"/>
    </row>
    <row r="3" spans="1:41" s="2041" customFormat="1" ht="18" customHeight="1">
      <c r="A3" s="1378" t="s">
        <v>1684</v>
      </c>
      <c r="B3" s="424">
        <f ca="1">ROUND(B2*10000/IF(B1="",'数据-汇总表'!E3,INDIRECT("'数据-取费表'!K"&amp;$K$1)),0)</f>
        <v>0</v>
      </c>
      <c r="C3" s="2104"/>
      <c r="D3" s="2104"/>
      <c r="E3" s="2104"/>
      <c r="F3" s="2104"/>
      <c r="G3" s="2104"/>
      <c r="H3" s="2104"/>
      <c r="I3" s="2104"/>
      <c r="J3" s="2104"/>
      <c r="K3" s="2104"/>
    </row>
    <row r="4" spans="1:41" s="2041" customFormat="1" ht="18" customHeight="1">
      <c r="A4" s="425" t="s">
        <v>468</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469</v>
      </c>
      <c r="D5" s="2104"/>
      <c r="E5" s="2104"/>
      <c r="F5" s="2104"/>
      <c r="G5" s="2104"/>
      <c r="H5" s="2104"/>
      <c r="I5" s="2104"/>
      <c r="J5" s="2104"/>
      <c r="K5" s="2104"/>
    </row>
    <row r="6" spans="1:41" s="2111" customFormat="1" ht="16.5" customHeight="1">
      <c r="A6" s="431" t="s">
        <v>2650</v>
      </c>
      <c r="B6" s="432"/>
      <c r="C6" s="1622">
        <f>SUM(C10:K10)</f>
        <v>0</v>
      </c>
      <c r="D6" s="2109"/>
      <c r="E6" s="2109"/>
      <c r="F6" s="2109"/>
      <c r="G6" s="2109"/>
      <c r="H6" s="2109"/>
      <c r="I6" s="2109"/>
      <c r="J6" s="2109"/>
      <c r="K6" s="2110"/>
    </row>
    <row r="7" spans="1:41" s="2113" customFormat="1" ht="15">
      <c r="A7" s="433" t="s">
        <v>470</v>
      </c>
      <c r="B7" s="434" t="s">
        <v>471</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7" t="s">
        <v>472</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474</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3" t="s">
        <v>470</v>
      </c>
      <c r="B12" s="443" t="s">
        <v>471</v>
      </c>
      <c r="C12" s="444" t="s">
        <v>475</v>
      </c>
      <c r="D12" s="445" t="s">
        <v>476</v>
      </c>
      <c r="E12" s="445" t="s">
        <v>477</v>
      </c>
      <c r="F12" s="445" t="s">
        <v>478</v>
      </c>
      <c r="G12" s="443"/>
      <c r="H12" s="446"/>
      <c r="I12" s="446"/>
      <c r="J12" s="446"/>
      <c r="K12" s="447"/>
    </row>
    <row r="13" spans="1:41" s="2116" customFormat="1" ht="13.5" customHeight="1">
      <c r="A13" s="1632" t="s">
        <v>1848</v>
      </c>
      <c r="B13" s="448" t="s">
        <v>479</v>
      </c>
      <c r="C13" s="449">
        <f ca="1">IF(B1="",'数据-取费表'!M16,INDIRECT("'数据-取费表'!M"&amp;$K$1)+INDIRECT("'数据-取费表'!t"&amp;$K$1))</f>
        <v>22886</v>
      </c>
      <c r="D13" s="450"/>
      <c r="E13" s="364"/>
      <c r="F13" s="451"/>
      <c r="G13" s="443"/>
      <c r="H13" s="446"/>
      <c r="I13" s="446"/>
      <c r="J13" s="446"/>
      <c r="K13" s="447"/>
    </row>
    <row r="14" spans="1:41" s="2116" customFormat="1" ht="13.5" customHeight="1">
      <c r="A14" s="1632" t="s">
        <v>1849</v>
      </c>
      <c r="B14" s="448" t="s">
        <v>480</v>
      </c>
      <c r="C14" s="53">
        <f ca="1">ROUND(C13*F14,0)</f>
        <v>687</v>
      </c>
      <c r="D14" s="450"/>
      <c r="E14" s="364"/>
      <c r="F14" s="452">
        <f>'数据-取费表'!B33</f>
        <v>0.03</v>
      </c>
      <c r="G14" s="443" t="s">
        <v>502</v>
      </c>
      <c r="H14" s="446"/>
      <c r="I14" s="446"/>
      <c r="J14" s="446"/>
      <c r="K14" s="447"/>
    </row>
    <row r="15" spans="1:41" s="2116" customFormat="1" ht="13.5" customHeight="1">
      <c r="A15" s="1632" t="s">
        <v>1850</v>
      </c>
      <c r="B15" s="448" t="s">
        <v>482</v>
      </c>
      <c r="C15" s="53">
        <f ca="1">ROUND(IF(B1="",SUMIF('数据-取费表'!C:C,"住宅",'数据-取费表'!M:M)*F15,IF(INDIRECT("'数据-取费表'!c"&amp;$K$1)="住宅",INDIRECT("'数据-取费表'!M"&amp;$K$1)*F15,0)),0)</f>
        <v>549</v>
      </c>
      <c r="D15" s="450"/>
      <c r="E15" s="364"/>
      <c r="F15" s="452">
        <f>'数据-取费表'!B34</f>
        <v>0.03</v>
      </c>
      <c r="G15" s="443" t="s">
        <v>502</v>
      </c>
      <c r="H15" s="446"/>
      <c r="I15" s="446"/>
      <c r="J15" s="446"/>
      <c r="K15" s="447"/>
    </row>
    <row r="16" spans="1:41" s="2117" customFormat="1" ht="13.5" customHeight="1">
      <c r="A16" s="1632" t="s">
        <v>1851</v>
      </c>
      <c r="B16" s="448" t="s">
        <v>484</v>
      </c>
      <c r="C16" s="53">
        <f ca="1">ROUND(D16*E16/10000,0)</f>
        <v>2289</v>
      </c>
      <c r="D16" s="450">
        <f ca="1">IF(B1="",'数据-汇总表'!E3,INDIRECT("'数据-取费表'!K"&amp;$K$1)+INDIRECT("'数据-取费表'!S"&amp;$K$1))</f>
        <v>114432</v>
      </c>
      <c r="E16" s="53">
        <f>'数据-取费表'!B35</f>
        <v>200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8" t="s">
        <v>485</v>
      </c>
      <c r="C17" s="453">
        <f ca="1">ROUND(C13*F17,0)</f>
        <v>343</v>
      </c>
      <c r="D17" s="454"/>
      <c r="E17" s="453"/>
      <c r="F17" s="455">
        <f>'数据-取费表'!B36</f>
        <v>1.4999999999999999E-2</v>
      </c>
      <c r="G17" s="443" t="s">
        <v>502</v>
      </c>
      <c r="H17" s="456"/>
      <c r="I17" s="456"/>
      <c r="J17" s="456"/>
      <c r="K17" s="457"/>
    </row>
    <row r="18" spans="1:14" s="2119" customFormat="1" ht="13.5" customHeight="1">
      <c r="A18" s="1633" t="s">
        <v>1853</v>
      </c>
      <c r="B18" s="458" t="s">
        <v>487</v>
      </c>
      <c r="C18" s="459">
        <f ca="1">SUM(C13:C17)</f>
        <v>26754</v>
      </c>
      <c r="D18" s="460"/>
      <c r="E18" s="461"/>
      <c r="F18" s="461"/>
      <c r="G18" s="1325" t="s">
        <v>2430</v>
      </c>
      <c r="H18" s="446"/>
      <c r="I18" s="446"/>
      <c r="J18" s="446"/>
      <c r="K18" s="447"/>
    </row>
    <row r="19" spans="1:14" s="2119" customFormat="1" ht="13.5" customHeight="1">
      <c r="A19" s="1633" t="s">
        <v>1854</v>
      </c>
      <c r="B19" s="458" t="s">
        <v>493</v>
      </c>
      <c r="C19" s="459">
        <f ca="1">ROUND(C18*F19,0)</f>
        <v>535</v>
      </c>
      <c r="D19" s="461"/>
      <c r="E19" s="461"/>
      <c r="F19" s="465">
        <f>'数据-取费表'!B37</f>
        <v>0.02</v>
      </c>
      <c r="G19" s="443" t="s">
        <v>503</v>
      </c>
      <c r="H19" s="446"/>
      <c r="I19" s="446"/>
      <c r="J19" s="446"/>
      <c r="K19" s="447"/>
      <c r="L19" s="2121"/>
      <c r="M19" s="2121"/>
      <c r="N19" s="2121"/>
    </row>
    <row r="20" spans="1:14" s="2119" customFormat="1" ht="13.5" customHeight="1">
      <c r="A20" s="1633" t="s">
        <v>1855</v>
      </c>
      <c r="B20" s="458" t="s">
        <v>504</v>
      </c>
      <c r="C20" s="3054">
        <f>F20</f>
        <v>0.01</v>
      </c>
      <c r="D20" s="468" t="s">
        <v>505</v>
      </c>
      <c r="E20" s="468"/>
      <c r="F20" s="485">
        <f>'数据-取费表'!B38</f>
        <v>0.01</v>
      </c>
      <c r="G20" s="1325" t="s">
        <v>506</v>
      </c>
      <c r="H20" s="446"/>
      <c r="I20" s="446"/>
      <c r="J20" s="446"/>
      <c r="K20" s="447"/>
      <c r="L20" s="2121"/>
      <c r="M20" s="2121"/>
      <c r="N20" s="2121"/>
    </row>
    <row r="21" spans="1:14" s="2121" customFormat="1" ht="13.5" customHeight="1">
      <c r="A21" s="1633" t="s">
        <v>1858</v>
      </c>
      <c r="B21" s="460" t="s">
        <v>494</v>
      </c>
      <c r="C21" s="469">
        <f ca="1">C22</f>
        <v>967</v>
      </c>
      <c r="D21" s="466">
        <f ca="1">C23</f>
        <v>4.0000000000000002E-4</v>
      </c>
      <c r="E21" s="468" t="s">
        <v>507</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8" t="s">
        <v>2452</v>
      </c>
    </row>
    <row r="22" spans="1:14" s="2120" customFormat="1" ht="13.5" customHeight="1">
      <c r="A22" s="1632" t="s">
        <v>1848</v>
      </c>
      <c r="B22" s="1326" t="s">
        <v>2433</v>
      </c>
      <c r="C22" s="486">
        <f ca="1">ROUND(IF('数据-取费表'!B22&lt;=1,(C18+C19)*F21*'数据-取费表'!B20/2,(C18+C19)*(POWER((1+F21),'数据-取费表'!B20/2)-1)),0)</f>
        <v>967</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1849</v>
      </c>
      <c r="B23" s="1326" t="s">
        <v>508</v>
      </c>
      <c r="C23" s="487">
        <f ca="1">ROUND(IF('数据-取费表'!B22&lt;=1,F20*F21*'数据-取费表'!B20/2,F20*(POWER((1+F21),'数据-取费表'!B20/2)-1)),4)</f>
        <v>4.0000000000000002E-4</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1859</v>
      </c>
      <c r="B24" s="3056" t="s">
        <v>2830</v>
      </c>
      <c r="C24" s="477">
        <f ca="1">C25</f>
        <v>3002</v>
      </c>
      <c r="D24" s="488">
        <f ca="1">C26</f>
        <v>1.1000000000000001E-3</v>
      </c>
      <c r="E24" s="468" t="s">
        <v>507</v>
      </c>
      <c r="F24" s="478">
        <f ca="1">IF(B1="",'数据-取费表'!Q16,INDIRECT("'数据-取费表'!q"&amp;$K$1))</f>
        <v>0.11</v>
      </c>
      <c r="G24" s="443"/>
      <c r="H24" s="446"/>
      <c r="I24" s="446"/>
      <c r="J24" s="446"/>
      <c r="K24" s="447"/>
    </row>
    <row r="25" spans="1:14" s="2120" customFormat="1" ht="13.5" customHeight="1">
      <c r="A25" s="1632" t="s">
        <v>1848</v>
      </c>
      <c r="B25" s="1326" t="s">
        <v>2434</v>
      </c>
      <c r="C25" s="489">
        <f ca="1">ROUND((C18+C19)*F24,0)</f>
        <v>3002</v>
      </c>
      <c r="D25" s="471"/>
      <c r="E25" s="472"/>
      <c r="F25" s="479"/>
      <c r="G25" s="1324" t="s">
        <v>2431</v>
      </c>
      <c r="H25" s="456"/>
      <c r="I25" s="456"/>
      <c r="J25" s="456"/>
      <c r="K25" s="457"/>
    </row>
    <row r="26" spans="1:14" s="2120" customFormat="1" ht="13.5" customHeight="1">
      <c r="A26" s="1632" t="s">
        <v>1849</v>
      </c>
      <c r="B26" s="1326" t="s">
        <v>509</v>
      </c>
      <c r="C26" s="490">
        <f ca="1">ROUND(F20*F24,4)</f>
        <v>1.1000000000000001E-3</v>
      </c>
      <c r="D26" s="471"/>
      <c r="E26" s="480"/>
      <c r="F26" s="479"/>
      <c r="G26" s="1324" t="s">
        <v>510</v>
      </c>
      <c r="H26" s="456"/>
      <c r="I26" s="456"/>
      <c r="J26" s="456"/>
      <c r="K26" s="457"/>
    </row>
    <row r="27" spans="1:14" s="2120" customFormat="1" ht="13.5" customHeight="1">
      <c r="A27" s="1636" t="s">
        <v>1867</v>
      </c>
      <c r="B27" s="458" t="s">
        <v>511</v>
      </c>
      <c r="C27" s="3055">
        <f>ROUND(F27/(1+'数据-取费表'!C42),4)</f>
        <v>5.2400000000000002E-2</v>
      </c>
      <c r="D27" s="461" t="s">
        <v>2828</v>
      </c>
      <c r="E27" s="461"/>
      <c r="F27" s="465">
        <f>'数据-取费表'!B41</f>
        <v>5.5000000000000007E-2</v>
      </c>
      <c r="G27" s="1960" t="s">
        <v>2290</v>
      </c>
      <c r="H27" s="446"/>
      <c r="I27" s="446"/>
      <c r="J27" s="446"/>
      <c r="K27" s="447"/>
    </row>
    <row r="28" spans="1:14" s="2121" customFormat="1" ht="13.5" customHeight="1">
      <c r="A28" s="1636" t="s">
        <v>1868</v>
      </c>
      <c r="B28" s="475" t="s">
        <v>512</v>
      </c>
      <c r="C28" s="469">
        <f ca="1">ROUND((C18+C19+C21+C24)/(1-C20-D21-D24-C27),0)</f>
        <v>33392</v>
      </c>
      <c r="D28" s="476"/>
      <c r="E28" s="468"/>
      <c r="F28" s="470"/>
      <c r="G28" s="1325" t="s">
        <v>2432</v>
      </c>
      <c r="H28" s="446"/>
      <c r="I28" s="446"/>
      <c r="J28" s="446"/>
      <c r="K28" s="447"/>
    </row>
    <row r="29" spans="1:14" s="2121" customFormat="1" ht="13.5" customHeight="1">
      <c r="A29" s="1636" t="s">
        <v>1869</v>
      </c>
      <c r="B29" s="475" t="s">
        <v>513</v>
      </c>
      <c r="C29" s="491">
        <f ca="1">IF(B1="",'数据-取费表'!N16,INDIRECT("'数据-取费表'!N"&amp;$K$1))</f>
        <v>0</v>
      </c>
      <c r="D29" s="492"/>
      <c r="E29" s="493"/>
      <c r="F29" s="494"/>
      <c r="G29" s="443"/>
      <c r="H29" s="446"/>
      <c r="I29" s="446"/>
      <c r="J29" s="446"/>
      <c r="K29" s="447"/>
    </row>
    <row r="30" spans="1:14" s="2121" customFormat="1" ht="13.5" customHeight="1">
      <c r="A30" s="442">
        <v>2</v>
      </c>
      <c r="B30" s="475" t="s">
        <v>514</v>
      </c>
      <c r="C30" s="496">
        <f ca="1">ROUND(C28*C29,0)</f>
        <v>0</v>
      </c>
      <c r="D30" s="492"/>
      <c r="E30" s="497"/>
      <c r="F30" s="498"/>
      <c r="G30" s="1327" t="s">
        <v>515</v>
      </c>
      <c r="H30" s="495"/>
      <c r="I30" s="495"/>
      <c r="J30" s="446"/>
      <c r="K30" s="447"/>
    </row>
    <row r="31" spans="1:14" s="2126" customFormat="1" ht="13.5" customHeight="1">
      <c r="A31" s="2506" t="s">
        <v>1865</v>
      </c>
      <c r="B31" s="1328"/>
      <c r="C31" s="499">
        <f>ROUND(C6*F31/(1+'数据-取费表'!C42),0)</f>
        <v>0</v>
      </c>
      <c r="D31" s="1329"/>
      <c r="E31" s="1329"/>
      <c r="F31" s="500">
        <f>'数据-取费表'!B41</f>
        <v>5.5000000000000007E-2</v>
      </c>
      <c r="G31" s="1330"/>
      <c r="H31" s="1330"/>
      <c r="I31" s="1330"/>
      <c r="J31" s="1331"/>
      <c r="K31" s="1332"/>
    </row>
    <row r="32" spans="1:14" s="2085"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7" t="s">
        <v>2972</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00B0F0"/>
    <pageSetUpPr fitToPage="1"/>
  </sheetPr>
  <dimension ref="A1:AD259"/>
  <sheetViews>
    <sheetView view="pageBreakPreview" topLeftCell="A17" zoomScale="80" zoomScaleNormal="95" zoomScaleSheetLayoutView="80" zoomScalePageLayoutView="95" workbookViewId="0">
      <selection activeCell="E50" sqref="E50"/>
    </sheetView>
  </sheetViews>
  <sheetFormatPr defaultColWidth="8.875" defaultRowHeight="14.25"/>
  <cols>
    <col min="1" max="2" width="15.625" style="1335" customWidth="1"/>
    <col min="3" max="3" width="24.625" style="1335" customWidth="1"/>
    <col min="4" max="4" width="8.625" style="1335" customWidth="1"/>
    <col min="5" max="5" width="24.625" style="1335" customWidth="1"/>
    <col min="6" max="6" width="8.625" style="1335" customWidth="1"/>
    <col min="7" max="7" width="24.625" style="1335" customWidth="1"/>
    <col min="8" max="8" width="8.625" style="1335" customWidth="1"/>
    <col min="9" max="9" width="24.625" style="1335" customWidth="1"/>
    <col min="10" max="10" width="8.625" style="1335" customWidth="1"/>
    <col min="11" max="11" width="8.6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30" s="1334" customFormat="1" ht="28.5" customHeight="1">
      <c r="A1" s="501" t="s">
        <v>516</v>
      </c>
      <c r="B1" s="502"/>
      <c r="C1" s="503" t="s">
        <v>517</v>
      </c>
      <c r="D1" s="504" t="s">
        <v>518</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3"/>
    </row>
    <row r="2" spans="1:30" s="1334" customFormat="1" ht="28.5" customHeight="1">
      <c r="A2" s="422" t="s">
        <v>467</v>
      </c>
      <c r="B2" s="507">
        <f>F68</f>
        <v>18664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3"/>
    </row>
    <row r="3" spans="1:30" s="1334" customFormat="1" ht="28.5" customHeight="1">
      <c r="A3" s="1378" t="s">
        <v>1684</v>
      </c>
      <c r="B3" s="509">
        <f>ROUND(B2*10000/'数据-汇总表'!E3,0)</f>
        <v>1631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4" customFormat="1" ht="28.5" customHeight="1">
      <c r="A4" s="510" t="s">
        <v>520</v>
      </c>
      <c r="B4" s="426">
        <f>IF(B48="单位面积地价",C50,ROUND(B2*10000/'数据-汇总表'!D3,0))</f>
        <v>4893</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4" customFormat="1" ht="28.5" customHeight="1" thickBot="1">
      <c r="A5" s="428"/>
      <c r="B5" s="429">
        <f>ROUND(B2/('数据-汇总表'!D3/666.67),0)</f>
        <v>326</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521</v>
      </c>
      <c r="B6" s="512"/>
      <c r="C6" s="3774" t="s">
        <v>522</v>
      </c>
      <c r="D6" s="3775"/>
      <c r="E6" s="3774" t="s">
        <v>523</v>
      </c>
      <c r="F6" s="3775"/>
      <c r="G6" s="3774" t="s">
        <v>524</v>
      </c>
      <c r="H6" s="3775"/>
      <c r="I6" s="3774" t="s">
        <v>525</v>
      </c>
      <c r="J6" s="3775"/>
      <c r="K6" s="513" t="s">
        <v>526</v>
      </c>
      <c r="L6" s="2133"/>
      <c r="M6" s="2132"/>
      <c r="N6" s="2132"/>
      <c r="O6" s="2134"/>
      <c r="P6" s="3776" t="s">
        <v>527</v>
      </c>
      <c r="Q6" s="3777"/>
      <c r="R6" s="3762" t="s">
        <v>523</v>
      </c>
      <c r="S6" s="3763"/>
      <c r="T6" s="3762" t="s">
        <v>524</v>
      </c>
      <c r="U6" s="3763"/>
      <c r="V6" s="3782" t="s">
        <v>525</v>
      </c>
      <c r="W6" s="3782"/>
      <c r="X6" s="1566"/>
      <c r="Y6" s="3762" t="s">
        <v>527</v>
      </c>
      <c r="Z6" s="3763"/>
      <c r="AA6" s="3757" t="s">
        <v>523</v>
      </c>
      <c r="AB6" s="3758" t="s">
        <v>524</v>
      </c>
      <c r="AC6" s="3757" t="s">
        <v>525</v>
      </c>
    </row>
    <row r="7" spans="1:30" ht="20.25">
      <c r="A7" s="514"/>
      <c r="B7" s="515"/>
      <c r="C7" s="3785" t="s">
        <v>2925</v>
      </c>
      <c r="D7" s="3786"/>
      <c r="E7" s="3785" t="str">
        <f>'土地案例（海安）'!A16</f>
        <v>海安高新区钟庄路东侧、黄海大道北侧</v>
      </c>
      <c r="F7" s="3786"/>
      <c r="G7" s="3785" t="str">
        <f>'土地案例（海安）'!A21</f>
        <v>高新区光华村15组</v>
      </c>
      <c r="H7" s="3786"/>
      <c r="I7" s="3785" t="str">
        <f>'土地案例（海安）'!A27</f>
        <v>黄海大道北、胡孙线西侧</v>
      </c>
      <c r="J7" s="3786"/>
      <c r="K7" s="513"/>
      <c r="L7" s="2133"/>
      <c r="M7" s="2132"/>
      <c r="N7" s="2132"/>
      <c r="O7" s="2134"/>
      <c r="P7" s="3778"/>
      <c r="Q7" s="3779"/>
      <c r="R7" s="3764"/>
      <c r="S7" s="3765"/>
      <c r="T7" s="3764"/>
      <c r="U7" s="3765"/>
      <c r="V7" s="3782"/>
      <c r="W7" s="3782"/>
      <c r="X7" s="1566"/>
      <c r="Y7" s="3764"/>
      <c r="Z7" s="3765"/>
      <c r="AA7" s="3758"/>
      <c r="AB7" s="3758"/>
      <c r="AC7" s="3758"/>
    </row>
    <row r="8" spans="1:30" ht="21" thickBot="1">
      <c r="A8" s="514"/>
      <c r="B8" s="515"/>
      <c r="C8" s="3787" t="s">
        <v>2929</v>
      </c>
      <c r="D8" s="3788"/>
      <c r="E8" s="3787">
        <f>'土地案例（海安）'!F16</f>
        <v>2018028001</v>
      </c>
      <c r="F8" s="3788"/>
      <c r="G8" s="3783">
        <f>'土地案例（海安）'!F21</f>
        <v>2018022013</v>
      </c>
      <c r="H8" s="3784"/>
      <c r="I8" s="3783">
        <f>'土地案例（海安）'!F27</f>
        <v>2018022015</v>
      </c>
      <c r="J8" s="3784"/>
      <c r="K8" s="513" t="s">
        <v>528</v>
      </c>
      <c r="L8" s="2133"/>
      <c r="M8" s="2132"/>
      <c r="N8" s="2132"/>
      <c r="O8" s="2134"/>
      <c r="P8" s="3780"/>
      <c r="Q8" s="3781"/>
      <c r="R8" s="3764"/>
      <c r="S8" s="3765"/>
      <c r="T8" s="3766"/>
      <c r="U8" s="3767"/>
      <c r="V8" s="3782"/>
      <c r="W8" s="3782"/>
      <c r="X8" s="1566"/>
      <c r="Y8" s="3766"/>
      <c r="Z8" s="3767"/>
      <c r="AA8" s="3759"/>
      <c r="AB8" s="3759"/>
      <c r="AC8" s="3759"/>
    </row>
    <row r="9" spans="1:30" s="1218" customFormat="1" ht="21" thickBot="1">
      <c r="A9" s="2936"/>
      <c r="B9" s="2943" t="s">
        <v>529</v>
      </c>
      <c r="C9" s="2935">
        <f>'数据-取费表'!B2</f>
        <v>43438</v>
      </c>
      <c r="D9" s="519">
        <v>100</v>
      </c>
      <c r="E9" s="520" t="str">
        <f>'土地案例（海安）'!K16</f>
        <v>2018-10-28</v>
      </c>
      <c r="F9" s="521">
        <f>SUMIF(72:72,YEAR(E9)&amp;"-"&amp;INT((MONTH(E9)+2)/3),73:73)</f>
        <v>100</v>
      </c>
      <c r="G9" s="520" t="str">
        <f>'土地案例（海安）'!K21</f>
        <v>2018-10-26</v>
      </c>
      <c r="H9" s="519">
        <f>SUMIF(72:72,YEAR(G9)&amp;"-"&amp;INT((MONTH(G9)+2)/3),73:73)</f>
        <v>100</v>
      </c>
      <c r="I9" s="522" t="str">
        <f>'土地案例（海安）'!K27</f>
        <v>2018-10-26</v>
      </c>
      <c r="J9" s="519">
        <f>SUMIF(72:72,YEAR(I9)&amp;"-"&amp;INT((MONTH(I9)+2)/3),73:73)</f>
        <v>100</v>
      </c>
      <c r="K9" s="523"/>
      <c r="L9" s="2135"/>
      <c r="M9" s="2132"/>
      <c r="N9" s="2132"/>
      <c r="O9" s="2136"/>
      <c r="P9" s="3760" t="s">
        <v>530</v>
      </c>
      <c r="Q9" s="3769"/>
      <c r="R9" s="1567" t="s">
        <v>8</v>
      </c>
      <c r="S9" s="1568">
        <f t="shared" ref="S9:S17" si="0">F9</f>
        <v>100</v>
      </c>
      <c r="T9" s="1567" t="s">
        <v>8</v>
      </c>
      <c r="U9" s="1568">
        <f t="shared" ref="U9:U17" si="1">H9</f>
        <v>100</v>
      </c>
      <c r="V9" s="1567" t="s">
        <v>8</v>
      </c>
      <c r="W9" s="1568">
        <f t="shared" ref="W9:W17" si="2">J9</f>
        <v>100</v>
      </c>
      <c r="X9" s="1569"/>
      <c r="Y9" s="3760" t="s">
        <v>530</v>
      </c>
      <c r="Z9" s="3761"/>
      <c r="AA9" s="1570">
        <f>D9/F9</f>
        <v>1</v>
      </c>
      <c r="AB9" s="1570">
        <f>D9/H9</f>
        <v>1</v>
      </c>
      <c r="AC9" s="1570">
        <f>D9/J9</f>
        <v>1</v>
      </c>
    </row>
    <row r="10" spans="1:30" s="1218" customFormat="1" ht="21" thickBot="1">
      <c r="A10" s="2937"/>
      <c r="B10" s="2944" t="s">
        <v>531</v>
      </c>
      <c r="C10" s="855" t="s">
        <v>532</v>
      </c>
      <c r="D10" s="519">
        <v>100</v>
      </c>
      <c r="E10" s="524" t="s">
        <v>3023</v>
      </c>
      <c r="F10" s="521">
        <f>SUMIF(75:75,E10,76:76)-SUMIF(75:75,C10,76:76)+100</f>
        <v>100</v>
      </c>
      <c r="G10" s="524" t="s">
        <v>3023</v>
      </c>
      <c r="H10" s="519">
        <f>SUMIF(75:75,G10,76:76)-SUMIF(75:75,C10,76:76)+100</f>
        <v>100</v>
      </c>
      <c r="I10" s="524" t="s">
        <v>3023</v>
      </c>
      <c r="J10" s="519">
        <f>SUMIF(75:75,I10,76:76)-SUMIF(75:75,C10,76:76)+100</f>
        <v>100</v>
      </c>
      <c r="K10" s="523"/>
      <c r="L10" s="2135"/>
      <c r="M10" s="2132"/>
      <c r="N10" s="2132"/>
      <c r="O10" s="2136"/>
      <c r="P10" s="3760" t="s">
        <v>533</v>
      </c>
      <c r="Q10" s="3761"/>
      <c r="R10" s="1567" t="s">
        <v>8</v>
      </c>
      <c r="S10" s="1568">
        <f t="shared" si="0"/>
        <v>100</v>
      </c>
      <c r="T10" s="1567" t="s">
        <v>8</v>
      </c>
      <c r="U10" s="1568">
        <f t="shared" si="1"/>
        <v>100</v>
      </c>
      <c r="V10" s="1567" t="s">
        <v>8</v>
      </c>
      <c r="W10" s="1568">
        <f t="shared" si="2"/>
        <v>100</v>
      </c>
      <c r="X10" s="1569"/>
      <c r="Y10" s="3760" t="s">
        <v>533</v>
      </c>
      <c r="Z10" s="3761"/>
      <c r="AA10" s="1570">
        <f t="shared" ref="AA10:AA47" si="3">D10/F10</f>
        <v>1</v>
      </c>
      <c r="AB10" s="1570">
        <f t="shared" ref="AB10:AB47" si="4">D10/H10</f>
        <v>1</v>
      </c>
      <c r="AC10" s="1570">
        <f t="shared" ref="AC10:AC47" si="5">D10/J10</f>
        <v>1</v>
      </c>
    </row>
    <row r="11" spans="1:30" s="1218" customFormat="1" ht="20.25">
      <c r="A11" s="2938"/>
      <c r="B11" s="2945" t="s">
        <v>2754</v>
      </c>
      <c r="C11" s="2932" t="s">
        <v>922</v>
      </c>
      <c r="D11" s="253">
        <v>100</v>
      </c>
      <c r="E11" s="525" t="s">
        <v>922</v>
      </c>
      <c r="F11" s="253">
        <f>SUMIF(77:77,E11,78:78)-SUMIF(77:77,C11,78:78)+100</f>
        <v>100</v>
      </c>
      <c r="G11" s="525" t="s">
        <v>922</v>
      </c>
      <c r="H11" s="253">
        <f>SUMIF(77:77,G11,78:78)-SUMIF(77:77,C11,78:78)+100</f>
        <v>100</v>
      </c>
      <c r="I11" s="525" t="s">
        <v>922</v>
      </c>
      <c r="J11" s="253">
        <f>SUMIF(77:77,I11,78:78)-SUMIF(77:77,C11,78:78)+100</f>
        <v>100</v>
      </c>
      <c r="K11" s="523"/>
      <c r="L11" s="2135"/>
      <c r="M11" s="2132"/>
      <c r="N11" s="2132"/>
      <c r="O11" s="2137"/>
      <c r="P11" s="3768" t="s">
        <v>535</v>
      </c>
      <c r="Q11" s="1149" t="str">
        <f t="shared" ref="Q11:Q17" si="6">B11</f>
        <v>用途</v>
      </c>
      <c r="R11" s="1567" t="s">
        <v>8</v>
      </c>
      <c r="S11" s="1568">
        <f t="shared" si="0"/>
        <v>100</v>
      </c>
      <c r="T11" s="1567" t="s">
        <v>8</v>
      </c>
      <c r="U11" s="1568">
        <f t="shared" si="1"/>
        <v>100</v>
      </c>
      <c r="V11" s="1567" t="s">
        <v>8</v>
      </c>
      <c r="W11" s="1568">
        <f t="shared" si="2"/>
        <v>100</v>
      </c>
      <c r="X11" s="1569"/>
      <c r="Y11" s="3725" t="s">
        <v>536</v>
      </c>
      <c r="Z11" s="1148" t="str">
        <f t="shared" ref="Z11:Z17" si="7">Q11</f>
        <v>用途</v>
      </c>
      <c r="AA11" s="1570">
        <f t="shared" si="3"/>
        <v>1</v>
      </c>
      <c r="AB11" s="1570">
        <f t="shared" si="4"/>
        <v>1</v>
      </c>
      <c r="AC11" s="1570">
        <f t="shared" si="5"/>
        <v>1</v>
      </c>
    </row>
    <row r="12" spans="1:30" s="1336" customFormat="1" ht="27">
      <c r="A12" s="2939"/>
      <c r="B12" s="2944" t="s">
        <v>2755</v>
      </c>
      <c r="C12" s="908">
        <f>项目基本情况!D19</f>
        <v>69.56</v>
      </c>
      <c r="D12" s="254">
        <v>100</v>
      </c>
      <c r="E12" s="528" t="s">
        <v>3350</v>
      </c>
      <c r="F12" s="254">
        <f>ROUND(100/'数据-取费表'!G16,0)</f>
        <v>100</v>
      </c>
      <c r="G12" s="528" t="s">
        <v>3350</v>
      </c>
      <c r="H12" s="254">
        <f>ROUND(100/'数据-取费表'!G16,0)</f>
        <v>100</v>
      </c>
      <c r="I12" s="529" t="s">
        <v>3351</v>
      </c>
      <c r="J12" s="254">
        <f>ROUND(100/'数据-取费表'!G16,0)</f>
        <v>100</v>
      </c>
      <c r="K12" s="530"/>
      <c r="L12" s="2138"/>
      <c r="M12" s="2132"/>
      <c r="N12" s="2132"/>
      <c r="O12" s="2139"/>
      <c r="P12" s="3768"/>
      <c r="Q12" s="1149" t="str">
        <f t="shared" si="6"/>
        <v>土地使用年限（年）</v>
      </c>
      <c r="R12" s="1567" t="s">
        <v>8</v>
      </c>
      <c r="S12" s="1568">
        <f t="shared" si="0"/>
        <v>100</v>
      </c>
      <c r="T12" s="1567" t="s">
        <v>8</v>
      </c>
      <c r="U12" s="1568">
        <f t="shared" si="1"/>
        <v>100</v>
      </c>
      <c r="V12" s="1567" t="s">
        <v>8</v>
      </c>
      <c r="W12" s="1568">
        <f t="shared" si="2"/>
        <v>100</v>
      </c>
      <c r="X12" s="1569"/>
      <c r="Y12" s="3725"/>
      <c r="Z12" s="1148" t="str">
        <f t="shared" si="7"/>
        <v>土地使用年限（年）</v>
      </c>
      <c r="AA12" s="1570">
        <f t="shared" si="3"/>
        <v>1</v>
      </c>
      <c r="AB12" s="1570">
        <f t="shared" si="4"/>
        <v>1</v>
      </c>
      <c r="AC12" s="1570">
        <f t="shared" si="5"/>
        <v>1</v>
      </c>
    </row>
    <row r="13" spans="1:30" ht="21" thickBot="1">
      <c r="A13" s="2940"/>
      <c r="B13" s="2944" t="s">
        <v>2756</v>
      </c>
      <c r="C13" s="533">
        <f>'数据-汇总表'!I6</f>
        <v>3</v>
      </c>
      <c r="D13" s="254">
        <v>100</v>
      </c>
      <c r="E13" s="532">
        <v>2.6</v>
      </c>
      <c r="F13" s="254">
        <f>LOOKUP(E13,82:82,83:83)-LOOKUP(C13,82:82,83:83)+100</f>
        <v>105</v>
      </c>
      <c r="G13" s="532">
        <v>3.2</v>
      </c>
      <c r="H13" s="254">
        <f>LOOKUP(G13,82:82,83:83)-LOOKUP(C13,82:82,83:83)+100</f>
        <v>100</v>
      </c>
      <c r="I13" s="532">
        <v>3.2</v>
      </c>
      <c r="J13" s="254">
        <f>LOOKUP(I13,82:82,83:83)-LOOKUP(C13,82:82,83:83)+100</f>
        <v>100</v>
      </c>
      <c r="K13" s="534">
        <f>'比较法-住宅、综合'!$K$13</f>
        <v>5</v>
      </c>
      <c r="L13" s="2140"/>
      <c r="M13" s="2132"/>
      <c r="N13" s="2132"/>
      <c r="O13" s="2141"/>
      <c r="P13" s="3768"/>
      <c r="Q13" s="1149" t="str">
        <f t="shared" si="6"/>
        <v>容积率</v>
      </c>
      <c r="R13" s="1567" t="s">
        <v>8</v>
      </c>
      <c r="S13" s="1568">
        <f t="shared" si="0"/>
        <v>105</v>
      </c>
      <c r="T13" s="1567" t="s">
        <v>8</v>
      </c>
      <c r="U13" s="1568">
        <f t="shared" si="1"/>
        <v>100</v>
      </c>
      <c r="V13" s="1567" t="s">
        <v>8</v>
      </c>
      <c r="W13" s="1568">
        <f t="shared" si="2"/>
        <v>100</v>
      </c>
      <c r="X13" s="1569"/>
      <c r="Y13" s="3725"/>
      <c r="Z13" s="1148" t="str">
        <f t="shared" si="7"/>
        <v>容积率</v>
      </c>
      <c r="AA13" s="1570">
        <f t="shared" si="3"/>
        <v>0.95238095238095233</v>
      </c>
      <c r="AB13" s="1570">
        <f t="shared" si="4"/>
        <v>1</v>
      </c>
      <c r="AC13" s="1570">
        <f t="shared" si="5"/>
        <v>1</v>
      </c>
    </row>
    <row r="14" spans="1:30" s="1218" customFormat="1" ht="20.25" hidden="1">
      <c r="A14" s="2937"/>
      <c r="B14" s="2946" t="s">
        <v>2757</v>
      </c>
      <c r="C14" s="2933"/>
      <c r="D14" s="537">
        <v>100</v>
      </c>
      <c r="E14" s="1373"/>
      <c r="F14" s="254">
        <f>SUMIF(84:84,E14,85:85)-SUMIF(84:84,C14,85:85)+100</f>
        <v>100</v>
      </c>
      <c r="G14" s="1373"/>
      <c r="H14" s="254">
        <f>SUMIF(84:84,G14,85:85)-SUMIF(84:84,C14,85:85)+100</f>
        <v>100</v>
      </c>
      <c r="I14" s="528"/>
      <c r="J14" s="254">
        <f>SUMIF(84:84,I14,85:85)-SUMIF(84:84,C14,85:85)+100</f>
        <v>100</v>
      </c>
      <c r="K14" s="530"/>
      <c r="L14" s="2135"/>
      <c r="M14" s="2132"/>
      <c r="N14" s="2132"/>
      <c r="O14" s="2137"/>
      <c r="P14" s="3768"/>
      <c r="Q14" s="1149" t="str">
        <f t="shared" si="6"/>
        <v>配建</v>
      </c>
      <c r="R14" s="1567" t="s">
        <v>8</v>
      </c>
      <c r="S14" s="1568">
        <f t="shared" si="0"/>
        <v>100</v>
      </c>
      <c r="T14" s="1567" t="s">
        <v>8</v>
      </c>
      <c r="U14" s="1568">
        <f t="shared" si="1"/>
        <v>100</v>
      </c>
      <c r="V14" s="1567" t="s">
        <v>8</v>
      </c>
      <c r="W14" s="1568">
        <f t="shared" si="2"/>
        <v>100</v>
      </c>
      <c r="X14" s="1569"/>
      <c r="Y14" s="3725"/>
      <c r="Z14" s="1148" t="str">
        <f t="shared" si="7"/>
        <v>配建</v>
      </c>
      <c r="AA14" s="1570">
        <f>D14/F14</f>
        <v>1</v>
      </c>
      <c r="AB14" s="1570">
        <f>D14/H14</f>
        <v>1</v>
      </c>
      <c r="AC14" s="1570">
        <f>D14/J14</f>
        <v>1</v>
      </c>
    </row>
    <row r="15" spans="1:30" ht="20.25" hidden="1">
      <c r="A15" s="2941"/>
      <c r="B15" s="2947"/>
      <c r="C15" s="910"/>
      <c r="D15" s="539">
        <v>100</v>
      </c>
      <c r="E15" s="540"/>
      <c r="F15" s="254">
        <f>SUMIF(86:86,E15,87:87)-SUMIF(86:86,C15,87:87)+100</f>
        <v>100</v>
      </c>
      <c r="G15" s="540"/>
      <c r="H15" s="539">
        <f>SUMIF(86:86,G15,87:87)-SUMIF(86:86,C15,87:87)+100</f>
        <v>100</v>
      </c>
      <c r="I15" s="541"/>
      <c r="J15" s="539">
        <f>SUMIF(86:86,I15,87:87)-SUMIF(86:86,C15,87:87)+100</f>
        <v>100</v>
      </c>
      <c r="K15" s="530"/>
      <c r="L15" s="2142"/>
      <c r="M15" s="2132"/>
      <c r="N15" s="2132"/>
      <c r="O15" s="2141"/>
      <c r="P15" s="3768"/>
      <c r="Q15" s="1149">
        <f t="shared" si="6"/>
        <v>0</v>
      </c>
      <c r="R15" s="1567" t="s">
        <v>8</v>
      </c>
      <c r="S15" s="1568">
        <f t="shared" si="0"/>
        <v>100</v>
      </c>
      <c r="T15" s="1567" t="s">
        <v>8</v>
      </c>
      <c r="U15" s="1568">
        <f t="shared" si="1"/>
        <v>100</v>
      </c>
      <c r="V15" s="1567" t="s">
        <v>8</v>
      </c>
      <c r="W15" s="1568">
        <f t="shared" si="2"/>
        <v>100</v>
      </c>
      <c r="X15" s="1569"/>
      <c r="Y15" s="3725"/>
      <c r="Z15" s="1148">
        <f t="shared" si="7"/>
        <v>0</v>
      </c>
      <c r="AA15" s="1570">
        <f>D15/F15</f>
        <v>1</v>
      </c>
      <c r="AB15" s="1570">
        <f>D15/H15</f>
        <v>1</v>
      </c>
      <c r="AC15" s="1570">
        <f>D15/J15</f>
        <v>1</v>
      </c>
    </row>
    <row r="16" spans="1:30" ht="21" hidden="1" thickBot="1">
      <c r="A16" s="2942"/>
      <c r="B16" s="2948"/>
      <c r="C16" s="913"/>
      <c r="D16" s="545">
        <v>100</v>
      </c>
      <c r="E16" s="540"/>
      <c r="F16" s="545">
        <f>SUMIF(88:88,E16,89:89)-SUMIF(88:88,C16,89:89)+100</f>
        <v>100</v>
      </c>
      <c r="G16" s="540"/>
      <c r="H16" s="545">
        <f>SUMIF(88:88,G16,89:89)-SUMIF(88:88,C16,89:89)+100</f>
        <v>100</v>
      </c>
      <c r="I16" s="541"/>
      <c r="J16" s="545">
        <f>SUMIF(88:88,I16,89:89)-SUMIF(88:88,C16,89:89)+100</f>
        <v>100</v>
      </c>
      <c r="K16" s="530"/>
      <c r="L16" s="2142"/>
      <c r="M16" s="2132"/>
      <c r="N16" s="2132"/>
      <c r="O16" s="2141"/>
      <c r="P16" s="3768"/>
      <c r="Q16" s="1149">
        <f t="shared" si="6"/>
        <v>0</v>
      </c>
      <c r="R16" s="1567" t="s">
        <v>8</v>
      </c>
      <c r="S16" s="1568">
        <f t="shared" si="0"/>
        <v>100</v>
      </c>
      <c r="T16" s="1567" t="s">
        <v>8</v>
      </c>
      <c r="U16" s="1568">
        <f t="shared" si="1"/>
        <v>100</v>
      </c>
      <c r="V16" s="1567" t="s">
        <v>8</v>
      </c>
      <c r="W16" s="1568">
        <f t="shared" si="2"/>
        <v>100</v>
      </c>
      <c r="X16" s="1569"/>
      <c r="Y16" s="3725"/>
      <c r="Z16" s="1148">
        <f t="shared" si="7"/>
        <v>0</v>
      </c>
      <c r="AA16" s="1570">
        <f>D16/F16</f>
        <v>1</v>
      </c>
      <c r="AB16" s="1570">
        <f>D16/H16</f>
        <v>1</v>
      </c>
      <c r="AC16" s="1570">
        <f>D16/J16</f>
        <v>1</v>
      </c>
    </row>
    <row r="17" spans="1:29" ht="57">
      <c r="A17" s="2934"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105</v>
      </c>
      <c r="G17" s="551"/>
      <c r="H17" s="548">
        <f>SUMIF(90:90,G18,91:91)-SUMIF(90:90,C18,91:91)+100</f>
        <v>105</v>
      </c>
      <c r="I17" s="551"/>
      <c r="J17" s="548">
        <f>SUMIF(90:90,I18,91:91)-SUMIF(90:90,C18,91:91)+100</f>
        <v>105</v>
      </c>
      <c r="K17" s="534">
        <v>5</v>
      </c>
      <c r="L17" s="2142"/>
      <c r="M17" s="2132"/>
      <c r="N17" s="2132"/>
      <c r="O17" s="2141"/>
      <c r="P17" s="3770" t="s">
        <v>540</v>
      </c>
      <c r="Q17" s="1571" t="str">
        <f t="shared" si="6"/>
        <v>居住社区成熟度</v>
      </c>
      <c r="R17" s="1572" t="s">
        <v>8</v>
      </c>
      <c r="S17" s="1573">
        <f t="shared" si="0"/>
        <v>105</v>
      </c>
      <c r="T17" s="1572" t="s">
        <v>8</v>
      </c>
      <c r="U17" s="1573">
        <f t="shared" si="1"/>
        <v>105</v>
      </c>
      <c r="V17" s="1572" t="s">
        <v>8</v>
      </c>
      <c r="W17" s="1573">
        <f t="shared" si="2"/>
        <v>105</v>
      </c>
      <c r="X17" s="1566"/>
      <c r="Y17" s="3770" t="s">
        <v>540</v>
      </c>
      <c r="Z17" s="1574" t="str">
        <f t="shared" si="7"/>
        <v>居住社区成熟度</v>
      </c>
      <c r="AA17" s="1575">
        <f t="shared" si="3"/>
        <v>0.95238095238095233</v>
      </c>
      <c r="AB17" s="1575">
        <f t="shared" si="4"/>
        <v>0.95238095238095233</v>
      </c>
      <c r="AC17" s="1575">
        <f t="shared" si="5"/>
        <v>0.95238095238095233</v>
      </c>
    </row>
    <row r="18" spans="1:29" ht="20.25">
      <c r="A18" s="531"/>
      <c r="B18" s="552"/>
      <c r="C18" s="553" t="s">
        <v>3030</v>
      </c>
      <c r="D18" s="556"/>
      <c r="E18" s="557" t="s">
        <v>3031</v>
      </c>
      <c r="F18" s="554"/>
      <c r="G18" s="557" t="s">
        <v>3031</v>
      </c>
      <c r="H18" s="558"/>
      <c r="I18" s="557" t="s">
        <v>3031</v>
      </c>
      <c r="J18" s="554"/>
      <c r="K18" s="530"/>
      <c r="L18" s="2142"/>
      <c r="M18" s="2132"/>
      <c r="N18" s="2132"/>
      <c r="O18" s="2141"/>
      <c r="P18" s="3771"/>
      <c r="Q18" s="1571"/>
      <c r="R18" s="1572"/>
      <c r="S18" s="1573"/>
      <c r="T18" s="1572"/>
      <c r="U18" s="1573"/>
      <c r="V18" s="1572"/>
      <c r="W18" s="1573"/>
      <c r="X18" s="1566"/>
      <c r="Y18" s="3771"/>
      <c r="Z18" s="1574"/>
      <c r="AA18" s="1575">
        <v>1</v>
      </c>
      <c r="AB18" s="1575">
        <v>1</v>
      </c>
      <c r="AC18" s="1575">
        <v>1</v>
      </c>
    </row>
    <row r="19" spans="1:29" ht="42.75">
      <c r="A19" s="531"/>
      <c r="B19" s="559" t="s">
        <v>541</v>
      </c>
      <c r="C19" s="560" t="str">
        <f>估价对象房地状况!C16</f>
        <v>估价对象位于XX商圈，周边商业氛围成熟，人流量大，商业繁华度好</v>
      </c>
      <c r="D19" s="562">
        <v>100</v>
      </c>
      <c r="E19" s="563"/>
      <c r="F19" s="558">
        <f>SUMIF(92:92,E20,93:93)-SUMIF(92:92,C20,93:93)+100</f>
        <v>105</v>
      </c>
      <c r="G19" s="563"/>
      <c r="H19" s="564">
        <f>SUMIF(92:92,G20,93:93)-SUMIF(92:92,C20,93:93)+100</f>
        <v>105</v>
      </c>
      <c r="I19" s="563"/>
      <c r="J19" s="564">
        <f>SUMIF(92:92,I20,93:93)-SUMIF(92:92,C20,93:93)+100</f>
        <v>105</v>
      </c>
      <c r="K19" s="534">
        <f>'比较法-住宅、综合'!$K$19</f>
        <v>5</v>
      </c>
      <c r="L19" s="2142"/>
      <c r="M19" s="2132"/>
      <c r="N19" s="2132"/>
      <c r="O19" s="2141"/>
      <c r="P19" s="3771"/>
      <c r="Q19" s="1571" t="str">
        <f>B19</f>
        <v>商业繁华度</v>
      </c>
      <c r="R19" s="1572" t="s">
        <v>8</v>
      </c>
      <c r="S19" s="1573">
        <f>F19</f>
        <v>105</v>
      </c>
      <c r="T19" s="1572" t="s">
        <v>8</v>
      </c>
      <c r="U19" s="1573">
        <f>H19</f>
        <v>105</v>
      </c>
      <c r="V19" s="1572" t="s">
        <v>8</v>
      </c>
      <c r="W19" s="1573">
        <f>J19</f>
        <v>105</v>
      </c>
      <c r="X19" s="1566"/>
      <c r="Y19" s="3771"/>
      <c r="Z19" s="1574" t="str">
        <f>Q19</f>
        <v>商业繁华度</v>
      </c>
      <c r="AA19" s="1575">
        <f t="shared" si="3"/>
        <v>0.95238095238095233</v>
      </c>
      <c r="AB19" s="1575">
        <f t="shared" si="4"/>
        <v>0.95238095238095233</v>
      </c>
      <c r="AC19" s="1575">
        <f t="shared" si="5"/>
        <v>0.95238095238095233</v>
      </c>
    </row>
    <row r="20" spans="1:29" ht="20.25">
      <c r="A20" s="531"/>
      <c r="B20" s="565"/>
      <c r="C20" s="566" t="s">
        <v>3030</v>
      </c>
      <c r="D20" s="562"/>
      <c r="E20" s="568" t="s">
        <v>3031</v>
      </c>
      <c r="F20" s="558"/>
      <c r="G20" s="568" t="s">
        <v>3031</v>
      </c>
      <c r="H20" s="554"/>
      <c r="I20" s="568" t="s">
        <v>3031</v>
      </c>
      <c r="J20" s="554"/>
      <c r="K20" s="530"/>
      <c r="L20" s="2142"/>
      <c r="M20" s="2132"/>
      <c r="N20" s="2132"/>
      <c r="O20" s="2141"/>
      <c r="P20" s="3771"/>
      <c r="Q20" s="1571"/>
      <c r="R20" s="1572"/>
      <c r="S20" s="1573"/>
      <c r="T20" s="1572"/>
      <c r="U20" s="1573"/>
      <c r="V20" s="1572"/>
      <c r="W20" s="1573"/>
      <c r="X20" s="1566"/>
      <c r="Y20" s="3771"/>
      <c r="Z20" s="1574"/>
      <c r="AA20" s="1575">
        <v>1</v>
      </c>
      <c r="AB20" s="1575">
        <v>1</v>
      </c>
      <c r="AC20" s="1575">
        <v>1</v>
      </c>
    </row>
    <row r="21" spans="1:29" ht="42.7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71"/>
      <c r="H21" s="558">
        <f>SUMIF(94:94,G22,95:95)-SUMIF(94:94,C22,95:95)+100</f>
        <v>100</v>
      </c>
      <c r="I21" s="571"/>
      <c r="J21" s="558">
        <f>SUMIF(94:94,I22,95:95)-SUMIF(94:94,C22,95:95)+100</f>
        <v>100</v>
      </c>
      <c r="K21" s="534">
        <f>'[1]比较法-住宅、综合'!$K$21</f>
        <v>3</v>
      </c>
      <c r="L21" s="2142"/>
      <c r="M21" s="2132"/>
      <c r="N21" s="2132"/>
      <c r="O21" s="2141"/>
      <c r="P21" s="3771"/>
      <c r="Q21" s="1571" t="str">
        <f>B21</f>
        <v>办公集聚程度</v>
      </c>
      <c r="R21" s="1572" t="s">
        <v>8</v>
      </c>
      <c r="S21" s="1573">
        <f>F21</f>
        <v>100</v>
      </c>
      <c r="T21" s="1572" t="s">
        <v>8</v>
      </c>
      <c r="U21" s="1573">
        <f>H21</f>
        <v>100</v>
      </c>
      <c r="V21" s="1572" t="s">
        <v>8</v>
      </c>
      <c r="W21" s="1573">
        <f>J21</f>
        <v>100</v>
      </c>
      <c r="X21" s="1566"/>
      <c r="Y21" s="3771"/>
      <c r="Z21" s="1574" t="str">
        <f>Q21</f>
        <v>办公集聚程度</v>
      </c>
      <c r="AA21" s="1575">
        <f t="shared" si="3"/>
        <v>1</v>
      </c>
      <c r="AB21" s="1575">
        <f t="shared" si="4"/>
        <v>1</v>
      </c>
      <c r="AC21" s="1575">
        <f t="shared" si="5"/>
        <v>1</v>
      </c>
    </row>
    <row r="22" spans="1:29" ht="20.25" hidden="1">
      <c r="A22" s="531"/>
      <c r="B22" s="565"/>
      <c r="C22" s="553"/>
      <c r="D22" s="556"/>
      <c r="E22" s="568"/>
      <c r="F22" s="554"/>
      <c r="G22" s="568"/>
      <c r="H22" s="554"/>
      <c r="I22" s="568"/>
      <c r="J22" s="554"/>
      <c r="K22" s="530"/>
      <c r="L22" s="2142"/>
      <c r="M22" s="2132"/>
      <c r="N22" s="2132"/>
      <c r="O22" s="2141"/>
      <c r="P22" s="3771"/>
      <c r="Q22" s="1571"/>
      <c r="R22" s="1572"/>
      <c r="S22" s="1573"/>
      <c r="T22" s="1572"/>
      <c r="U22" s="1573"/>
      <c r="V22" s="1572"/>
      <c r="W22" s="1573"/>
      <c r="X22" s="1566"/>
      <c r="Y22" s="3771"/>
      <c r="Z22" s="1574"/>
      <c r="AA22" s="1575">
        <v>1</v>
      </c>
      <c r="AB22" s="1575">
        <v>1</v>
      </c>
      <c r="AC22" s="1575">
        <v>1</v>
      </c>
    </row>
    <row r="23" spans="1:29" ht="57">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3"/>
      <c r="H23" s="558">
        <f>SUMIF(96:96,G24,97:97)-SUMIF(96:96,C24,97:97)+100</f>
        <v>100</v>
      </c>
      <c r="I23" s="563"/>
      <c r="J23" s="558">
        <f>SUMIF(96:96,I24,97:97)-SUMIF(96:96,C24,97:97)+100</f>
        <v>100</v>
      </c>
      <c r="K23" s="534">
        <f>'比较法-住宅、综合'!$K$23</f>
        <v>5</v>
      </c>
      <c r="L23" s="2142"/>
      <c r="M23" s="2132"/>
      <c r="N23" s="2132"/>
      <c r="O23" s="2141"/>
      <c r="P23" s="3771"/>
      <c r="Q23" s="1571" t="str">
        <f>B23</f>
        <v>交通便捷度</v>
      </c>
      <c r="R23" s="1572" t="s">
        <v>8</v>
      </c>
      <c r="S23" s="1573">
        <f>F23</f>
        <v>100</v>
      </c>
      <c r="T23" s="1572" t="s">
        <v>8</v>
      </c>
      <c r="U23" s="1573">
        <f>H23</f>
        <v>100</v>
      </c>
      <c r="V23" s="1572" t="s">
        <v>8</v>
      </c>
      <c r="W23" s="1573">
        <f>J23</f>
        <v>100</v>
      </c>
      <c r="X23" s="1566"/>
      <c r="Y23" s="3771"/>
      <c r="Z23" s="1574" t="str">
        <f>Q23</f>
        <v>交通便捷度</v>
      </c>
      <c r="AA23" s="1575">
        <f t="shared" si="3"/>
        <v>1</v>
      </c>
      <c r="AB23" s="1575">
        <f t="shared" si="4"/>
        <v>1</v>
      </c>
      <c r="AC23" s="1575">
        <f t="shared" si="5"/>
        <v>1</v>
      </c>
    </row>
    <row r="24" spans="1:29" ht="20.25">
      <c r="A24" s="531"/>
      <c r="B24" s="577"/>
      <c r="C24" s="553" t="s">
        <v>3031</v>
      </c>
      <c r="D24" s="556"/>
      <c r="E24" s="557" t="s">
        <v>3031</v>
      </c>
      <c r="F24" s="554"/>
      <c r="G24" s="557" t="s">
        <v>3031</v>
      </c>
      <c r="H24" s="554"/>
      <c r="I24" s="557" t="s">
        <v>3031</v>
      </c>
      <c r="J24" s="554"/>
      <c r="K24" s="530"/>
      <c r="L24" s="2142"/>
      <c r="M24" s="2132"/>
      <c r="N24" s="2132"/>
      <c r="O24" s="2141"/>
      <c r="P24" s="3771"/>
      <c r="Q24" s="1571"/>
      <c r="R24" s="1572"/>
      <c r="S24" s="1573"/>
      <c r="T24" s="1572"/>
      <c r="U24" s="1573"/>
      <c r="V24" s="1572"/>
      <c r="W24" s="1573"/>
      <c r="X24" s="1566"/>
      <c r="Y24" s="3771"/>
      <c r="Z24" s="1574"/>
      <c r="AA24" s="1575">
        <v>1</v>
      </c>
      <c r="AB24" s="1575">
        <v>1</v>
      </c>
      <c r="AC24" s="1575">
        <v>1</v>
      </c>
    </row>
    <row r="25" spans="1:29" ht="33.950000000000003" customHeight="1">
      <c r="A25" s="514"/>
      <c r="B25" s="258" t="s">
        <v>544</v>
      </c>
      <c r="C25" s="572">
        <f>估价对象房地状况!C19</f>
        <v>0</v>
      </c>
      <c r="D25" s="562">
        <v>100</v>
      </c>
      <c r="E25" s="563"/>
      <c r="F25" s="564">
        <f>SUMIF(98:98,E26,99:99)-SUMIF(98:98,C26,99:99)+100</f>
        <v>105</v>
      </c>
      <c r="G25" s="563"/>
      <c r="H25" s="558">
        <f>SUMIF(98:98,G26,99:99)-SUMIF(98:98,C26,99:99)+100</f>
        <v>105</v>
      </c>
      <c r="I25" s="563"/>
      <c r="J25" s="558">
        <f>SUMIF(98:98,I26,99:99)-SUMIF(98:98,C26,99:99)+100</f>
        <v>105</v>
      </c>
      <c r="K25" s="534">
        <f>'比较法-住宅、综合'!$K$25</f>
        <v>5</v>
      </c>
      <c r="L25" s="2142"/>
      <c r="M25" s="2132"/>
      <c r="N25" s="2132"/>
      <c r="O25" s="2141"/>
      <c r="P25" s="3771"/>
      <c r="Q25" s="1571" t="str">
        <f t="shared" ref="Q25:Q39" si="8">B25</f>
        <v>区域土地利用方向</v>
      </c>
      <c r="R25" s="1572" t="s">
        <v>8</v>
      </c>
      <c r="S25" s="1573">
        <f>F25</f>
        <v>105</v>
      </c>
      <c r="T25" s="1572" t="s">
        <v>8</v>
      </c>
      <c r="U25" s="1573">
        <f>H25</f>
        <v>105</v>
      </c>
      <c r="V25" s="1572" t="s">
        <v>8</v>
      </c>
      <c r="W25" s="1573">
        <f>J25</f>
        <v>105</v>
      </c>
      <c r="X25" s="1566"/>
      <c r="Y25" s="3771"/>
      <c r="Z25" s="1574" t="str">
        <f>Q25</f>
        <v>区域土地利用方向</v>
      </c>
      <c r="AA25" s="1575">
        <f t="shared" si="3"/>
        <v>0.95238095238095233</v>
      </c>
      <c r="AB25" s="1575">
        <f t="shared" si="4"/>
        <v>0.95238095238095233</v>
      </c>
      <c r="AC25" s="1575">
        <f t="shared" si="5"/>
        <v>0.95238095238095233</v>
      </c>
    </row>
    <row r="26" spans="1:29" ht="20.25">
      <c r="A26" s="514"/>
      <c r="B26" s="1005"/>
      <c r="C26" s="553" t="s">
        <v>3031</v>
      </c>
      <c r="D26" s="556"/>
      <c r="E26" s="553" t="s">
        <v>3035</v>
      </c>
      <c r="F26" s="554"/>
      <c r="G26" s="553" t="s">
        <v>3035</v>
      </c>
      <c r="H26" s="554"/>
      <c r="I26" s="553" t="s">
        <v>3035</v>
      </c>
      <c r="J26" s="554"/>
      <c r="K26" s="530"/>
      <c r="L26" s="2142"/>
      <c r="M26" s="2132"/>
      <c r="N26" s="2132"/>
      <c r="O26" s="2141"/>
      <c r="P26" s="3771"/>
      <c r="Q26" s="1571"/>
      <c r="R26" s="1572"/>
      <c r="S26" s="1573"/>
      <c r="T26" s="1572"/>
      <c r="U26" s="1573"/>
      <c r="V26" s="1572"/>
      <c r="W26" s="1573"/>
      <c r="X26" s="1566"/>
      <c r="Y26" s="3771"/>
      <c r="Z26" s="1574"/>
      <c r="AA26" s="1575"/>
      <c r="AB26" s="1575"/>
      <c r="AC26" s="1575"/>
    </row>
    <row r="27" spans="1:29" ht="28.5">
      <c r="A27" s="514"/>
      <c r="B27" s="577" t="s">
        <v>545</v>
      </c>
      <c r="C27" s="560" t="str">
        <f>估价对象房地状况!C20</f>
        <v>区域自然环境：；人文环境；综合评价环境状况一般</v>
      </c>
      <c r="D27" s="562">
        <v>100</v>
      </c>
      <c r="E27" s="563"/>
      <c r="F27" s="558">
        <f>SUMIF(100:100,E28,101:101)-SUMIF(100:100,C28,101:101)+100</f>
        <v>100</v>
      </c>
      <c r="G27" s="563"/>
      <c r="H27" s="558">
        <f>SUMIF(100:100,G28,101:101)-SUMIF(100:100,C28,101:101)+100</f>
        <v>100</v>
      </c>
      <c r="I27" s="563"/>
      <c r="J27" s="558">
        <f>SUMIF(100:100,I28,101:101)-SUMIF(100:100,C28,101:101)+100</f>
        <v>100</v>
      </c>
      <c r="K27" s="534">
        <f>'[1]比较法-住宅、综合'!$K$27</f>
        <v>3</v>
      </c>
      <c r="L27" s="2142"/>
      <c r="M27" s="2132"/>
      <c r="N27" s="2132"/>
      <c r="O27" s="2141"/>
      <c r="P27" s="3771"/>
      <c r="Q27" s="1571" t="str">
        <f t="shared" si="8"/>
        <v>自然及人文环境状况</v>
      </c>
      <c r="R27" s="1572" t="s">
        <v>8</v>
      </c>
      <c r="S27" s="1573">
        <f>F27</f>
        <v>100</v>
      </c>
      <c r="T27" s="1572" t="s">
        <v>8</v>
      </c>
      <c r="U27" s="1573">
        <f>H27</f>
        <v>100</v>
      </c>
      <c r="V27" s="1572" t="s">
        <v>8</v>
      </c>
      <c r="W27" s="1573">
        <f>J27</f>
        <v>100</v>
      </c>
      <c r="X27" s="1566"/>
      <c r="Y27" s="3771"/>
      <c r="Z27" s="1574" t="str">
        <f>Q27</f>
        <v>自然及人文环境状况</v>
      </c>
      <c r="AA27" s="1575">
        <f t="shared" si="3"/>
        <v>1</v>
      </c>
      <c r="AB27" s="1575">
        <f t="shared" si="4"/>
        <v>1</v>
      </c>
      <c r="AC27" s="1575">
        <f t="shared" si="5"/>
        <v>1</v>
      </c>
    </row>
    <row r="28" spans="1:29" ht="20.25">
      <c r="A28" s="514"/>
      <c r="B28" s="565"/>
      <c r="C28" s="553" t="s">
        <v>3031</v>
      </c>
      <c r="D28" s="556"/>
      <c r="E28" s="553" t="s">
        <v>3031</v>
      </c>
      <c r="F28" s="554"/>
      <c r="G28" s="553" t="s">
        <v>3031</v>
      </c>
      <c r="H28" s="554"/>
      <c r="I28" s="553" t="s">
        <v>3031</v>
      </c>
      <c r="J28" s="554"/>
      <c r="K28" s="530"/>
      <c r="L28" s="2142"/>
      <c r="M28" s="2132"/>
      <c r="N28" s="2132"/>
      <c r="O28" s="2141"/>
      <c r="P28" s="3771"/>
      <c r="Q28" s="1571"/>
      <c r="R28" s="1572"/>
      <c r="S28" s="1573"/>
      <c r="T28" s="1572"/>
      <c r="U28" s="1573"/>
      <c r="V28" s="1572"/>
      <c r="W28" s="1573"/>
      <c r="X28" s="1566"/>
      <c r="Y28" s="3771"/>
      <c r="Z28" s="1574"/>
      <c r="AA28" s="1575">
        <v>1</v>
      </c>
      <c r="AB28" s="1575">
        <v>1</v>
      </c>
      <c r="AC28" s="1575">
        <v>1</v>
      </c>
    </row>
    <row r="29" spans="1:29" s="1218" customFormat="1" ht="28.5">
      <c r="A29" s="576"/>
      <c r="B29" s="2615" t="s">
        <v>2546</v>
      </c>
      <c r="C29" s="572" t="str">
        <f>估价对象房地状况!C21</f>
        <v>估价对象所在区域公共配套设施齐备情况</v>
      </c>
      <c r="D29" s="562">
        <v>100</v>
      </c>
      <c r="E29" s="563"/>
      <c r="F29" s="558">
        <f>SUMIF(102:102,E30,103:103)-SUMIF(102:102,C30,103:103)+100</f>
        <v>105</v>
      </c>
      <c r="G29" s="563"/>
      <c r="H29" s="558">
        <f>SUMIF(102:102,G30,103:103)-SUMIF(102:102,C30,103:103)+100</f>
        <v>105</v>
      </c>
      <c r="I29" s="563"/>
      <c r="J29" s="558">
        <f>SUMIF(102:102,I30,103:103)-SUMIF(102:102,C30,103:103)+100</f>
        <v>105</v>
      </c>
      <c r="K29" s="534">
        <v>5</v>
      </c>
      <c r="L29" s="2135"/>
      <c r="M29" s="2132"/>
      <c r="N29" s="2132"/>
      <c r="O29" s="2137"/>
      <c r="P29" s="3771"/>
      <c r="Q29" s="1149" t="str">
        <f t="shared" si="8"/>
        <v>公共配套设施</v>
      </c>
      <c r="R29" s="1567" t="s">
        <v>8</v>
      </c>
      <c r="S29" s="1568">
        <f>F29</f>
        <v>105</v>
      </c>
      <c r="T29" s="1567" t="s">
        <v>8</v>
      </c>
      <c r="U29" s="1568">
        <f>H29</f>
        <v>105</v>
      </c>
      <c r="V29" s="1567" t="s">
        <v>8</v>
      </c>
      <c r="W29" s="1568">
        <f>J29</f>
        <v>105</v>
      </c>
      <c r="X29" s="1569"/>
      <c r="Y29" s="3771"/>
      <c r="Z29" s="1148" t="str">
        <f>Q29</f>
        <v>公共配套设施</v>
      </c>
      <c r="AA29" s="1575">
        <f>D29/F29</f>
        <v>0.95238095238095233</v>
      </c>
      <c r="AB29" s="1575">
        <f>D29/H29</f>
        <v>0.95238095238095233</v>
      </c>
      <c r="AC29" s="1575">
        <f>D29/J29</f>
        <v>0.95238095238095233</v>
      </c>
    </row>
    <row r="30" spans="1:29" s="1218" customFormat="1" ht="20.25">
      <c r="A30" s="576"/>
      <c r="B30" s="565"/>
      <c r="C30" s="578" t="s">
        <v>3030</v>
      </c>
      <c r="D30" s="556"/>
      <c r="E30" s="575" t="s">
        <v>3031</v>
      </c>
      <c r="F30" s="554"/>
      <c r="G30" s="575" t="s">
        <v>3031</v>
      </c>
      <c r="H30" s="554"/>
      <c r="I30" s="575" t="s">
        <v>3031</v>
      </c>
      <c r="J30" s="554"/>
      <c r="K30" s="530"/>
      <c r="L30" s="2135"/>
      <c r="M30" s="2132"/>
      <c r="N30" s="2132"/>
      <c r="O30" s="2137"/>
      <c r="P30" s="3771"/>
      <c r="Q30" s="1149"/>
      <c r="R30" s="1567"/>
      <c r="S30" s="1568"/>
      <c r="T30" s="1567"/>
      <c r="U30" s="1568"/>
      <c r="V30" s="1567"/>
      <c r="W30" s="1568"/>
      <c r="X30" s="1569"/>
      <c r="Y30" s="3771"/>
      <c r="Z30" s="1148"/>
      <c r="AA30" s="1575">
        <v>1</v>
      </c>
      <c r="AB30" s="1575">
        <v>1</v>
      </c>
      <c r="AC30" s="1575">
        <v>1</v>
      </c>
    </row>
    <row r="31" spans="1:29" s="1218" customFormat="1" ht="28.5">
      <c r="A31" s="576"/>
      <c r="B31" s="2615" t="s">
        <v>2547</v>
      </c>
      <c r="C31" s="572" t="str">
        <f>估价对象房地状况!C22</f>
        <v>估价对象所在区域基础设施水平</v>
      </c>
      <c r="D31" s="562">
        <v>100</v>
      </c>
      <c r="E31" s="563"/>
      <c r="F31" s="558">
        <f>SUMIF(104:104,E32,105:105)-SUMIF(104:104,C32,105:105)+100</f>
        <v>100</v>
      </c>
      <c r="G31" s="563"/>
      <c r="H31" s="558">
        <f>SUMIF(104:104,G32,105:105)-SUMIF(104:104,C32,105:105)+100</f>
        <v>100</v>
      </c>
      <c r="I31" s="563"/>
      <c r="J31" s="558">
        <f>SUMIF(104:104,I32,105:105)-SUMIF(104:104,C32,105:105)+100</f>
        <v>100</v>
      </c>
      <c r="K31" s="534">
        <f>'[1]比较法-住宅、综合'!$K$31</f>
        <v>2</v>
      </c>
      <c r="L31" s="2135"/>
      <c r="M31" s="2132"/>
      <c r="N31" s="2132"/>
      <c r="O31" s="2137"/>
      <c r="P31" s="3771"/>
      <c r="Q31" s="2602" t="str">
        <f t="shared" ref="Q31" si="9">B31</f>
        <v>基础设施水平</v>
      </c>
      <c r="R31" s="1567" t="s">
        <v>8</v>
      </c>
      <c r="S31" s="1568">
        <f>F31</f>
        <v>100</v>
      </c>
      <c r="T31" s="1567" t="s">
        <v>8</v>
      </c>
      <c r="U31" s="1568">
        <f>H31</f>
        <v>100</v>
      </c>
      <c r="V31" s="1567" t="s">
        <v>8</v>
      </c>
      <c r="W31" s="1568">
        <f>J31</f>
        <v>100</v>
      </c>
      <c r="X31" s="1569"/>
      <c r="Y31" s="3771"/>
      <c r="Z31" s="2599" t="str">
        <f>Q31</f>
        <v>基础设施水平</v>
      </c>
      <c r="AA31" s="1575">
        <f>D31/F31</f>
        <v>1</v>
      </c>
      <c r="AB31" s="1575">
        <f>D31/H31</f>
        <v>1</v>
      </c>
      <c r="AC31" s="1575">
        <f>D31/J31</f>
        <v>1</v>
      </c>
    </row>
    <row r="32" spans="1:29" s="1218" customFormat="1" ht="20.25">
      <c r="A32" s="576"/>
      <c r="B32" s="565"/>
      <c r="C32" s="578" t="s">
        <v>3039</v>
      </c>
      <c r="D32" s="556"/>
      <c r="E32" s="578" t="s">
        <v>3039</v>
      </c>
      <c r="F32" s="554"/>
      <c r="G32" s="578" t="s">
        <v>3039</v>
      </c>
      <c r="H32" s="554"/>
      <c r="I32" s="578" t="s">
        <v>3039</v>
      </c>
      <c r="J32" s="554"/>
      <c r="K32" s="530"/>
      <c r="L32" s="2135"/>
      <c r="M32" s="2132"/>
      <c r="N32" s="2132"/>
      <c r="O32" s="2137"/>
      <c r="P32" s="3771"/>
      <c r="Q32" s="2602"/>
      <c r="R32" s="1567"/>
      <c r="S32" s="1568"/>
      <c r="T32" s="1567"/>
      <c r="U32" s="1568"/>
      <c r="V32" s="1567"/>
      <c r="W32" s="1568"/>
      <c r="X32" s="1569"/>
      <c r="Y32" s="3771"/>
      <c r="Z32" s="2599"/>
      <c r="AA32" s="1575">
        <v>1</v>
      </c>
      <c r="AB32" s="1575">
        <v>1</v>
      </c>
      <c r="AC32" s="1575">
        <v>1</v>
      </c>
    </row>
    <row r="33" spans="1:29" ht="20.25" hidden="1">
      <c r="A33" s="531"/>
      <c r="B33" s="565" t="s">
        <v>547</v>
      </c>
      <c r="C33" s="579"/>
      <c r="D33" s="574">
        <v>100</v>
      </c>
      <c r="E33" s="582"/>
      <c r="F33" s="539">
        <f>SUMIF(106:106,E33,107:107)-SUMIF(106:106,C33,107:107)+100</f>
        <v>100</v>
      </c>
      <c r="G33" s="582"/>
      <c r="H33" s="539">
        <f>SUMIF(106:106,G33,107:107)-SUMIF(106:106,C33,107:107)+100</f>
        <v>100</v>
      </c>
      <c r="I33" s="579"/>
      <c r="J33" s="539">
        <f>SUMIF(106:106,I33,107:107)-SUMIF(106:106,C33,107:107)+100</f>
        <v>100</v>
      </c>
      <c r="K33" s="534"/>
      <c r="L33" s="2142"/>
      <c r="M33" s="2132"/>
      <c r="N33" s="2132"/>
      <c r="O33" s="2141"/>
      <c r="P33" s="377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771"/>
      <c r="Z33" s="1574" t="str">
        <f t="shared" ref="Z33:Z47" si="13">Q33</f>
        <v>临街状况</v>
      </c>
      <c r="AA33" s="1575">
        <f t="shared" si="3"/>
        <v>1</v>
      </c>
      <c r="AB33" s="1575">
        <f t="shared" si="4"/>
        <v>1</v>
      </c>
      <c r="AC33" s="1575">
        <f t="shared" si="5"/>
        <v>1</v>
      </c>
    </row>
    <row r="34" spans="1:29" ht="27">
      <c r="A34" s="531"/>
      <c r="B34" s="577" t="s">
        <v>548</v>
      </c>
      <c r="C34" s="561"/>
      <c r="D34" s="562">
        <v>100</v>
      </c>
      <c r="E34" s="563"/>
      <c r="F34" s="558">
        <f>SUMIF(108:108,E35,109:109)-SUMIF(108:108,C35,109:109)+100</f>
        <v>100</v>
      </c>
      <c r="G34" s="563"/>
      <c r="H34" s="558">
        <f>SUMIF(108:108,G35,109:109)-SUMIF(108:108,C35,109:109)+100</f>
        <v>100</v>
      </c>
      <c r="I34" s="563"/>
      <c r="J34" s="558">
        <f>SUMIF(108:108,I35,109:109)-SUMIF(108:108,C35,109:109)+100</f>
        <v>100</v>
      </c>
      <c r="K34" s="534">
        <f>'[1]比较法-住宅、综合'!$K$34</f>
        <v>2</v>
      </c>
      <c r="L34" s="2142"/>
      <c r="M34" s="2132"/>
      <c r="N34" s="2132"/>
      <c r="O34" s="2141"/>
      <c r="P34" s="3771"/>
      <c r="Q34" s="1571" t="str">
        <f t="shared" si="8"/>
        <v>毗邻道路的类型与等级</v>
      </c>
      <c r="R34" s="1572" t="s">
        <v>8</v>
      </c>
      <c r="S34" s="1573">
        <f t="shared" si="10"/>
        <v>100</v>
      </c>
      <c r="T34" s="1572" t="s">
        <v>8</v>
      </c>
      <c r="U34" s="1573">
        <f t="shared" si="11"/>
        <v>100</v>
      </c>
      <c r="V34" s="1572" t="s">
        <v>8</v>
      </c>
      <c r="W34" s="1573">
        <f t="shared" si="12"/>
        <v>100</v>
      </c>
      <c r="X34" s="1566"/>
      <c r="Y34" s="3771"/>
      <c r="Z34" s="1574" t="str">
        <f t="shared" si="13"/>
        <v>毗邻道路的类型与等级</v>
      </c>
      <c r="AA34" s="1575">
        <f t="shared" si="3"/>
        <v>1</v>
      </c>
      <c r="AB34" s="1575">
        <f t="shared" si="4"/>
        <v>1</v>
      </c>
      <c r="AC34" s="1575">
        <f t="shared" si="5"/>
        <v>1</v>
      </c>
    </row>
    <row r="35" spans="1:29" ht="21" thickBot="1">
      <c r="A35" s="531"/>
      <c r="B35" s="565"/>
      <c r="C35" s="553" t="s">
        <v>3352</v>
      </c>
      <c r="D35" s="556"/>
      <c r="E35" s="553" t="s">
        <v>3352</v>
      </c>
      <c r="F35" s="554"/>
      <c r="G35" s="553" t="s">
        <v>3352</v>
      </c>
      <c r="H35" s="554"/>
      <c r="I35" s="553" t="s">
        <v>3352</v>
      </c>
      <c r="J35" s="554"/>
      <c r="K35" s="580"/>
      <c r="L35" s="2142"/>
      <c r="M35" s="2132"/>
      <c r="N35" s="2132"/>
      <c r="O35" s="2141"/>
      <c r="P35" s="3771"/>
      <c r="Q35" s="1571"/>
      <c r="R35" s="1572"/>
      <c r="S35" s="1573"/>
      <c r="T35" s="1572"/>
      <c r="U35" s="1573"/>
      <c r="V35" s="1572"/>
      <c r="W35" s="1573"/>
      <c r="X35" s="1566"/>
      <c r="Y35" s="3771"/>
      <c r="Z35" s="1574"/>
      <c r="AA35" s="1575">
        <v>1</v>
      </c>
      <c r="AB35" s="1575">
        <v>1</v>
      </c>
      <c r="AC35" s="1575">
        <v>1</v>
      </c>
    </row>
    <row r="36" spans="1:29" ht="20.25" hidden="1">
      <c r="A36" s="531"/>
      <c r="B36" s="581" t="s">
        <v>549</v>
      </c>
      <c r="C36" s="579"/>
      <c r="D36" s="574">
        <v>100</v>
      </c>
      <c r="E36" s="582"/>
      <c r="F36" s="539">
        <f>SUMIF(110:110,E36,111:111)-SUMIF(110:110,C36,111:111)+100</f>
        <v>100</v>
      </c>
      <c r="G36" s="582"/>
      <c r="H36" s="539">
        <f>SUMIF(110:110,G36,111:111)-SUMIF(110:110,C36,111:111)+100</f>
        <v>100</v>
      </c>
      <c r="I36" s="582"/>
      <c r="J36" s="539">
        <f>SUMIF(110:110,I36,111:111)-SUMIF(110:110,C36,111:111)+100</f>
        <v>100</v>
      </c>
      <c r="K36" s="583"/>
      <c r="L36" s="2142"/>
      <c r="M36" s="2132"/>
      <c r="N36" s="2132"/>
      <c r="O36" s="2141"/>
      <c r="P36" s="3771"/>
      <c r="Q36" s="1571" t="str">
        <f t="shared" si="8"/>
        <v>土地级别</v>
      </c>
      <c r="R36" s="1572" t="s">
        <v>8</v>
      </c>
      <c r="S36" s="1573">
        <f t="shared" si="10"/>
        <v>100</v>
      </c>
      <c r="T36" s="1572" t="s">
        <v>8</v>
      </c>
      <c r="U36" s="1573">
        <f t="shared" si="11"/>
        <v>100</v>
      </c>
      <c r="V36" s="1572" t="s">
        <v>8</v>
      </c>
      <c r="W36" s="1573">
        <f t="shared" si="12"/>
        <v>100</v>
      </c>
      <c r="X36" s="1566"/>
      <c r="Y36" s="3771"/>
      <c r="Z36" s="1574" t="str">
        <f t="shared" si="13"/>
        <v>土地级别</v>
      </c>
      <c r="AA36" s="1575">
        <f t="shared" si="3"/>
        <v>1</v>
      </c>
      <c r="AB36" s="1575">
        <f t="shared" si="4"/>
        <v>1</v>
      </c>
      <c r="AC36" s="1575">
        <f t="shared" si="5"/>
        <v>1</v>
      </c>
    </row>
    <row r="37" spans="1:29" ht="20.25" hidden="1">
      <c r="A37" s="514"/>
      <c r="B37" s="584"/>
      <c r="C37" s="585"/>
      <c r="D37" s="574">
        <v>100</v>
      </c>
      <c r="E37" s="541"/>
      <c r="F37" s="539">
        <f>SUMIF(112:112,E37,113:113)-SUMIF(112:112,C37,113:113)+100</f>
        <v>100</v>
      </c>
      <c r="G37" s="541"/>
      <c r="H37" s="539">
        <f>SUMIF(112:112,G37,113:113)-SUMIF(112:112,C37,113:113)+100</f>
        <v>100</v>
      </c>
      <c r="I37" s="541"/>
      <c r="J37" s="539">
        <f>SUMIF(112:112,I37,113:113)-SUMIF(112:112,C37,113:113)+100</f>
        <v>100</v>
      </c>
      <c r="K37" s="580"/>
      <c r="L37" s="2142"/>
      <c r="M37" s="2132"/>
      <c r="N37" s="2132"/>
      <c r="O37" s="2141"/>
      <c r="P37" s="3771"/>
      <c r="Q37" s="1571">
        <f t="shared" si="8"/>
        <v>0</v>
      </c>
      <c r="R37" s="1572" t="s">
        <v>8</v>
      </c>
      <c r="S37" s="1573">
        <f t="shared" si="10"/>
        <v>100</v>
      </c>
      <c r="T37" s="1572" t="s">
        <v>8</v>
      </c>
      <c r="U37" s="1573">
        <f t="shared" si="11"/>
        <v>100</v>
      </c>
      <c r="V37" s="1572" t="s">
        <v>8</v>
      </c>
      <c r="W37" s="1573">
        <f t="shared" si="12"/>
        <v>100</v>
      </c>
      <c r="X37" s="1566"/>
      <c r="Y37" s="3771"/>
      <c r="Z37" s="1574">
        <f t="shared" si="13"/>
        <v>0</v>
      </c>
      <c r="AA37" s="1575">
        <f t="shared" si="3"/>
        <v>1</v>
      </c>
      <c r="AB37" s="1575">
        <f t="shared" si="4"/>
        <v>1</v>
      </c>
      <c r="AC37" s="1575">
        <f t="shared" si="5"/>
        <v>1</v>
      </c>
    </row>
    <row r="38" spans="1:29" ht="20.25" hidden="1">
      <c r="A38" s="586"/>
      <c r="B38" s="587"/>
      <c r="C38" s="585"/>
      <c r="D38" s="574">
        <v>100</v>
      </c>
      <c r="E38" s="541"/>
      <c r="F38" s="539">
        <f>SUMIF(114:114,E39,115:115)-SUMIF(114:114,C39,115:115)+100</f>
        <v>100</v>
      </c>
      <c r="G38" s="541"/>
      <c r="H38" s="539">
        <f>SUMIF(114:114,G38,115:115)-SUMIF(114:114,C38,115:115)+100</f>
        <v>100</v>
      </c>
      <c r="I38" s="541"/>
      <c r="J38" s="539">
        <f>SUMIF(114:114,I38,115:115)-SUMIF(114:114,C38,115:115)+100</f>
        <v>100</v>
      </c>
      <c r="K38" s="580"/>
      <c r="L38" s="2142"/>
      <c r="M38" s="2132"/>
      <c r="N38" s="2132"/>
      <c r="O38" s="2141"/>
      <c r="P38" s="3772" t="s">
        <v>550</v>
      </c>
      <c r="Q38" s="1571">
        <f t="shared" si="8"/>
        <v>0</v>
      </c>
      <c r="R38" s="1572" t="s">
        <v>8</v>
      </c>
      <c r="S38" s="1573">
        <f t="shared" si="10"/>
        <v>100</v>
      </c>
      <c r="T38" s="1572" t="s">
        <v>8</v>
      </c>
      <c r="U38" s="1573">
        <f t="shared" si="11"/>
        <v>100</v>
      </c>
      <c r="V38" s="1572" t="s">
        <v>8</v>
      </c>
      <c r="W38" s="1573">
        <f t="shared" si="12"/>
        <v>100</v>
      </c>
      <c r="X38" s="1566"/>
      <c r="Y38" s="3773" t="s">
        <v>550</v>
      </c>
      <c r="Z38" s="1574">
        <f t="shared" si="13"/>
        <v>0</v>
      </c>
      <c r="AA38" s="1575">
        <f t="shared" si="3"/>
        <v>1</v>
      </c>
      <c r="AB38" s="1575">
        <f t="shared" si="4"/>
        <v>1</v>
      </c>
      <c r="AC38" s="1575">
        <f t="shared" si="5"/>
        <v>1</v>
      </c>
    </row>
    <row r="39" spans="1:29" s="1337" customFormat="1" ht="21" hidden="1" thickBot="1">
      <c r="A39" s="588"/>
      <c r="B39" s="589"/>
      <c r="C39" s="590"/>
      <c r="D39" s="739">
        <v>100</v>
      </c>
      <c r="E39" s="592"/>
      <c r="F39" s="545">
        <f>SUMIF(116:116,E39,117:117)-SUMIF(116:116,C39,117:117)+100</f>
        <v>100</v>
      </c>
      <c r="G39" s="592"/>
      <c r="H39" s="545">
        <f>SUMIF(116:116,G39,117:117)-SUMIF(116:116,C39,117:117)+100</f>
        <v>100</v>
      </c>
      <c r="I39" s="592"/>
      <c r="J39" s="545">
        <f>SUMIF(116:116,I39,117:117)-SUMIF(116:116,C39,117:117)+100</f>
        <v>100</v>
      </c>
      <c r="K39" s="580"/>
      <c r="L39" s="2140"/>
      <c r="M39" s="2132"/>
      <c r="N39" s="2132"/>
      <c r="O39" s="2143"/>
      <c r="P39" s="3773"/>
      <c r="Q39" s="1571">
        <f t="shared" si="8"/>
        <v>0</v>
      </c>
      <c r="R39" s="1576" t="s">
        <v>8</v>
      </c>
      <c r="S39" s="1577">
        <f t="shared" si="10"/>
        <v>100</v>
      </c>
      <c r="T39" s="1576" t="s">
        <v>8</v>
      </c>
      <c r="U39" s="1577">
        <f t="shared" si="11"/>
        <v>100</v>
      </c>
      <c r="V39" s="1576" t="s">
        <v>8</v>
      </c>
      <c r="W39" s="1577">
        <f t="shared" si="12"/>
        <v>100</v>
      </c>
      <c r="X39" s="1578"/>
      <c r="Y39" s="3773"/>
      <c r="Z39" s="1579">
        <f t="shared" si="13"/>
        <v>0</v>
      </c>
      <c r="AA39" s="1575">
        <f t="shared" si="3"/>
        <v>1</v>
      </c>
      <c r="AB39" s="1575">
        <f t="shared" si="4"/>
        <v>1</v>
      </c>
      <c r="AC39" s="1575">
        <f t="shared" si="5"/>
        <v>1</v>
      </c>
    </row>
    <row r="40" spans="1:29" ht="20.25">
      <c r="A40" s="2931" t="s">
        <v>2753</v>
      </c>
      <c r="B40" s="594" t="s">
        <v>552</v>
      </c>
      <c r="C40" s="595">
        <f>'数据-汇总表'!D3</f>
        <v>38144</v>
      </c>
      <c r="D40" s="596">
        <v>100</v>
      </c>
      <c r="E40" s="595">
        <f>'土地案例（海安）'!H16</f>
        <v>152625</v>
      </c>
      <c r="F40" s="3576">
        <f>LOOKUP(E40,119:119,120:120)-LOOKUP(C40,119:119,120:120)+100</f>
        <v>100</v>
      </c>
      <c r="G40" s="595">
        <f>'土地案例（海安）'!H21</f>
        <v>52899</v>
      </c>
      <c r="H40" s="3576">
        <f>LOOKUP(G40,119:119,120:120)-LOOKUP(C40,119:119,120:120)+100</f>
        <v>100</v>
      </c>
      <c r="I40" s="597">
        <f>'土地案例（海安）'!H27</f>
        <v>33335</v>
      </c>
      <c r="J40" s="3576">
        <f>LOOKUP(I40,119:119,120:120)-LOOKUP(C40,119:119,120:120)+100</f>
        <v>100</v>
      </c>
      <c r="K40" s="580"/>
      <c r="L40" s="2142"/>
      <c r="M40" s="2132"/>
      <c r="N40" s="2132"/>
      <c r="O40" s="2141"/>
      <c r="P40" s="3773"/>
      <c r="Q40" s="1571" t="str">
        <f>B40</f>
        <v>宗地面积</v>
      </c>
      <c r="R40" s="1572" t="s">
        <v>8</v>
      </c>
      <c r="S40" s="1573">
        <f t="shared" si="10"/>
        <v>100</v>
      </c>
      <c r="T40" s="1572" t="s">
        <v>8</v>
      </c>
      <c r="U40" s="1573">
        <f t="shared" si="11"/>
        <v>100</v>
      </c>
      <c r="V40" s="1572" t="s">
        <v>8</v>
      </c>
      <c r="W40" s="1573">
        <f t="shared" si="12"/>
        <v>100</v>
      </c>
      <c r="X40" s="1566"/>
      <c r="Y40" s="3773"/>
      <c r="Z40" s="1574" t="str">
        <f t="shared" si="13"/>
        <v>宗地面积</v>
      </c>
      <c r="AA40" s="1575">
        <f t="shared" si="3"/>
        <v>1</v>
      </c>
      <c r="AB40" s="1575">
        <f t="shared" si="4"/>
        <v>1</v>
      </c>
      <c r="AC40" s="1575">
        <f t="shared" si="5"/>
        <v>1</v>
      </c>
    </row>
    <row r="41" spans="1:29" ht="20.25">
      <c r="A41" s="593"/>
      <c r="B41" s="526" t="s">
        <v>553</v>
      </c>
      <c r="C41" s="598" t="s">
        <v>3047</v>
      </c>
      <c r="D41" s="539">
        <v>100</v>
      </c>
      <c r="E41" s="598" t="s">
        <v>3047</v>
      </c>
      <c r="F41" s="539">
        <f>SUMIF(121:121,E41,122:122)-SUMIF(121:121,C41,122:122)+100</f>
        <v>100</v>
      </c>
      <c r="G41" s="598" t="s">
        <v>3047</v>
      </c>
      <c r="H41" s="539">
        <f>SUMIF(121:121,G41,122:122)-SUMIF(121:121,C41,122:122)+100</f>
        <v>100</v>
      </c>
      <c r="I41" s="598" t="s">
        <v>3047</v>
      </c>
      <c r="J41" s="539">
        <f>SUMIF(121:121,I41,122:122)-SUMIF(121:121,C41,122:122)+100</f>
        <v>100</v>
      </c>
      <c r="K41" s="583">
        <f>'[1]比较法-住宅、综合'!$K$41</f>
        <v>2</v>
      </c>
      <c r="L41" s="2142"/>
      <c r="M41" s="2132"/>
      <c r="N41" s="2132"/>
      <c r="O41" s="2141"/>
      <c r="P41" s="3773"/>
      <c r="Q41" s="1571" t="str">
        <f t="shared" ref="Q41:Q47" si="14">B41</f>
        <v>宗地形状</v>
      </c>
      <c r="R41" s="1572" t="s">
        <v>8</v>
      </c>
      <c r="S41" s="1573">
        <f t="shared" si="10"/>
        <v>100</v>
      </c>
      <c r="T41" s="1572" t="s">
        <v>8</v>
      </c>
      <c r="U41" s="1573">
        <f t="shared" si="11"/>
        <v>100</v>
      </c>
      <c r="V41" s="1572" t="s">
        <v>8</v>
      </c>
      <c r="W41" s="1573">
        <f t="shared" si="12"/>
        <v>100</v>
      </c>
      <c r="X41" s="1566"/>
      <c r="Y41" s="3773"/>
      <c r="Z41" s="1574" t="str">
        <f t="shared" si="13"/>
        <v>宗地形状</v>
      </c>
      <c r="AA41" s="1575">
        <f t="shared" si="3"/>
        <v>1</v>
      </c>
      <c r="AB41" s="1575">
        <f t="shared" si="4"/>
        <v>1</v>
      </c>
      <c r="AC41" s="1575">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f>'[1]比较法-住宅、综合'!$K$41</f>
        <v>2</v>
      </c>
      <c r="L42" s="2142"/>
      <c r="M42" s="2132"/>
      <c r="N42" s="2132"/>
      <c r="O42" s="2141"/>
      <c r="P42" s="3773"/>
      <c r="Q42" s="1571" t="str">
        <f t="shared" si="14"/>
        <v>临街宽度及深度</v>
      </c>
      <c r="R42" s="1572" t="s">
        <v>8</v>
      </c>
      <c r="S42" s="1573">
        <f t="shared" si="10"/>
        <v>100</v>
      </c>
      <c r="T42" s="1572" t="s">
        <v>8</v>
      </c>
      <c r="U42" s="1573">
        <f t="shared" si="11"/>
        <v>100</v>
      </c>
      <c r="V42" s="1572" t="s">
        <v>8</v>
      </c>
      <c r="W42" s="1573">
        <f t="shared" si="12"/>
        <v>100</v>
      </c>
      <c r="X42" s="1566"/>
      <c r="Y42" s="3773"/>
      <c r="Z42" s="1574" t="str">
        <f t="shared" si="13"/>
        <v>临街宽度及深度</v>
      </c>
      <c r="AA42" s="1575">
        <f t="shared" si="3"/>
        <v>1</v>
      </c>
      <c r="AB42" s="1575">
        <f t="shared" si="4"/>
        <v>1</v>
      </c>
      <c r="AC42" s="1575">
        <f t="shared" si="5"/>
        <v>1</v>
      </c>
    </row>
    <row r="43" spans="1:29" s="1218" customFormat="1" ht="20.25">
      <c r="A43" s="599"/>
      <c r="B43" s="1895" t="s">
        <v>2422</v>
      </c>
      <c r="C43" s="600" t="s">
        <v>3049</v>
      </c>
      <c r="D43" s="254">
        <v>100</v>
      </c>
      <c r="E43" s="600" t="s">
        <v>3049</v>
      </c>
      <c r="F43" s="539">
        <f>SUMIF(125:125,E43,126:126)-SUMIF(125:125,C43,126:126)+100</f>
        <v>100</v>
      </c>
      <c r="G43" s="600" t="s">
        <v>3049</v>
      </c>
      <c r="H43" s="539">
        <f>SUMIF(125:125,G43,126:126)-SUMIF(125:125,C43,126:126)+100</f>
        <v>100</v>
      </c>
      <c r="I43" s="600" t="s">
        <v>3049</v>
      </c>
      <c r="J43" s="539">
        <f>SUMIF(125:125,I43,126:126)-SUMIF(125:125,C43,126:126)+100</f>
        <v>100</v>
      </c>
      <c r="K43" s="583">
        <f>'[1]比较法-住宅、综合'!$K$41</f>
        <v>2</v>
      </c>
      <c r="L43" s="2135"/>
      <c r="M43" s="2132"/>
      <c r="N43" s="2132"/>
      <c r="O43" s="2137"/>
      <c r="P43" s="3773"/>
      <c r="Q43" s="1571" t="str">
        <f t="shared" si="14"/>
        <v>宗地开发程度</v>
      </c>
      <c r="R43" s="1567" t="s">
        <v>8</v>
      </c>
      <c r="S43" s="1568">
        <f t="shared" si="10"/>
        <v>100</v>
      </c>
      <c r="T43" s="1567" t="s">
        <v>8</v>
      </c>
      <c r="U43" s="1568">
        <f t="shared" si="11"/>
        <v>100</v>
      </c>
      <c r="V43" s="1567" t="s">
        <v>8</v>
      </c>
      <c r="W43" s="1568">
        <f t="shared" si="12"/>
        <v>100</v>
      </c>
      <c r="X43" s="1569"/>
      <c r="Y43" s="3773"/>
      <c r="Z43" s="1148" t="str">
        <f t="shared" si="13"/>
        <v>宗地开发程度</v>
      </c>
      <c r="AA43" s="1570">
        <f t="shared" si="3"/>
        <v>1</v>
      </c>
      <c r="AB43" s="1570">
        <f t="shared" si="4"/>
        <v>1</v>
      </c>
      <c r="AC43" s="1570">
        <f t="shared" si="5"/>
        <v>1</v>
      </c>
    </row>
    <row r="44" spans="1:29" ht="21" thickBot="1">
      <c r="A44" s="593"/>
      <c r="B44" s="526" t="s">
        <v>555</v>
      </c>
      <c r="C44" s="598" t="s">
        <v>3035</v>
      </c>
      <c r="D44" s="539">
        <v>100</v>
      </c>
      <c r="E44" s="598" t="s">
        <v>3035</v>
      </c>
      <c r="F44" s="539">
        <f>SUMIF(127:127,E44,128:128)-SUMIF(127:127,C44,128:128)+100</f>
        <v>100</v>
      </c>
      <c r="G44" s="598" t="s">
        <v>3035</v>
      </c>
      <c r="H44" s="539">
        <f>SUMIF(127:127,G44,128:128)-SUMIF(127:127,C44,128:128)+100</f>
        <v>100</v>
      </c>
      <c r="I44" s="598" t="s">
        <v>3035</v>
      </c>
      <c r="J44" s="539">
        <f>SUMIF(127:127,I44,128:128)-SUMIF(127:127,C44,128:128)+100</f>
        <v>100</v>
      </c>
      <c r="K44" s="583">
        <f>'[1]比较法-住宅、综合'!$K$41</f>
        <v>2</v>
      </c>
      <c r="L44" s="2142"/>
      <c r="M44" s="2132"/>
      <c r="N44" s="2132"/>
      <c r="O44" s="2141"/>
      <c r="P44" s="3773" t="s">
        <v>550</v>
      </c>
      <c r="Q44" s="1571" t="str">
        <f t="shared" si="14"/>
        <v>工程地质条件</v>
      </c>
      <c r="R44" s="1572" t="s">
        <v>8</v>
      </c>
      <c r="S44" s="1573">
        <f t="shared" si="10"/>
        <v>100</v>
      </c>
      <c r="T44" s="1572" t="s">
        <v>8</v>
      </c>
      <c r="U44" s="1573">
        <f t="shared" si="11"/>
        <v>100</v>
      </c>
      <c r="V44" s="1572" t="s">
        <v>8</v>
      </c>
      <c r="W44" s="1573">
        <f t="shared" si="12"/>
        <v>100</v>
      </c>
      <c r="X44" s="1566"/>
      <c r="Y44" s="3773" t="s">
        <v>550</v>
      </c>
      <c r="Z44" s="1574" t="str">
        <f t="shared" si="13"/>
        <v>工程地质条件</v>
      </c>
      <c r="AA44" s="1575">
        <f t="shared" si="3"/>
        <v>1</v>
      </c>
      <c r="AB44" s="1575">
        <f t="shared" si="4"/>
        <v>1</v>
      </c>
      <c r="AC44" s="1575">
        <f t="shared" si="5"/>
        <v>1</v>
      </c>
    </row>
    <row r="45" spans="1:29" ht="20.25" hidden="1">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773"/>
      <c r="Q45" s="1571">
        <f t="shared" si="14"/>
        <v>0</v>
      </c>
      <c r="R45" s="1572" t="s">
        <v>8</v>
      </c>
      <c r="S45" s="1573">
        <f t="shared" si="10"/>
        <v>100</v>
      </c>
      <c r="T45" s="1572" t="s">
        <v>8</v>
      </c>
      <c r="U45" s="1573">
        <f t="shared" si="11"/>
        <v>100</v>
      </c>
      <c r="V45" s="1572" t="s">
        <v>8</v>
      </c>
      <c r="W45" s="1573">
        <f t="shared" si="12"/>
        <v>100</v>
      </c>
      <c r="X45" s="1566"/>
      <c r="Y45" s="3773"/>
      <c r="Z45" s="1574">
        <f t="shared" si="13"/>
        <v>0</v>
      </c>
      <c r="AA45" s="1575">
        <f t="shared" si="3"/>
        <v>1</v>
      </c>
      <c r="AB45" s="1575">
        <f t="shared" si="4"/>
        <v>1</v>
      </c>
      <c r="AC45" s="1575">
        <f t="shared" si="5"/>
        <v>1</v>
      </c>
    </row>
    <row r="46" spans="1:29" ht="20.25" hidden="1">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773"/>
      <c r="Q46" s="1571">
        <f t="shared" si="14"/>
        <v>0</v>
      </c>
      <c r="R46" s="1572" t="s">
        <v>8</v>
      </c>
      <c r="S46" s="1573">
        <f t="shared" si="10"/>
        <v>100</v>
      </c>
      <c r="T46" s="1572" t="s">
        <v>8</v>
      </c>
      <c r="U46" s="1573">
        <f t="shared" si="11"/>
        <v>100</v>
      </c>
      <c r="V46" s="1572" t="s">
        <v>8</v>
      </c>
      <c r="W46" s="1573">
        <f t="shared" si="12"/>
        <v>100</v>
      </c>
      <c r="X46" s="1566"/>
      <c r="Y46" s="3773"/>
      <c r="Z46" s="1574">
        <f t="shared" si="13"/>
        <v>0</v>
      </c>
      <c r="AA46" s="1575">
        <f t="shared" si="3"/>
        <v>1</v>
      </c>
      <c r="AB46" s="1575">
        <f t="shared" si="4"/>
        <v>1</v>
      </c>
      <c r="AC46" s="1575">
        <f t="shared" si="5"/>
        <v>1</v>
      </c>
    </row>
    <row r="47" spans="1:29" s="1337" customFormat="1" ht="21" hidden="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773"/>
      <c r="Q47" s="1571">
        <f t="shared" si="14"/>
        <v>0</v>
      </c>
      <c r="R47" s="1576" t="s">
        <v>8</v>
      </c>
      <c r="S47" s="1577">
        <f t="shared" si="10"/>
        <v>100</v>
      </c>
      <c r="T47" s="1576" t="s">
        <v>8</v>
      </c>
      <c r="U47" s="1577">
        <f t="shared" si="11"/>
        <v>100</v>
      </c>
      <c r="V47" s="1576" t="s">
        <v>8</v>
      </c>
      <c r="W47" s="1577">
        <f t="shared" si="12"/>
        <v>100</v>
      </c>
      <c r="X47" s="1578"/>
      <c r="Y47" s="3773"/>
      <c r="Z47" s="1579">
        <f t="shared" si="13"/>
        <v>0</v>
      </c>
      <c r="AA47" s="1575">
        <f t="shared" si="3"/>
        <v>1</v>
      </c>
      <c r="AB47" s="1575">
        <f t="shared" si="4"/>
        <v>1</v>
      </c>
      <c r="AC47" s="1575">
        <f t="shared" si="5"/>
        <v>1</v>
      </c>
    </row>
    <row r="48" spans="1:29" ht="20.25">
      <c r="A48" s="606" t="s">
        <v>556</v>
      </c>
      <c r="B48" s="607" t="s">
        <v>3051</v>
      </c>
      <c r="C48" s="608" t="s">
        <v>1</v>
      </c>
      <c r="D48" s="609"/>
      <c r="E48" s="610">
        <f>'土地案例（海安）'!P16</f>
        <v>2307.69</v>
      </c>
      <c r="F48" s="611"/>
      <c r="G48" s="610">
        <f>'土地案例（海安）'!P21</f>
        <v>1875</v>
      </c>
      <c r="H48" s="613"/>
      <c r="I48" s="610">
        <f>'土地案例（海安）'!P27</f>
        <v>1875</v>
      </c>
      <c r="J48" s="613"/>
      <c r="K48" s="1338"/>
      <c r="L48" s="2144"/>
      <c r="M48" s="2132"/>
      <c r="N48" s="2132"/>
      <c r="O48" s="2145"/>
      <c r="P48" s="3768" t="str">
        <f>A48</f>
        <v>成交单价</v>
      </c>
      <c r="Q48" s="3768"/>
      <c r="R48" s="3782">
        <f>E48</f>
        <v>2307.69</v>
      </c>
      <c r="S48" s="3782"/>
      <c r="T48" s="3782">
        <f>G48</f>
        <v>1875</v>
      </c>
      <c r="U48" s="3782"/>
      <c r="V48" s="3782">
        <f>I48</f>
        <v>1875</v>
      </c>
      <c r="W48" s="3782"/>
      <c r="X48" s="1558"/>
      <c r="Y48" s="1580"/>
      <c r="Z48" s="1558"/>
      <c r="AA48" s="1558"/>
      <c r="AB48" s="1558"/>
      <c r="AC48" s="1558"/>
    </row>
    <row r="49" spans="1:29" ht="21" thickBot="1">
      <c r="A49" s="614" t="s">
        <v>2691</v>
      </c>
      <c r="B49" s="615"/>
      <c r="C49" s="616">
        <f>R50</f>
        <v>1631</v>
      </c>
      <c r="D49" s="617"/>
      <c r="E49" s="616">
        <f>R49</f>
        <v>1808</v>
      </c>
      <c r="F49" s="618"/>
      <c r="G49" s="619">
        <f>T49</f>
        <v>1543</v>
      </c>
      <c r="H49" s="617"/>
      <c r="I49" s="616">
        <f>V49</f>
        <v>1543</v>
      </c>
      <c r="J49" s="617"/>
      <c r="K49" s="1339"/>
      <c r="L49" s="2144"/>
      <c r="M49" s="2132"/>
      <c r="N49" s="2132"/>
      <c r="O49" s="2145"/>
      <c r="P49" s="3768" t="str">
        <f>A49</f>
        <v>比较价格（元/平方米）</v>
      </c>
      <c r="Q49" s="3768"/>
      <c r="R49" s="3792">
        <f>ROUND(PRODUCT(R48,AA9:AA47),0)</f>
        <v>1808</v>
      </c>
      <c r="S49" s="3792"/>
      <c r="T49" s="3792">
        <f>ROUND(PRODUCT(T48,AB9:AB47),0)</f>
        <v>1543</v>
      </c>
      <c r="U49" s="3792"/>
      <c r="V49" s="3792">
        <f>ROUND(PRODUCT(V48,AC9:AC47),0)</f>
        <v>1543</v>
      </c>
      <c r="W49" s="3792"/>
      <c r="X49" s="1558"/>
      <c r="Y49" s="1558"/>
      <c r="Z49" s="1558"/>
      <c r="AA49" s="1558"/>
      <c r="AB49" s="1558"/>
      <c r="AC49" s="1558"/>
    </row>
    <row r="50" spans="1:29" ht="21" thickBot="1">
      <c r="A50" s="620" t="s">
        <v>2931</v>
      </c>
      <c r="B50" s="621"/>
      <c r="C50" s="622">
        <f>R50</f>
        <v>1631</v>
      </c>
      <c r="D50" s="622"/>
      <c r="E50" s="622"/>
      <c r="F50" s="622"/>
      <c r="G50" s="622"/>
      <c r="H50" s="622"/>
      <c r="I50" s="622"/>
      <c r="J50" s="622"/>
      <c r="K50" s="1340"/>
      <c r="L50" s="2144"/>
      <c r="M50" s="2132"/>
      <c r="N50" s="2132"/>
      <c r="O50" s="2145"/>
      <c r="P50" s="3789" t="str">
        <f>A50</f>
        <v>估价对象XX用房的比较价格（楼面单价，元/平方米）</v>
      </c>
      <c r="Q50" s="3790"/>
      <c r="R50" s="3791">
        <f>ROUND(AVERAGE(R49:V49),0)</f>
        <v>1631</v>
      </c>
      <c r="S50" s="3791"/>
      <c r="T50" s="3791"/>
      <c r="U50" s="3791"/>
      <c r="V50" s="3791"/>
      <c r="W50" s="379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f>IF(E48&lt;E49,E49/E48-1,E48/E49-1)</f>
        <v>0.27637721238938062</v>
      </c>
      <c r="F53" s="626" t="str">
        <f>IF(OR(E53&gt;=0.3,E53&lt;=-0.3),"超过30%","")</f>
        <v/>
      </c>
      <c r="G53" s="625">
        <f>IF(G48&lt;G49,G49/G48-1,G48/G49-1)</f>
        <v>0.21516526247569678</v>
      </c>
      <c r="H53" s="626" t="str">
        <f>IF(OR(G53&gt;=0.3,G53&lt;=-0.3),"超过30%","")</f>
        <v/>
      </c>
      <c r="I53" s="625">
        <f>IF(I48&lt;I49,I49/I48-1,I48/I49-1)</f>
        <v>0.21516526247569678</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f>IF(E49&lt;G49,G49/E49-1,E49/G49-1)</f>
        <v>0.17174335709656519</v>
      </c>
      <c r="F54" s="626" t="str">
        <f>IF(OR(E54&gt;=0.2,E54&lt;=-0.2),"超过20%","")</f>
        <v/>
      </c>
      <c r="G54" s="625">
        <f>IF(G49&lt;I49,I49/G49-1,G49/I49-1)</f>
        <v>0</v>
      </c>
      <c r="H54" s="626" t="str">
        <f>IF(OR(G54&gt;=0.2,G54&lt;=-0.2),"超过20%","")</f>
        <v/>
      </c>
      <c r="I54" s="625">
        <f>IF(I49&lt;E49,E49/I49-1,I49/E49-1)</f>
        <v>0.17174335709656519</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f>IF(E48&lt;G48,G48/E48-1,E48/G48-1)</f>
        <v>0.23076800000000008</v>
      </c>
      <c r="F55" s="626" t="str">
        <f>IF(OR(E55&gt;=0.3,E55&lt;=-0.3),"超过30%","")</f>
        <v/>
      </c>
      <c r="G55" s="625">
        <f>IF(G48&lt;I48,I48/G48-1,G48/I48-1)</f>
        <v>0</v>
      </c>
      <c r="H55" s="626" t="str">
        <f>IF(OR(G55&gt;=0.3,G55&lt;=-0.3),"超过30%","")</f>
        <v/>
      </c>
      <c r="I55" s="625">
        <f>IF(I48&lt;E48,E48/I48-1,I48/E48-1)</f>
        <v>0.23076800000000008</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3"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560</v>
      </c>
      <c r="B57" s="629" t="s">
        <v>561</v>
      </c>
      <c r="C57" s="1559" t="s">
        <v>1724</v>
      </c>
      <c r="D57" s="2227" t="s">
        <v>2292</v>
      </c>
      <c r="E57" s="630" t="s">
        <v>562</v>
      </c>
      <c r="F57" s="631" t="s">
        <v>563</v>
      </c>
      <c r="G57" s="3752" t="s">
        <v>2280</v>
      </c>
      <c r="H57" s="3753"/>
      <c r="I57" s="1554" t="s">
        <v>1722</v>
      </c>
      <c r="J57" s="1554" t="str">
        <f>项目基本情况!F41</f>
        <v>江苏省南通市</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4" customFormat="1" ht="12.75">
      <c r="A58" s="632" t="s">
        <v>564</v>
      </c>
      <c r="B58" s="633">
        <f>C50</f>
        <v>1631</v>
      </c>
      <c r="C58" s="634">
        <v>1</v>
      </c>
      <c r="D58" s="2228">
        <v>1</v>
      </c>
      <c r="E58" s="634">
        <f>'数据-汇总表'!E8+'数据-汇总表'!E9</f>
        <v>114432</v>
      </c>
      <c r="F58" s="635">
        <f t="shared" ref="F58:F67" si="15">ROUND(B58*E58/10000,0)</f>
        <v>18664</v>
      </c>
      <c r="G58" s="3754"/>
      <c r="H58" s="375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565</v>
      </c>
      <c r="B59" s="637">
        <f>ROUND($C$50*C59*D59,0)</f>
        <v>0</v>
      </c>
      <c r="C59" s="377">
        <f t="shared" ref="C59:C67" si="16">IF($C$57="北京市系数",I59,J59)</f>
        <v>0</v>
      </c>
      <c r="D59" s="2229">
        <v>0.25</v>
      </c>
      <c r="E59" s="638">
        <v>0</v>
      </c>
      <c r="F59" s="635">
        <f t="shared" si="15"/>
        <v>0</v>
      </c>
      <c r="G59" s="3756" t="s">
        <v>2281</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566</v>
      </c>
      <c r="B60" s="637">
        <f t="shared" ref="B60:B67" si="17">ROUND($C$50*C60*D60,0)</f>
        <v>0</v>
      </c>
      <c r="C60" s="377">
        <f t="shared" si="16"/>
        <v>0</v>
      </c>
      <c r="D60" s="2229">
        <v>0.25</v>
      </c>
      <c r="E60" s="638">
        <v>0</v>
      </c>
      <c r="F60" s="635">
        <f t="shared" si="15"/>
        <v>0</v>
      </c>
      <c r="G60" s="375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567</v>
      </c>
      <c r="B61" s="637">
        <f t="shared" si="17"/>
        <v>0</v>
      </c>
      <c r="C61" s="377">
        <f t="shared" si="16"/>
        <v>0</v>
      </c>
      <c r="D61" s="2229">
        <v>0.25</v>
      </c>
      <c r="E61" s="638">
        <v>0</v>
      </c>
      <c r="F61" s="635">
        <f t="shared" si="15"/>
        <v>0</v>
      </c>
      <c r="G61" s="375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2.75">
      <c r="A62" s="636" t="s">
        <v>568</v>
      </c>
      <c r="B62" s="637">
        <f t="shared" si="17"/>
        <v>0</v>
      </c>
      <c r="C62" s="377">
        <f t="shared" si="16"/>
        <v>0</v>
      </c>
      <c r="D62" s="2229">
        <v>0.25</v>
      </c>
      <c r="E62" s="638">
        <v>0</v>
      </c>
      <c r="F62" s="635">
        <f t="shared" si="15"/>
        <v>0</v>
      </c>
      <c r="G62" s="375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2.75">
      <c r="A63" s="2331" t="s">
        <v>2325</v>
      </c>
      <c r="B63" s="637">
        <f t="shared" si="17"/>
        <v>0</v>
      </c>
      <c r="C63" s="377">
        <f t="shared" si="16"/>
        <v>0</v>
      </c>
      <c r="D63" s="2229">
        <v>0.25</v>
      </c>
      <c r="E63" s="640">
        <f>'数据-汇总表'!E11</f>
        <v>0</v>
      </c>
      <c r="F63" s="635">
        <f t="shared" si="15"/>
        <v>0</v>
      </c>
      <c r="G63" s="1945" t="s">
        <v>2282</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4" customFormat="1" ht="12.75">
      <c r="A64" s="636" t="s">
        <v>569</v>
      </c>
      <c r="B64" s="637">
        <f t="shared" si="17"/>
        <v>0</v>
      </c>
      <c r="C64" s="377">
        <f t="shared" si="16"/>
        <v>0</v>
      </c>
      <c r="D64" s="2229">
        <v>0.25</v>
      </c>
      <c r="E64" s="640">
        <f>'数据-汇总表'!E12</f>
        <v>0</v>
      </c>
      <c r="F64" s="635">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4" customFormat="1" ht="12.75">
      <c r="A65" s="636" t="s">
        <v>570</v>
      </c>
      <c r="B65" s="637">
        <f t="shared" si="17"/>
        <v>0</v>
      </c>
      <c r="C65" s="377">
        <f t="shared" si="16"/>
        <v>0</v>
      </c>
      <c r="D65" s="2229">
        <v>0.25</v>
      </c>
      <c r="E65" s="640">
        <f>'数据-汇总表'!E13</f>
        <v>0</v>
      </c>
      <c r="F65" s="635">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4" customFormat="1" ht="12.75">
      <c r="A66" s="636" t="s">
        <v>571</v>
      </c>
      <c r="B66" s="637">
        <f t="shared" si="17"/>
        <v>0</v>
      </c>
      <c r="C66" s="377">
        <f t="shared" si="16"/>
        <v>0</v>
      </c>
      <c r="D66" s="2229">
        <v>0.25</v>
      </c>
      <c r="E66" s="640">
        <f>'数据-汇总表'!E14</f>
        <v>0</v>
      </c>
      <c r="F66" s="635">
        <f t="shared" si="15"/>
        <v>0</v>
      </c>
      <c r="G66" s="1945" t="s">
        <v>2281</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4" customFormat="1" ht="13.5" thickBot="1">
      <c r="A67" s="636" t="s">
        <v>572</v>
      </c>
      <c r="B67" s="637">
        <f t="shared" si="17"/>
        <v>0</v>
      </c>
      <c r="C67" s="377">
        <f t="shared" si="16"/>
        <v>0</v>
      </c>
      <c r="D67" s="2229">
        <v>0.25</v>
      </c>
      <c r="E67" s="640">
        <f>'数据-汇总表'!E15</f>
        <v>0</v>
      </c>
      <c r="F67" s="635">
        <f t="shared" si="15"/>
        <v>0</v>
      </c>
      <c r="G67" s="1947" t="s">
        <v>2282</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4" customFormat="1" ht="13.5" thickBot="1">
      <c r="A68" s="641" t="s">
        <v>573</v>
      </c>
      <c r="B68" s="642" t="s">
        <v>17</v>
      </c>
      <c r="C68" s="642" t="s">
        <v>18</v>
      </c>
      <c r="D68" s="642" t="s">
        <v>2293</v>
      </c>
      <c r="E68" s="642">
        <f>IF(B48="楼面地价",SUM(E58:E67),'数据-汇总表'!D3)</f>
        <v>114432</v>
      </c>
      <c r="F68" s="643">
        <f>IF(B48="楼面地价",SUM(F58:F67),ROUND(C50*E68/10000,0))</f>
        <v>18664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3" t="str">
        <f>YEAR(C9)&amp;"-"&amp;MONTH(C9)&amp;"-1"</f>
        <v>2018-12-1</v>
      </c>
      <c r="D70" s="2823">
        <f>EDATE(C70,-3)</f>
        <v>43344</v>
      </c>
      <c r="E70" s="2823">
        <f t="shared" ref="E70:N70" si="18">EDATE(D70,-3)</f>
        <v>43252</v>
      </c>
      <c r="F70" s="2823">
        <f t="shared" si="18"/>
        <v>43160</v>
      </c>
      <c r="G70" s="2823">
        <f t="shared" si="18"/>
        <v>43070</v>
      </c>
      <c r="H70" s="2823">
        <f t="shared" si="18"/>
        <v>42979</v>
      </c>
      <c r="I70" s="2823">
        <f t="shared" si="18"/>
        <v>42887</v>
      </c>
      <c r="J70" s="2823">
        <f t="shared" si="18"/>
        <v>42795</v>
      </c>
      <c r="K70" s="2823">
        <f t="shared" si="18"/>
        <v>42705</v>
      </c>
      <c r="L70" s="2823">
        <f t="shared" si="18"/>
        <v>42614</v>
      </c>
      <c r="M70" s="2823">
        <f t="shared" si="18"/>
        <v>42522</v>
      </c>
      <c r="N70" s="2823">
        <f t="shared" si="18"/>
        <v>42430</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5" customFormat="1" ht="15">
      <c r="A72" s="2592" t="s">
        <v>2530</v>
      </c>
      <c r="B72" s="2593"/>
      <c r="C72" s="2818" t="str">
        <f>YEAR(C70)&amp;"-"&amp;ROUNDUP(MONTH(C70)/3,0)</f>
        <v>2018-4</v>
      </c>
      <c r="D72" s="2825" t="str">
        <f>YEAR(D70)&amp;"-"&amp;ROUNDUP(MONTH(D70)/3,0)</f>
        <v>2018-3</v>
      </c>
      <c r="E72" s="2825" t="str">
        <f t="shared" ref="E72:N72" si="19">YEAR(E70)&amp;"-"&amp;ROUNDUP(MONTH(E70)/3,0)</f>
        <v>2018-2</v>
      </c>
      <c r="F72" s="2825" t="str">
        <f t="shared" si="19"/>
        <v>2018-1</v>
      </c>
      <c r="G72" s="2825" t="str">
        <f t="shared" si="19"/>
        <v>2017-4</v>
      </c>
      <c r="H72" s="2825" t="str">
        <f t="shared" si="19"/>
        <v>2017-3</v>
      </c>
      <c r="I72" s="2825" t="str">
        <f t="shared" si="19"/>
        <v>2017-2</v>
      </c>
      <c r="J72" s="2825" t="str">
        <f t="shared" si="19"/>
        <v>2017-1</v>
      </c>
      <c r="K72" s="2825" t="str">
        <f t="shared" si="19"/>
        <v>2016-4</v>
      </c>
      <c r="L72" s="2825" t="str">
        <f t="shared" si="19"/>
        <v>2016-3</v>
      </c>
      <c r="M72" s="2825" t="str">
        <f t="shared" si="19"/>
        <v>2016-2</v>
      </c>
      <c r="N72" s="2825" t="str">
        <f t="shared" si="19"/>
        <v>2016-1</v>
      </c>
      <c r="O72" s="2159"/>
      <c r="P72" s="2160"/>
      <c r="Q72" s="2161"/>
      <c r="R72" s="2161"/>
      <c r="S72" s="2161"/>
      <c r="T72" s="2161"/>
      <c r="U72" s="2161"/>
      <c r="V72" s="2161"/>
      <c r="W72" s="2161"/>
      <c r="X72" s="2161"/>
      <c r="Y72" s="2161"/>
      <c r="Z72" s="2161"/>
      <c r="AA72" s="2161"/>
      <c r="AB72" s="2161"/>
      <c r="AC72" s="2161"/>
    </row>
    <row r="73" spans="1:29" s="1218" customFormat="1" ht="27" customHeight="1">
      <c r="A73" s="2830" t="s">
        <v>2978</v>
      </c>
      <c r="B73" s="478" t="str">
        <f>"北京市平均增长率"&amp;TEXT(SUMIF(基准地价!N21:N25,A73,基准地价!P21:P25),"0.00%")</f>
        <v>北京市平均增长率0.00%</v>
      </c>
      <c r="C73" s="892">
        <v>100</v>
      </c>
      <c r="D73" s="3573">
        <f>C73-$C$74</f>
        <v>99</v>
      </c>
      <c r="E73" s="3573">
        <f t="shared" ref="E73:N73" si="20">D73-$C$74</f>
        <v>98</v>
      </c>
      <c r="F73" s="3573">
        <f t="shared" si="20"/>
        <v>97</v>
      </c>
      <c r="G73" s="3573">
        <f t="shared" si="20"/>
        <v>96</v>
      </c>
      <c r="H73" s="3573">
        <f t="shared" si="20"/>
        <v>95</v>
      </c>
      <c r="I73" s="3573">
        <f t="shared" si="20"/>
        <v>94</v>
      </c>
      <c r="J73" s="3573">
        <f t="shared" si="20"/>
        <v>93</v>
      </c>
      <c r="K73" s="3573">
        <f t="shared" si="20"/>
        <v>92</v>
      </c>
      <c r="L73" s="3573">
        <f t="shared" si="20"/>
        <v>91</v>
      </c>
      <c r="M73" s="3573">
        <f t="shared" si="20"/>
        <v>90</v>
      </c>
      <c r="N73" s="3573">
        <f t="shared" si="20"/>
        <v>89</v>
      </c>
      <c r="O73" s="2162"/>
      <c r="P73" s="2158"/>
      <c r="Q73" s="1993"/>
      <c r="R73" s="1993"/>
      <c r="S73" s="1993"/>
      <c r="T73" s="1993"/>
      <c r="U73" s="1993"/>
      <c r="V73" s="1993"/>
      <c r="W73" s="1993"/>
      <c r="X73" s="1993"/>
      <c r="Y73" s="1993"/>
      <c r="Z73" s="1993"/>
      <c r="AA73" s="1993"/>
      <c r="AB73" s="1993"/>
      <c r="AC73" s="1993"/>
    </row>
    <row r="74" spans="1:29" s="1218" customFormat="1" ht="15" customHeight="1" thickBot="1">
      <c r="A74" s="2820" t="s">
        <v>2644</v>
      </c>
      <c r="B74" s="2829"/>
      <c r="C74" s="2814">
        <v>1</v>
      </c>
      <c r="D74" s="2815"/>
      <c r="E74" s="2815"/>
      <c r="F74" s="2815"/>
      <c r="G74" s="2815"/>
      <c r="H74" s="2815"/>
      <c r="I74" s="2815"/>
      <c r="J74" s="2815"/>
      <c r="K74" s="2815"/>
      <c r="L74" s="2815"/>
      <c r="M74" s="2815"/>
      <c r="N74" s="2815"/>
      <c r="O74" s="2162"/>
      <c r="P74" s="2158"/>
      <c r="Q74" s="2158"/>
      <c r="R74" s="1993"/>
      <c r="S74" s="1993"/>
      <c r="T74" s="1993"/>
      <c r="U74" s="1993"/>
      <c r="V74" s="1993"/>
      <c r="W74" s="1993"/>
      <c r="X74" s="1993"/>
      <c r="Y74" s="1993"/>
      <c r="Z74" s="1993"/>
      <c r="AA74" s="1993"/>
      <c r="AB74" s="1993"/>
      <c r="AC74" s="1993"/>
    </row>
    <row r="75" spans="1:29" s="1218" customFormat="1" ht="15">
      <c r="A75" s="658" t="s">
        <v>531</v>
      </c>
      <c r="B75" s="647"/>
      <c r="C75" s="659" t="s">
        <v>576</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8"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577</v>
      </c>
      <c r="B77" s="664" t="s">
        <v>534</v>
      </c>
      <c r="C77" s="3579" t="str">
        <f>项目基本情况!B13</f>
        <v>住宅、商业</v>
      </c>
      <c r="D77" s="597" t="e">
        <f>#REF!</f>
        <v>#REF!</v>
      </c>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v>100</v>
      </c>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537</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29.25" thickTop="1">
      <c r="A81" s="668"/>
      <c r="B81" s="680" t="s">
        <v>538</v>
      </c>
      <c r="C81" s="681" t="str">
        <f>C82&amp;"（含）"&amp;"-"&amp;D82</f>
        <v>1（含）-1.5</v>
      </c>
      <c r="D81" s="681" t="str">
        <f t="shared" ref="D81:L81" si="21">D82&amp;"（含）"&amp;"-"&amp;E82</f>
        <v>1.5（含）-2</v>
      </c>
      <c r="E81" s="681" t="str">
        <f t="shared" si="21"/>
        <v>2（含）-2.5</v>
      </c>
      <c r="F81" s="681" t="str">
        <f t="shared" si="21"/>
        <v>2.5（含）-3</v>
      </c>
      <c r="G81" s="681" t="str">
        <f t="shared" si="21"/>
        <v>3（含）-3.5</v>
      </c>
      <c r="H81" s="681" t="str">
        <f t="shared" si="21"/>
        <v>3.5（含）-4</v>
      </c>
      <c r="I81" s="681" t="str">
        <f t="shared" si="21"/>
        <v>4（含）-</v>
      </c>
      <c r="J81" s="681" t="str">
        <f t="shared" si="21"/>
        <v>（含）-</v>
      </c>
      <c r="K81" s="681" t="str">
        <f t="shared" si="21"/>
        <v>（含）-</v>
      </c>
      <c r="L81" s="681" t="str">
        <f t="shared" si="21"/>
        <v>（含）-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1</v>
      </c>
      <c r="D82" s="540">
        <v>1.5</v>
      </c>
      <c r="E82" s="540">
        <v>2</v>
      </c>
      <c r="F82" s="540">
        <v>2.5</v>
      </c>
      <c r="G82" s="540">
        <v>3</v>
      </c>
      <c r="H82" s="540">
        <v>3.5</v>
      </c>
      <c r="I82" s="540">
        <v>4</v>
      </c>
      <c r="J82" s="540"/>
      <c r="K82" s="683"/>
      <c r="L82" s="684"/>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66"/>
      <c r="O83" s="2166"/>
      <c r="P83" s="2165"/>
      <c r="Q83" s="2158"/>
      <c r="R83" s="2145"/>
      <c r="S83" s="2145"/>
      <c r="T83" s="2145"/>
      <c r="U83" s="2145"/>
      <c r="V83" s="2145"/>
      <c r="W83" s="2145"/>
      <c r="X83" s="2145"/>
      <c r="Y83" s="2145"/>
      <c r="Z83" s="2145"/>
      <c r="AA83" s="2145"/>
      <c r="AB83" s="2145"/>
      <c r="AC83" s="2145"/>
    </row>
    <row r="84" spans="1:29" s="1337" customFormat="1" ht="15.75" hidden="1" thickTop="1">
      <c r="A84" s="686"/>
      <c r="B84" s="672" t="str">
        <f>B14</f>
        <v>配建</v>
      </c>
      <c r="C84" s="687"/>
      <c r="D84" s="1374"/>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7" customFormat="1" ht="15.75" hidden="1" thickBot="1">
      <c r="A85" s="686"/>
      <c r="B85" s="677"/>
      <c r="C85" s="691"/>
      <c r="D85" s="670"/>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7" customFormat="1" ht="15.75" hidden="1"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7" customFormat="1" ht="15.75" hidden="1"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7" customFormat="1" ht="15.75" hidden="1"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7" customFormat="1" ht="15.75" hidden="1"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hidden="1">
      <c r="A90" s="663" t="s">
        <v>539</v>
      </c>
      <c r="B90" s="664" t="s">
        <v>578</v>
      </c>
      <c r="C90" s="702" t="s">
        <v>579</v>
      </c>
      <c r="D90" s="702" t="s">
        <v>580</v>
      </c>
      <c r="E90" s="702" t="s">
        <v>581</v>
      </c>
      <c r="F90" s="702" t="s">
        <v>582</v>
      </c>
      <c r="G90" s="702" t="s">
        <v>583</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hidden="1" thickBot="1">
      <c r="A91" s="668"/>
      <c r="B91" s="677"/>
      <c r="C91" s="678">
        <v>100</v>
      </c>
      <c r="D91" s="678">
        <f>C91-$K17</f>
        <v>95</v>
      </c>
      <c r="E91" s="678">
        <f>D91-$K17</f>
        <v>90</v>
      </c>
      <c r="F91" s="678">
        <f>E91-$K17</f>
        <v>85</v>
      </c>
      <c r="G91" s="678">
        <f>F91-$K17</f>
        <v>80</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584</v>
      </c>
      <c r="C92" s="707" t="s">
        <v>579</v>
      </c>
      <c r="D92" s="707" t="s">
        <v>580</v>
      </c>
      <c r="E92" s="707" t="s">
        <v>581</v>
      </c>
      <c r="F92" s="707" t="s">
        <v>582</v>
      </c>
      <c r="G92" s="707" t="s">
        <v>583</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95</v>
      </c>
      <c r="E93" s="678">
        <f>D93-$K19</f>
        <v>90</v>
      </c>
      <c r="F93" s="678">
        <f>E93-$K19</f>
        <v>85</v>
      </c>
      <c r="G93" s="678">
        <f>F93-$K19</f>
        <v>80</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585</v>
      </c>
      <c r="C94" s="707" t="s">
        <v>579</v>
      </c>
      <c r="D94" s="707" t="s">
        <v>580</v>
      </c>
      <c r="E94" s="707" t="s">
        <v>581</v>
      </c>
      <c r="F94" s="707" t="s">
        <v>582</v>
      </c>
      <c r="G94" s="707" t="s">
        <v>583</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97</v>
      </c>
      <c r="E95" s="678">
        <f>D95-$K21</f>
        <v>94</v>
      </c>
      <c r="F95" s="678">
        <f>E95-$K21</f>
        <v>91</v>
      </c>
      <c r="G95" s="678">
        <f>F95-$K21</f>
        <v>88</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586</v>
      </c>
      <c r="C96" s="707" t="s">
        <v>579</v>
      </c>
      <c r="D96" s="707" t="s">
        <v>580</v>
      </c>
      <c r="E96" s="707" t="s">
        <v>581</v>
      </c>
      <c r="F96" s="707" t="s">
        <v>582</v>
      </c>
      <c r="G96" s="707" t="s">
        <v>583</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95</v>
      </c>
      <c r="E97" s="678">
        <f>D97-$K23</f>
        <v>90</v>
      </c>
      <c r="F97" s="678">
        <f>E97-$K23</f>
        <v>85</v>
      </c>
      <c r="G97" s="678">
        <f>F97-$K23</f>
        <v>80</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8" customFormat="1" ht="27.75" thickTop="1">
      <c r="A98" s="708"/>
      <c r="B98" s="672" t="s">
        <v>587</v>
      </c>
      <c r="C98" s="707" t="s">
        <v>579</v>
      </c>
      <c r="D98" s="707" t="s">
        <v>580</v>
      </c>
      <c r="E98" s="707" t="s">
        <v>581</v>
      </c>
      <c r="F98" s="707" t="s">
        <v>582</v>
      </c>
      <c r="G98" s="707" t="s">
        <v>583</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8" customFormat="1" ht="15.75" thickBot="1">
      <c r="A99" s="708"/>
      <c r="B99" s="677"/>
      <c r="C99" s="711">
        <v>100</v>
      </c>
      <c r="D99" s="678">
        <f>C99-$K25</f>
        <v>95</v>
      </c>
      <c r="E99" s="678">
        <f>D99-$K25</f>
        <v>90</v>
      </c>
      <c r="F99" s="678">
        <f>E99-$K25</f>
        <v>85</v>
      </c>
      <c r="G99" s="678">
        <f>F99-$K25</f>
        <v>80</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8" customFormat="1" ht="27.75" thickTop="1">
      <c r="A100" s="708"/>
      <c r="B100" s="672" t="s">
        <v>588</v>
      </c>
      <c r="C100" s="702" t="s">
        <v>579</v>
      </c>
      <c r="D100" s="702" t="s">
        <v>580</v>
      </c>
      <c r="E100" s="702" t="s">
        <v>581</v>
      </c>
      <c r="F100" s="702" t="s">
        <v>582</v>
      </c>
      <c r="G100" s="702" t="s">
        <v>583</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7" customFormat="1" ht="15.75" thickTop="1">
      <c r="A102" s="686"/>
      <c r="B102" s="1896" t="s">
        <v>2546</v>
      </c>
      <c r="C102" s="702" t="s">
        <v>579</v>
      </c>
      <c r="D102" s="702" t="s">
        <v>580</v>
      </c>
      <c r="E102" s="702" t="s">
        <v>581</v>
      </c>
      <c r="F102" s="702" t="s">
        <v>582</v>
      </c>
      <c r="G102" s="702" t="s">
        <v>583</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7" customFormat="1" ht="15.75" thickBot="1">
      <c r="A103" s="686"/>
      <c r="B103" s="677"/>
      <c r="C103" s="678">
        <v>100</v>
      </c>
      <c r="D103" s="678">
        <f>C103-$K29</f>
        <v>95</v>
      </c>
      <c r="E103" s="678">
        <f>D103-$K29</f>
        <v>90</v>
      </c>
      <c r="F103" s="678">
        <f>E103-$K29</f>
        <v>85</v>
      </c>
      <c r="G103" s="678">
        <f>F103-$K29</f>
        <v>80</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Top="1">
      <c r="A104" s="686"/>
      <c r="B104" s="2621" t="s">
        <v>2548</v>
      </c>
      <c r="C104" s="2622" t="s">
        <v>2549</v>
      </c>
      <c r="D104" s="2622" t="s">
        <v>2550</v>
      </c>
      <c r="E104" s="2622" t="s">
        <v>2551</v>
      </c>
      <c r="F104" s="2622" t="s">
        <v>2552</v>
      </c>
      <c r="G104" s="2622" t="s">
        <v>2553</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7" customFormat="1" ht="15.75" thickBot="1">
      <c r="A105" s="686"/>
      <c r="B105" s="680"/>
      <c r="C105" s="678">
        <v>100</v>
      </c>
      <c r="D105" s="678">
        <f>C105-$K31</f>
        <v>98</v>
      </c>
      <c r="E105" s="678">
        <f>D105-$K31</f>
        <v>96</v>
      </c>
      <c r="F105" s="678">
        <f>E105-$K31</f>
        <v>94</v>
      </c>
      <c r="G105" s="678">
        <f>F105-$K31</f>
        <v>92</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hidden="1" thickTop="1">
      <c r="A106" s="668"/>
      <c r="B106" s="672" t="str">
        <f>B33</f>
        <v>临街状况</v>
      </c>
      <c r="C106" s="673" t="s">
        <v>589</v>
      </c>
      <c r="D106" s="673" t="s">
        <v>590</v>
      </c>
      <c r="E106" s="673" t="s">
        <v>591</v>
      </c>
      <c r="F106" s="673" t="s">
        <v>592</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hidden="1"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548</v>
      </c>
      <c r="C108" s="3574" t="s">
        <v>3104</v>
      </c>
      <c r="D108" s="3574" t="s">
        <v>3105</v>
      </c>
      <c r="E108" s="3574" t="s">
        <v>3106</v>
      </c>
      <c r="F108" s="3574" t="s">
        <v>3107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98</v>
      </c>
      <c r="E109" s="678">
        <f t="shared" ref="E109:M109" si="24">D109-$K34</f>
        <v>96</v>
      </c>
      <c r="F109" s="678">
        <f t="shared" si="24"/>
        <v>94</v>
      </c>
      <c r="G109" s="678">
        <f t="shared" si="24"/>
        <v>92</v>
      </c>
      <c r="H109" s="678">
        <f t="shared" si="24"/>
        <v>90</v>
      </c>
      <c r="I109" s="678">
        <f t="shared" si="24"/>
        <v>88</v>
      </c>
      <c r="J109" s="678">
        <f t="shared" si="24"/>
        <v>86</v>
      </c>
      <c r="K109" s="678">
        <f t="shared" si="24"/>
        <v>84</v>
      </c>
      <c r="L109" s="678">
        <f t="shared" si="24"/>
        <v>82</v>
      </c>
      <c r="M109" s="678">
        <f t="shared" si="24"/>
        <v>80</v>
      </c>
      <c r="N109" s="2166"/>
      <c r="O109" s="2166"/>
      <c r="P109" s="2165"/>
      <c r="Q109" s="2158"/>
      <c r="R109" s="2145"/>
      <c r="S109" s="2145"/>
      <c r="T109" s="2145"/>
      <c r="U109" s="2145"/>
      <c r="V109" s="2145"/>
      <c r="W109" s="2145"/>
      <c r="X109" s="2145"/>
      <c r="Y109" s="2145"/>
      <c r="Z109" s="2145"/>
      <c r="AA109" s="2145"/>
      <c r="AB109" s="2145"/>
      <c r="AC109" s="2145"/>
    </row>
    <row r="110" spans="1:29" ht="15.75" hidden="1" thickTop="1">
      <c r="A110" s="668"/>
      <c r="B110" s="672" t="s">
        <v>549</v>
      </c>
      <c r="C110" s="717"/>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hidden="1"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hidden="1"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hidden="1"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hidden="1"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7" customFormat="1" ht="15" hidden="1"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7" customFormat="1" ht="15.75" hidden="1"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15" thickTop="1">
      <c r="A118" s="663" t="s">
        <v>551</v>
      </c>
      <c r="B118" s="664" t="s">
        <v>593</v>
      </c>
      <c r="C118" s="703" t="str">
        <f t="shared" ref="C118:L118" si="26">C119&amp;"(含)"&amp;"-"&amp;D119</f>
        <v>0(含)-</v>
      </c>
      <c r="D118" s="703" t="str">
        <f t="shared" si="26"/>
        <v>(含)-</v>
      </c>
      <c r="E118" s="703" t="str">
        <f t="shared" si="26"/>
        <v>(含)-</v>
      </c>
      <c r="F118" s="703" t="str">
        <f t="shared" si="26"/>
        <v>(含)-</v>
      </c>
      <c r="G118" s="703" t="str">
        <f t="shared" si="26"/>
        <v>(含)-</v>
      </c>
      <c r="H118" s="703" t="str">
        <f t="shared" si="26"/>
        <v>(含)-</v>
      </c>
      <c r="I118" s="703" t="str">
        <f t="shared" si="26"/>
        <v>(含)-</v>
      </c>
      <c r="J118" s="3117" t="str">
        <f t="shared" si="26"/>
        <v>(含)-</v>
      </c>
      <c r="K118" s="3117" t="str">
        <f t="shared" si="26"/>
        <v>(含)-</v>
      </c>
      <c r="L118" s="3118" t="str">
        <f t="shared" si="26"/>
        <v>(含)-</v>
      </c>
      <c r="M118" s="311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c r="E119" s="729"/>
      <c r="F119" s="729"/>
      <c r="G119" s="729"/>
      <c r="H119" s="729"/>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725">
        <v>102</v>
      </c>
      <c r="F120" s="725"/>
      <c r="G120" s="725"/>
      <c r="H120" s="725"/>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594</v>
      </c>
      <c r="C121" s="3575" t="s">
        <v>3110</v>
      </c>
      <c r="D121" s="717"/>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6"/>
      <c r="O122" s="2166"/>
      <c r="P122" s="2165"/>
      <c r="Q122" s="2158"/>
      <c r="R122" s="2145"/>
      <c r="S122" s="2145"/>
      <c r="T122" s="2145"/>
      <c r="U122" s="2145"/>
      <c r="V122" s="2145"/>
      <c r="W122" s="2145"/>
      <c r="X122" s="2145"/>
      <c r="Y122" s="2145"/>
      <c r="Z122" s="2145"/>
      <c r="AA122" s="2145"/>
      <c r="AB122" s="2145"/>
      <c r="AC122" s="2145"/>
    </row>
    <row r="123" spans="1:29" ht="15" hidden="1" thickTop="1">
      <c r="A123" s="734"/>
      <c r="B123" s="672" t="s">
        <v>595</v>
      </c>
      <c r="C123" s="687"/>
      <c r="D123" s="687"/>
      <c r="E123" s="687"/>
      <c r="F123" s="717"/>
      <c r="G123" s="717"/>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hidden="1"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6"/>
      <c r="O124" s="2166"/>
      <c r="P124" s="2165"/>
      <c r="Q124" s="2158"/>
      <c r="R124" s="2145"/>
      <c r="S124" s="2145"/>
      <c r="T124" s="2145"/>
      <c r="U124" s="2145"/>
      <c r="V124" s="2145"/>
      <c r="W124" s="2145"/>
      <c r="X124" s="2145"/>
      <c r="Y124" s="2145"/>
      <c r="Z124" s="2145"/>
      <c r="AA124" s="2145"/>
      <c r="AB124" s="2145"/>
      <c r="AC124" s="2145"/>
    </row>
    <row r="125" spans="1:29" s="1337" customFormat="1" ht="15" thickTop="1">
      <c r="A125" s="727"/>
      <c r="B125" s="1896" t="s">
        <v>2423</v>
      </c>
      <c r="C125" s="1374" t="s">
        <v>3169</v>
      </c>
      <c r="D125" s="1374"/>
      <c r="E125" s="1374"/>
      <c r="F125" s="1374"/>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7"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596</v>
      </c>
      <c r="C127" s="3574" t="s">
        <v>3170</v>
      </c>
      <c r="D127" s="687"/>
      <c r="E127" s="717"/>
      <c r="F127" s="717"/>
      <c r="G127" s="717"/>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6"/>
      <c r="O128" s="2166"/>
      <c r="P128" s="2165"/>
      <c r="Q128" s="2158"/>
      <c r="R128" s="2145"/>
      <c r="S128" s="2145"/>
      <c r="T128" s="2145"/>
      <c r="U128" s="2145"/>
      <c r="V128" s="2145"/>
      <c r="W128" s="2145"/>
      <c r="X128" s="2145"/>
      <c r="Y128" s="2145"/>
      <c r="Z128" s="2145"/>
      <c r="AA128" s="2145"/>
      <c r="AB128" s="2145"/>
      <c r="AC128" s="2145"/>
    </row>
    <row r="129" spans="1:29" ht="15" hidden="1"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hidden="1"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hidden="1"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hidden="1"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7" customFormat="1" ht="15" hidden="1"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7" customFormat="1" ht="15.75" hidden="1"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ht="15" thickTop="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B26" sqref="B26"/>
    </sheetView>
  </sheetViews>
  <sheetFormatPr defaultColWidth="8.875" defaultRowHeight="13.5"/>
  <cols>
    <col min="1" max="1" width="3.5" style="1654" customWidth="1"/>
    <col min="2" max="2" width="10.625" style="1654" customWidth="1"/>
    <col min="3" max="4" width="11.625" style="1654" customWidth="1"/>
    <col min="5" max="5" width="6.625" style="1654" customWidth="1"/>
    <col min="6" max="16384" width="8.875" style="1654"/>
  </cols>
  <sheetData>
    <row r="36" spans="1:9">
      <c r="A36" s="1653" t="s">
        <v>1901</v>
      </c>
      <c r="B36" s="1653" t="s">
        <v>1902</v>
      </c>
    </row>
    <row r="37" spans="1:9" ht="28.5" customHeight="1">
      <c r="A37" s="1653"/>
      <c r="B37" s="3586" t="str">
        <f>项目基本情况!B1</f>
        <v>江苏省南通市海安市高新区祖师庙村1组320621108211GB00054W00000000号一宗住宅、商业用地出让国有建设用地使用权市场价格预评估</v>
      </c>
      <c r="C37" s="3586"/>
      <c r="D37" s="3586"/>
      <c r="E37" s="3586"/>
      <c r="F37" s="3586"/>
      <c r="G37" s="3586"/>
      <c r="H37" s="3586"/>
      <c r="I37" s="3586"/>
    </row>
    <row r="38" spans="1:9">
      <c r="A38" s="1655"/>
      <c r="B38" s="1655"/>
    </row>
    <row r="39" spans="1:9">
      <c r="A39" s="1653" t="s">
        <v>1901</v>
      </c>
      <c r="B39" s="1653" t="s">
        <v>2045</v>
      </c>
    </row>
    <row r="40" spans="1:9">
      <c r="A40" s="1653"/>
      <c r="B40" s="1653" t="str">
        <f>项目基本情况!B5</f>
        <v>中信信托有限责任公司</v>
      </c>
    </row>
    <row r="41" spans="1:9">
      <c r="A41" s="1653"/>
      <c r="B41" s="1653"/>
    </row>
    <row r="42" spans="1:9">
      <c r="A42" s="1653" t="s">
        <v>1901</v>
      </c>
      <c r="B42" s="1653" t="s">
        <v>2046</v>
      </c>
    </row>
    <row r="43" spans="1:9">
      <c r="A43" s="1653"/>
      <c r="B43" s="1653" t="s">
        <v>1903</v>
      </c>
    </row>
    <row r="44" spans="1:9">
      <c r="A44" s="1653"/>
      <c r="B44" s="1653"/>
    </row>
    <row r="45" spans="1:9">
      <c r="A45" s="1653" t="s">
        <v>1901</v>
      </c>
      <c r="B45" s="1653" t="s">
        <v>2044</v>
      </c>
    </row>
    <row r="46" spans="1:9" s="1653" customFormat="1" ht="12.75">
      <c r="B46" s="1653" t="str">
        <f>项目基本情况!K4</f>
        <v>王鹏、郑燚</v>
      </c>
    </row>
    <row r="47" spans="1:9">
      <c r="A47" s="1653"/>
      <c r="B47" s="1653"/>
    </row>
    <row r="48" spans="1:9">
      <c r="A48" s="1653" t="s">
        <v>1901</v>
      </c>
      <c r="B48" s="1653" t="s">
        <v>2047</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pageSetUpPr fitToPage="1"/>
  </sheetPr>
  <dimension ref="A1:AD259"/>
  <sheetViews>
    <sheetView view="pageBreakPreview" topLeftCell="A35" zoomScale="80" zoomScaleNormal="95" zoomScaleSheetLayoutView="80" zoomScalePageLayoutView="95" workbookViewId="0">
      <selection activeCell="E68" sqref="E68"/>
    </sheetView>
  </sheetViews>
  <sheetFormatPr defaultColWidth="8.875" defaultRowHeight="14.25"/>
  <cols>
    <col min="1" max="2" width="15.625" style="3216" customWidth="1"/>
    <col min="3" max="3" width="24.625" style="3216" customWidth="1"/>
    <col min="4" max="4" width="8.625" style="3216" customWidth="1"/>
    <col min="5" max="5" width="24.625" style="3216" customWidth="1"/>
    <col min="6" max="6" width="8.625" style="3216" customWidth="1"/>
    <col min="7" max="7" width="24.625" style="3216" customWidth="1"/>
    <col min="8" max="8" width="8.625" style="3216" customWidth="1"/>
    <col min="9" max="9" width="24.625" style="3216" customWidth="1"/>
    <col min="10" max="10" width="8.625" style="3216" customWidth="1"/>
    <col min="11" max="11" width="8.625" style="3557" customWidth="1"/>
    <col min="12" max="12" width="12.125" style="3558" customWidth="1"/>
    <col min="13" max="15" width="12.125" style="3216" customWidth="1"/>
    <col min="16" max="16" width="4.625" style="3216" customWidth="1"/>
    <col min="17" max="17" width="19.5" style="3216" customWidth="1"/>
    <col min="18" max="22" width="6.125" style="3216" customWidth="1"/>
    <col min="23" max="23" width="5.625" style="3216" customWidth="1"/>
    <col min="24" max="24" width="4.125" style="3216" customWidth="1"/>
    <col min="25" max="25" width="3.5" style="3216" customWidth="1"/>
    <col min="26" max="26" width="19.625" style="3216" customWidth="1"/>
    <col min="27" max="28" width="9.375" style="3216" customWidth="1"/>
    <col min="29" max="16384" width="8.875" style="3216"/>
  </cols>
  <sheetData>
    <row r="1" spans="1:30" s="3194" customFormat="1" ht="28.5" customHeight="1">
      <c r="A1" s="3182" t="s">
        <v>3000</v>
      </c>
      <c r="B1" s="3183"/>
      <c r="C1" s="3184" t="s">
        <v>3001</v>
      </c>
      <c r="D1" s="3185" t="s">
        <v>3002</v>
      </c>
      <c r="E1" s="3186"/>
      <c r="F1" s="3187"/>
      <c r="G1" s="3186"/>
      <c r="H1" s="3186"/>
      <c r="I1" s="3186"/>
      <c r="J1" s="3186"/>
      <c r="K1" s="3188"/>
      <c r="L1" s="3189"/>
      <c r="M1" s="3190"/>
      <c r="N1" s="3190"/>
      <c r="O1" s="3190"/>
      <c r="P1" s="3191"/>
      <c r="Q1" s="3191"/>
      <c r="R1" s="3191"/>
      <c r="S1" s="3191"/>
      <c r="T1" s="3191"/>
      <c r="U1" s="3191"/>
      <c r="V1" s="3191"/>
      <c r="W1" s="3191"/>
      <c r="X1" s="3191"/>
      <c r="Y1" s="3191"/>
      <c r="Z1" s="3191"/>
      <c r="AA1" s="3191"/>
      <c r="AB1" s="3191"/>
      <c r="AC1" s="3192"/>
      <c r="AD1" s="3193"/>
    </row>
    <row r="2" spans="1:30" s="3194" customFormat="1" ht="28.5" customHeight="1">
      <c r="A2" s="422" t="s">
        <v>3003</v>
      </c>
      <c r="B2" s="3195" t="e">
        <f>F68</f>
        <v>#VALUE!</v>
      </c>
      <c r="C2" s="3196"/>
      <c r="D2" s="3196"/>
      <c r="E2" s="3197"/>
      <c r="F2" s="3198"/>
      <c r="G2" s="3197"/>
      <c r="H2" s="3197"/>
      <c r="I2" s="3197"/>
      <c r="J2" s="3197"/>
      <c r="K2" s="3199"/>
      <c r="L2" s="3200"/>
      <c r="M2" s="3201"/>
      <c r="N2" s="3201"/>
      <c r="O2" s="3201"/>
      <c r="P2" s="3191"/>
      <c r="Q2" s="3191"/>
      <c r="R2" s="3191"/>
      <c r="S2" s="3191"/>
      <c r="T2" s="3191"/>
      <c r="U2" s="3191"/>
      <c r="V2" s="3191"/>
      <c r="W2" s="3191"/>
      <c r="X2" s="3191"/>
      <c r="Y2" s="3191"/>
      <c r="Z2" s="3191"/>
      <c r="AA2" s="3191"/>
      <c r="AB2" s="3191"/>
      <c r="AC2" s="3192"/>
      <c r="AD2" s="3193"/>
    </row>
    <row r="3" spans="1:30" s="3194" customFormat="1" ht="28.5" customHeight="1">
      <c r="A3" s="1378" t="s">
        <v>3004</v>
      </c>
      <c r="B3" s="3202" t="e">
        <f>ROUND(B2*10000/'[1]数据-汇总表'!E3,0)</f>
        <v>#VALUE!</v>
      </c>
      <c r="C3" s="3203"/>
      <c r="D3" s="3204"/>
      <c r="E3" s="3203"/>
      <c r="F3" s="3203"/>
      <c r="G3" s="3197"/>
      <c r="H3" s="3197"/>
      <c r="I3" s="3197"/>
      <c r="J3" s="3197"/>
      <c r="K3" s="3199"/>
      <c r="L3" s="3200"/>
      <c r="M3" s="3201"/>
      <c r="N3" s="3201"/>
      <c r="O3" s="3201"/>
      <c r="P3" s="3191"/>
      <c r="Q3" s="3191"/>
      <c r="R3" s="3191"/>
      <c r="S3" s="3191"/>
      <c r="T3" s="3191"/>
      <c r="U3" s="3191"/>
      <c r="V3" s="3191"/>
      <c r="W3" s="3191"/>
      <c r="X3" s="3191"/>
      <c r="Y3" s="3191"/>
      <c r="Z3" s="3191"/>
      <c r="AA3" s="3191"/>
      <c r="AB3" s="3205"/>
      <c r="AC3" s="3187"/>
    </row>
    <row r="4" spans="1:30" s="3194" customFormat="1" ht="28.5" customHeight="1">
      <c r="A4" s="3206" t="s">
        <v>3005</v>
      </c>
      <c r="B4" s="3207" t="e">
        <f>IF(B48="单位面积地价",C50,ROUND(B2*10000/'[1]数据-汇总表'!D3,0))</f>
        <v>#VALUE!</v>
      </c>
      <c r="C4" s="3203"/>
      <c r="D4" s="3204"/>
      <c r="E4" s="3203"/>
      <c r="F4" s="3203"/>
      <c r="G4" s="3197"/>
      <c r="H4" s="3197"/>
      <c r="I4" s="3197"/>
      <c r="J4" s="3197"/>
      <c r="K4" s="3199"/>
      <c r="L4" s="3200"/>
      <c r="M4" s="3201"/>
      <c r="N4" s="3201"/>
      <c r="O4" s="3201"/>
      <c r="P4" s="3191"/>
      <c r="Q4" s="3191"/>
      <c r="R4" s="3191"/>
      <c r="S4" s="3191"/>
      <c r="T4" s="3191"/>
      <c r="U4" s="3191"/>
      <c r="V4" s="3191"/>
      <c r="W4" s="3191"/>
      <c r="X4" s="3191"/>
      <c r="Y4" s="3191"/>
      <c r="Z4" s="3191"/>
      <c r="AA4" s="3191"/>
      <c r="AB4" s="3191"/>
      <c r="AC4" s="3187"/>
    </row>
    <row r="5" spans="1:30" s="3194" customFormat="1" ht="28.5" customHeight="1" thickBot="1">
      <c r="A5" s="428"/>
      <c r="B5" s="3208" t="e">
        <f>ROUND(B2/('[1]数据-汇总表'!D3/666.67),0)</f>
        <v>#VALUE!</v>
      </c>
      <c r="C5" s="3209" t="s">
        <v>3006</v>
      </c>
      <c r="D5" s="3203"/>
      <c r="E5" s="3203"/>
      <c r="F5" s="3203"/>
      <c r="G5" s="3197"/>
      <c r="H5" s="3197"/>
      <c r="I5" s="3197"/>
      <c r="J5" s="3197"/>
      <c r="K5" s="3199"/>
      <c r="L5" s="3200"/>
      <c r="M5" s="3201"/>
      <c r="N5" s="3201"/>
      <c r="O5" s="3201"/>
      <c r="P5" s="3191"/>
      <c r="Q5" s="3191"/>
      <c r="R5" s="3191"/>
      <c r="S5" s="3191"/>
      <c r="T5" s="3191"/>
      <c r="U5" s="3191"/>
      <c r="V5" s="3191"/>
      <c r="W5" s="3191"/>
      <c r="X5" s="3191"/>
      <c r="Y5" s="3191"/>
      <c r="Z5" s="3191"/>
      <c r="AA5" s="3191"/>
      <c r="AB5" s="3191"/>
      <c r="AC5" s="3187"/>
    </row>
    <row r="6" spans="1:30" ht="20.25">
      <c r="A6" s="3210" t="s">
        <v>3007</v>
      </c>
      <c r="B6" s="3211"/>
      <c r="C6" s="3821" t="s">
        <v>3008</v>
      </c>
      <c r="D6" s="3822"/>
      <c r="E6" s="3821" t="s">
        <v>3009</v>
      </c>
      <c r="F6" s="3822"/>
      <c r="G6" s="3821" t="s">
        <v>3010</v>
      </c>
      <c r="H6" s="3822"/>
      <c r="I6" s="3821" t="s">
        <v>3011</v>
      </c>
      <c r="J6" s="3822"/>
      <c r="K6" s="3212" t="s">
        <v>3012</v>
      </c>
      <c r="L6" s="3213"/>
      <c r="M6" s="3201"/>
      <c r="N6" s="3201"/>
      <c r="O6" s="3214"/>
      <c r="P6" s="3823" t="s">
        <v>3013</v>
      </c>
      <c r="Q6" s="3824"/>
      <c r="R6" s="3811" t="s">
        <v>3014</v>
      </c>
      <c r="S6" s="3812"/>
      <c r="T6" s="3811" t="s">
        <v>3015</v>
      </c>
      <c r="U6" s="3812"/>
      <c r="V6" s="3807" t="s">
        <v>3016</v>
      </c>
      <c r="W6" s="3807"/>
      <c r="X6" s="3215"/>
      <c r="Y6" s="3811" t="s">
        <v>3013</v>
      </c>
      <c r="Z6" s="3812"/>
      <c r="AA6" s="3817" t="s">
        <v>3014</v>
      </c>
      <c r="AB6" s="3818" t="s">
        <v>3015</v>
      </c>
      <c r="AC6" s="3817" t="s">
        <v>3016</v>
      </c>
    </row>
    <row r="7" spans="1:30" ht="20.25">
      <c r="A7" s="3217"/>
      <c r="B7" s="3218"/>
      <c r="C7" s="3829" t="s">
        <v>3017</v>
      </c>
      <c r="D7" s="3830"/>
      <c r="E7" s="3829" t="str">
        <f>[1]土地案例!A4</f>
        <v>白云区艳山红镇原氧化铝厂片区</v>
      </c>
      <c r="F7" s="3830"/>
      <c r="G7" s="3829" t="str">
        <f>[1]土地案例!A5</f>
        <v>白云区艳山红镇原氧化铝厂片区</v>
      </c>
      <c r="H7" s="3830"/>
      <c r="I7" s="3829" t="str">
        <f>[1]土地案例!A7</f>
        <v>白云区艳山红镇原氧化铝厂片区</v>
      </c>
      <c r="J7" s="3830"/>
      <c r="K7" s="3212"/>
      <c r="L7" s="3213"/>
      <c r="M7" s="3201"/>
      <c r="N7" s="3201"/>
      <c r="O7" s="3214"/>
      <c r="P7" s="3825"/>
      <c r="Q7" s="3826"/>
      <c r="R7" s="3813"/>
      <c r="S7" s="3814"/>
      <c r="T7" s="3813"/>
      <c r="U7" s="3814"/>
      <c r="V7" s="3807"/>
      <c r="W7" s="3807"/>
      <c r="X7" s="3215"/>
      <c r="Y7" s="3813"/>
      <c r="Z7" s="3814"/>
      <c r="AA7" s="3818"/>
      <c r="AB7" s="3818"/>
      <c r="AC7" s="3818"/>
    </row>
    <row r="8" spans="1:30" ht="21" thickBot="1">
      <c r="A8" s="3217"/>
      <c r="B8" s="3218"/>
      <c r="C8" s="3831" t="s">
        <v>3018</v>
      </c>
      <c r="D8" s="3832"/>
      <c r="E8" s="3831" t="s">
        <v>3018</v>
      </c>
      <c r="F8" s="3832"/>
      <c r="G8" s="3833" t="s">
        <v>3018</v>
      </c>
      <c r="H8" s="3834"/>
      <c r="I8" s="3833" t="s">
        <v>3018</v>
      </c>
      <c r="J8" s="3834"/>
      <c r="K8" s="3212" t="s">
        <v>3019</v>
      </c>
      <c r="L8" s="3213"/>
      <c r="M8" s="3201"/>
      <c r="N8" s="3201"/>
      <c r="O8" s="3214"/>
      <c r="P8" s="3827"/>
      <c r="Q8" s="3828"/>
      <c r="R8" s="3813"/>
      <c r="S8" s="3814"/>
      <c r="T8" s="3815"/>
      <c r="U8" s="3816"/>
      <c r="V8" s="3807"/>
      <c r="W8" s="3807"/>
      <c r="X8" s="3215"/>
      <c r="Y8" s="3815"/>
      <c r="Z8" s="3816"/>
      <c r="AA8" s="3819"/>
      <c r="AB8" s="3819"/>
      <c r="AC8" s="3819"/>
    </row>
    <row r="9" spans="1:30" s="3233" customFormat="1" ht="21" thickBot="1">
      <c r="A9" s="3219"/>
      <c r="B9" s="3220" t="s">
        <v>3020</v>
      </c>
      <c r="C9" s="3221">
        <f>'[1]数据-取费表'!B2</f>
        <v>43210</v>
      </c>
      <c r="D9" s="3222">
        <v>100</v>
      </c>
      <c r="E9" s="3223" t="str">
        <f>[1]土地案例!I4</f>
        <v>2017-12-11</v>
      </c>
      <c r="F9" s="3224">
        <f>SUMIF(72:72,YEAR(E9)&amp;"-"&amp;INT((MONTH(E9)+2)/3),73:73)</f>
        <v>100</v>
      </c>
      <c r="G9" s="3225" t="str">
        <f>[1]土地案例!I5</f>
        <v>2017-12-11</v>
      </c>
      <c r="H9" s="3222">
        <f>SUMIF(72:72,YEAR(G9)&amp;"-"&amp;INT((MONTH(G9)+2)/3),73:73)</f>
        <v>100</v>
      </c>
      <c r="I9" s="3225" t="str">
        <f>[1]土地案例!I7</f>
        <v>2017-12-11</v>
      </c>
      <c r="J9" s="3222">
        <f>SUMIF(72:72,YEAR(I9)&amp;"-"&amp;INT((MONTH(I9)+2)/3),73:73)</f>
        <v>100</v>
      </c>
      <c r="K9" s="3226"/>
      <c r="L9" s="3227"/>
      <c r="M9" s="3201"/>
      <c r="N9" s="3201"/>
      <c r="O9" s="3228"/>
      <c r="P9" s="3808" t="s">
        <v>3021</v>
      </c>
      <c r="Q9" s="3820"/>
      <c r="R9" s="3229" t="s">
        <v>3022</v>
      </c>
      <c r="S9" s="3230">
        <f t="shared" ref="S9:S17" si="0">F9</f>
        <v>100</v>
      </c>
      <c r="T9" s="3229" t="s">
        <v>3022</v>
      </c>
      <c r="U9" s="3230">
        <f t="shared" ref="U9:U17" si="1">H9</f>
        <v>100</v>
      </c>
      <c r="V9" s="3229" t="s">
        <v>3022</v>
      </c>
      <c r="W9" s="3230">
        <f t="shared" ref="W9:W17" si="2">J9</f>
        <v>100</v>
      </c>
      <c r="X9" s="3231"/>
      <c r="Y9" s="3808" t="s">
        <v>3021</v>
      </c>
      <c r="Z9" s="3809"/>
      <c r="AA9" s="3232">
        <f>D9/F9</f>
        <v>1</v>
      </c>
      <c r="AB9" s="3232">
        <f>D9/H9</f>
        <v>1</v>
      </c>
      <c r="AC9" s="3232">
        <f>D9/J9</f>
        <v>1</v>
      </c>
    </row>
    <row r="10" spans="1:30" s="3233" customFormat="1" ht="21" thickBot="1">
      <c r="A10" s="3234"/>
      <c r="B10" s="3235" t="s">
        <v>531</v>
      </c>
      <c r="C10" s="3236" t="s">
        <v>532</v>
      </c>
      <c r="D10" s="3222">
        <v>100</v>
      </c>
      <c r="E10" s="3237" t="s">
        <v>3023</v>
      </c>
      <c r="F10" s="3224">
        <f>SUMIF(75:75,E10,76:76)-SUMIF(75:75,C10,76:76)+100</f>
        <v>100</v>
      </c>
      <c r="G10" s="3237" t="s">
        <v>3023</v>
      </c>
      <c r="H10" s="3222">
        <f>SUMIF(75:75,G10,76:76)-SUMIF(75:75,C10,76:76)+100</f>
        <v>100</v>
      </c>
      <c r="I10" s="3237" t="s">
        <v>3023</v>
      </c>
      <c r="J10" s="3222">
        <f>SUMIF(75:75,I10,76:76)-SUMIF(75:75,C10,76:76)+100</f>
        <v>100</v>
      </c>
      <c r="K10" s="3226"/>
      <c r="L10" s="3227"/>
      <c r="M10" s="3201"/>
      <c r="N10" s="3201"/>
      <c r="O10" s="3228"/>
      <c r="P10" s="3808" t="s">
        <v>533</v>
      </c>
      <c r="Q10" s="3809"/>
      <c r="R10" s="3229" t="s">
        <v>3024</v>
      </c>
      <c r="S10" s="3230">
        <f t="shared" si="0"/>
        <v>100</v>
      </c>
      <c r="T10" s="3229" t="s">
        <v>3024</v>
      </c>
      <c r="U10" s="3230">
        <f t="shared" si="1"/>
        <v>100</v>
      </c>
      <c r="V10" s="3229" t="s">
        <v>3024</v>
      </c>
      <c r="W10" s="3230">
        <f t="shared" si="2"/>
        <v>100</v>
      </c>
      <c r="X10" s="3231"/>
      <c r="Y10" s="3808" t="s">
        <v>533</v>
      </c>
      <c r="Z10" s="3809"/>
      <c r="AA10" s="3232">
        <f t="shared" ref="AA10:AA47" si="3">D10/F10</f>
        <v>1</v>
      </c>
      <c r="AB10" s="3232">
        <f t="shared" ref="AB10:AB47" si="4">D10/H10</f>
        <v>1</v>
      </c>
      <c r="AC10" s="3232">
        <f t="shared" ref="AC10:AC47" si="5">D10/J10</f>
        <v>1</v>
      </c>
    </row>
    <row r="11" spans="1:30" s="3233" customFormat="1" ht="20.25">
      <c r="A11" s="3238"/>
      <c r="B11" s="3239" t="s">
        <v>2754</v>
      </c>
      <c r="C11" s="3240" t="s">
        <v>3114</v>
      </c>
      <c r="D11" s="3241">
        <v>100</v>
      </c>
      <c r="E11" s="3242" t="s">
        <v>3025</v>
      </c>
      <c r="F11" s="3241">
        <f>SUMIF(77:77,E11,78:78)-SUMIF(77:77,C11,78:78)+100</f>
        <v>200</v>
      </c>
      <c r="G11" s="3242" t="s">
        <v>3025</v>
      </c>
      <c r="H11" s="3241">
        <f>SUMIF(77:77,G11,78:78)-SUMIF(77:77,C11,78:78)+100</f>
        <v>200</v>
      </c>
      <c r="I11" s="3242" t="s">
        <v>3025</v>
      </c>
      <c r="J11" s="3241">
        <f>SUMIF(77:77,I11,78:78)-SUMIF(77:77,C11,78:78)+100</f>
        <v>200</v>
      </c>
      <c r="K11" s="3226"/>
      <c r="L11" s="3227"/>
      <c r="M11" s="3201"/>
      <c r="N11" s="3201"/>
      <c r="O11" s="3243"/>
      <c r="P11" s="3798" t="s">
        <v>535</v>
      </c>
      <c r="Q11" s="3244" t="str">
        <f t="shared" ref="Q11:Q17" si="6">B11</f>
        <v>用途</v>
      </c>
      <c r="R11" s="3229" t="s">
        <v>3024</v>
      </c>
      <c r="S11" s="3230">
        <f t="shared" si="0"/>
        <v>200</v>
      </c>
      <c r="T11" s="3229" t="s">
        <v>3024</v>
      </c>
      <c r="U11" s="3230">
        <f t="shared" si="1"/>
        <v>200</v>
      </c>
      <c r="V11" s="3229" t="s">
        <v>3024</v>
      </c>
      <c r="W11" s="3230">
        <f t="shared" si="2"/>
        <v>200</v>
      </c>
      <c r="X11" s="3231"/>
      <c r="Y11" s="3810" t="s">
        <v>536</v>
      </c>
      <c r="Z11" s="3245" t="str">
        <f t="shared" ref="Z11:Z17" si="7">Q11</f>
        <v>用途</v>
      </c>
      <c r="AA11" s="3232">
        <f t="shared" si="3"/>
        <v>0.5</v>
      </c>
      <c r="AB11" s="3232">
        <f t="shared" si="4"/>
        <v>0.5</v>
      </c>
      <c r="AC11" s="3232">
        <f t="shared" si="5"/>
        <v>0.5</v>
      </c>
    </row>
    <row r="12" spans="1:30" s="3254" customFormat="1" ht="27">
      <c r="A12" s="3246"/>
      <c r="B12" s="3235" t="s">
        <v>2755</v>
      </c>
      <c r="C12" s="3247">
        <f>项目基本情况!E19</f>
        <v>39.53</v>
      </c>
      <c r="D12" s="3248">
        <v>100</v>
      </c>
      <c r="E12" s="3249" t="s">
        <v>3026</v>
      </c>
      <c r="F12" s="3248">
        <f>ROUND(100/'[1]数据-取费表'!G16,0)</f>
        <v>102</v>
      </c>
      <c r="G12" s="3250" t="s">
        <v>3026</v>
      </c>
      <c r="H12" s="3248">
        <f>ROUND(100/'[1]数据-取费表'!G16,0)</f>
        <v>102</v>
      </c>
      <c r="I12" s="3250" t="s">
        <v>3026</v>
      </c>
      <c r="J12" s="3248">
        <f>ROUND(100/'[1]数据-取费表'!G16,0)</f>
        <v>102</v>
      </c>
      <c r="K12" s="3251"/>
      <c r="L12" s="3252"/>
      <c r="M12" s="3201"/>
      <c r="N12" s="3201"/>
      <c r="O12" s="3253"/>
      <c r="P12" s="3798"/>
      <c r="Q12" s="3244" t="str">
        <f t="shared" si="6"/>
        <v>土地使用年限（年）</v>
      </c>
      <c r="R12" s="3229" t="s">
        <v>3024</v>
      </c>
      <c r="S12" s="3230">
        <f t="shared" si="0"/>
        <v>102</v>
      </c>
      <c r="T12" s="3229" t="s">
        <v>3024</v>
      </c>
      <c r="U12" s="3230">
        <f t="shared" si="1"/>
        <v>102</v>
      </c>
      <c r="V12" s="3229" t="s">
        <v>3024</v>
      </c>
      <c r="W12" s="3230">
        <f t="shared" si="2"/>
        <v>102</v>
      </c>
      <c r="X12" s="3231"/>
      <c r="Y12" s="3810"/>
      <c r="Z12" s="3245" t="str">
        <f t="shared" si="7"/>
        <v>土地使用年限（年）</v>
      </c>
      <c r="AA12" s="3232">
        <f t="shared" si="3"/>
        <v>0.98039215686274506</v>
      </c>
      <c r="AB12" s="3232">
        <f t="shared" si="4"/>
        <v>0.98039215686274506</v>
      </c>
      <c r="AC12" s="3232">
        <f t="shared" si="5"/>
        <v>0.98039215686274506</v>
      </c>
    </row>
    <row r="13" spans="1:30" ht="20.25">
      <c r="A13" s="3255"/>
      <c r="B13" s="3235" t="s">
        <v>2756</v>
      </c>
      <c r="C13" s="3256">
        <f>'数据-汇总表'!I6</f>
        <v>3</v>
      </c>
      <c r="D13" s="3248">
        <v>100</v>
      </c>
      <c r="E13" s="3257">
        <v>2.5</v>
      </c>
      <c r="F13" s="3248">
        <f>LOOKUP(E13,82:82,83:83)-LOOKUP(C13,82:82,83:83)+100</f>
        <v>103</v>
      </c>
      <c r="G13" s="3256">
        <v>3</v>
      </c>
      <c r="H13" s="3248">
        <f>LOOKUP(G13,82:82,83:83)-LOOKUP(C13,82:82,83:83)+100</f>
        <v>100</v>
      </c>
      <c r="I13" s="3257">
        <v>3</v>
      </c>
      <c r="J13" s="3248">
        <f>LOOKUP(I13,82:82,83:83)-LOOKUP(C13,82:82,83:83)+100</f>
        <v>100</v>
      </c>
      <c r="K13" s="3258">
        <v>3</v>
      </c>
      <c r="L13" s="3259"/>
      <c r="M13" s="3201"/>
      <c r="N13" s="3201"/>
      <c r="O13" s="3260"/>
      <c r="P13" s="3798"/>
      <c r="Q13" s="3244" t="str">
        <f t="shared" si="6"/>
        <v>容积率</v>
      </c>
      <c r="R13" s="3229" t="s">
        <v>3022</v>
      </c>
      <c r="S13" s="3230">
        <f t="shared" si="0"/>
        <v>103</v>
      </c>
      <c r="T13" s="3229" t="s">
        <v>3022</v>
      </c>
      <c r="U13" s="3230">
        <f t="shared" si="1"/>
        <v>100</v>
      </c>
      <c r="V13" s="3229" t="s">
        <v>3022</v>
      </c>
      <c r="W13" s="3230">
        <f t="shared" si="2"/>
        <v>100</v>
      </c>
      <c r="X13" s="3231"/>
      <c r="Y13" s="3810"/>
      <c r="Z13" s="3245" t="str">
        <f t="shared" si="7"/>
        <v>容积率</v>
      </c>
      <c r="AA13" s="3232">
        <f t="shared" si="3"/>
        <v>0.970873786407767</v>
      </c>
      <c r="AB13" s="3232">
        <f t="shared" si="4"/>
        <v>1</v>
      </c>
      <c r="AC13" s="3232">
        <f t="shared" si="5"/>
        <v>1</v>
      </c>
    </row>
    <row r="14" spans="1:30" s="3233" customFormat="1" ht="20.25" hidden="1">
      <c r="A14" s="3234"/>
      <c r="B14" s="3261" t="s">
        <v>3027</v>
      </c>
      <c r="C14" s="3262"/>
      <c r="D14" s="3263">
        <v>100</v>
      </c>
      <c r="E14" s="3264"/>
      <c r="F14" s="3248">
        <f>SUMIF(84:84,E14,85:85)-SUMIF(84:84,C14,85:85)+100</f>
        <v>100</v>
      </c>
      <c r="G14" s="3250"/>
      <c r="H14" s="3248">
        <f>SUMIF(84:84,G14,85:85)-SUMIF(84:84,C14,85:85)+100</f>
        <v>100</v>
      </c>
      <c r="I14" s="3249"/>
      <c r="J14" s="3248">
        <f>SUMIF(84:84,I14,85:85)-SUMIF(84:84,C14,85:85)+100</f>
        <v>100</v>
      </c>
      <c r="K14" s="3251"/>
      <c r="L14" s="3227"/>
      <c r="M14" s="3201"/>
      <c r="N14" s="3201"/>
      <c r="O14" s="3243"/>
      <c r="P14" s="3798"/>
      <c r="Q14" s="3244" t="str">
        <f t="shared" si="6"/>
        <v>配建</v>
      </c>
      <c r="R14" s="3229" t="s">
        <v>3022</v>
      </c>
      <c r="S14" s="3230">
        <f t="shared" si="0"/>
        <v>100</v>
      </c>
      <c r="T14" s="3229" t="s">
        <v>3022</v>
      </c>
      <c r="U14" s="3230">
        <f t="shared" si="1"/>
        <v>100</v>
      </c>
      <c r="V14" s="3229" t="s">
        <v>3022</v>
      </c>
      <c r="W14" s="3230">
        <f t="shared" si="2"/>
        <v>100</v>
      </c>
      <c r="X14" s="3231"/>
      <c r="Y14" s="3810"/>
      <c r="Z14" s="3245" t="str">
        <f t="shared" si="7"/>
        <v>配建</v>
      </c>
      <c r="AA14" s="3232">
        <f>D14/F14</f>
        <v>1</v>
      </c>
      <c r="AB14" s="3232">
        <f>D14/H14</f>
        <v>1</v>
      </c>
      <c r="AC14" s="3232">
        <f>D14/J14</f>
        <v>1</v>
      </c>
    </row>
    <row r="15" spans="1:30" ht="20.25" hidden="1">
      <c r="A15" s="3265"/>
      <c r="B15" s="3266"/>
      <c r="C15" s="3267"/>
      <c r="D15" s="3268">
        <v>100</v>
      </c>
      <c r="E15" s="3269"/>
      <c r="F15" s="3248">
        <f>SUMIF(86:86,E15,87:87)-SUMIF(86:86,C15,87:87)+100</f>
        <v>100</v>
      </c>
      <c r="G15" s="3270"/>
      <c r="H15" s="3268">
        <f>SUMIF(86:86,G15,87:87)-SUMIF(86:86,C15,87:87)+100</f>
        <v>100</v>
      </c>
      <c r="I15" s="3270"/>
      <c r="J15" s="3268">
        <f>SUMIF(86:86,I15,87:87)-SUMIF(86:86,C15,87:87)+100</f>
        <v>100</v>
      </c>
      <c r="K15" s="3251"/>
      <c r="L15" s="3271"/>
      <c r="M15" s="3201"/>
      <c r="N15" s="3201"/>
      <c r="O15" s="3260"/>
      <c r="P15" s="3798"/>
      <c r="Q15" s="3244">
        <f t="shared" si="6"/>
        <v>0</v>
      </c>
      <c r="R15" s="3229" t="s">
        <v>3024</v>
      </c>
      <c r="S15" s="3230">
        <f t="shared" si="0"/>
        <v>100</v>
      </c>
      <c r="T15" s="3229" t="s">
        <v>3024</v>
      </c>
      <c r="U15" s="3230">
        <f t="shared" si="1"/>
        <v>100</v>
      </c>
      <c r="V15" s="3229" t="s">
        <v>3024</v>
      </c>
      <c r="W15" s="3230">
        <f t="shared" si="2"/>
        <v>100</v>
      </c>
      <c r="X15" s="3231"/>
      <c r="Y15" s="3810"/>
      <c r="Z15" s="3245">
        <f t="shared" si="7"/>
        <v>0</v>
      </c>
      <c r="AA15" s="3232">
        <f>D15/F15</f>
        <v>1</v>
      </c>
      <c r="AB15" s="3232">
        <f>D15/H15</f>
        <v>1</v>
      </c>
      <c r="AC15" s="3232">
        <f>D15/J15</f>
        <v>1</v>
      </c>
    </row>
    <row r="16" spans="1:30" ht="21" hidden="1" thickBot="1">
      <c r="A16" s="3272"/>
      <c r="B16" s="3273"/>
      <c r="C16" s="3274"/>
      <c r="D16" s="3275">
        <v>100</v>
      </c>
      <c r="E16" s="3269"/>
      <c r="F16" s="3275">
        <f>SUMIF(88:88,E16,89:89)-SUMIF(88:88,C16,89:89)+100</f>
        <v>100</v>
      </c>
      <c r="G16" s="3270"/>
      <c r="H16" s="3275">
        <f>SUMIF(88:88,G16,89:89)-SUMIF(88:88,C16,89:89)+100</f>
        <v>100</v>
      </c>
      <c r="I16" s="3270"/>
      <c r="J16" s="3275">
        <f>SUMIF(88:88,I16,89:89)-SUMIF(88:88,C16,89:89)+100</f>
        <v>100</v>
      </c>
      <c r="K16" s="3251"/>
      <c r="L16" s="3271"/>
      <c r="M16" s="3201"/>
      <c r="N16" s="3201"/>
      <c r="O16" s="3260"/>
      <c r="P16" s="3798"/>
      <c r="Q16" s="3244">
        <f t="shared" si="6"/>
        <v>0</v>
      </c>
      <c r="R16" s="3229" t="s">
        <v>3024</v>
      </c>
      <c r="S16" s="3230">
        <f t="shared" si="0"/>
        <v>100</v>
      </c>
      <c r="T16" s="3229" t="s">
        <v>3024</v>
      </c>
      <c r="U16" s="3230">
        <f t="shared" si="1"/>
        <v>100</v>
      </c>
      <c r="V16" s="3229" t="s">
        <v>3024</v>
      </c>
      <c r="W16" s="3230">
        <f t="shared" si="2"/>
        <v>100</v>
      </c>
      <c r="X16" s="3231"/>
      <c r="Y16" s="3810"/>
      <c r="Z16" s="3245">
        <f t="shared" si="7"/>
        <v>0</v>
      </c>
      <c r="AA16" s="3232">
        <f>D16/F16</f>
        <v>1</v>
      </c>
      <c r="AB16" s="3232">
        <f>D16/H16</f>
        <v>1</v>
      </c>
      <c r="AC16" s="3232">
        <f>D16/J16</f>
        <v>1</v>
      </c>
    </row>
    <row r="17" spans="1:29" ht="57" hidden="1">
      <c r="A17" s="3276" t="s">
        <v>3028</v>
      </c>
      <c r="B17" s="3277" t="s">
        <v>295</v>
      </c>
      <c r="C17" s="3278" t="str">
        <f>[1]估价对象房地状况!C15</f>
        <v>估价对象周边居住用地比例、居住小区规模和社区发展完善程度，综合评价居住社区成熟度一般</v>
      </c>
      <c r="D17" s="3279">
        <v>100</v>
      </c>
      <c r="E17" s="3280"/>
      <c r="F17" s="3281">
        <f>SUMIF(90:90,E18,91:91)-SUMIF(90:90,C18,91:91)+100</f>
        <v>100</v>
      </c>
      <c r="G17" s="3282"/>
      <c r="H17" s="3281">
        <f>SUMIF(90:90,G18,91:91)-SUMIF(90:90,C18,91:91)+100</f>
        <v>100</v>
      </c>
      <c r="I17" s="3280"/>
      <c r="J17" s="3281">
        <f>SUMIF(90:90,I18,91:91)-SUMIF(90:90,C18,91:91)+100</f>
        <v>100</v>
      </c>
      <c r="K17" s="3258"/>
      <c r="L17" s="3271"/>
      <c r="M17" s="3201"/>
      <c r="N17" s="3201"/>
      <c r="O17" s="3260"/>
      <c r="P17" s="3800" t="s">
        <v>3029</v>
      </c>
      <c r="Q17" s="3283" t="str">
        <f t="shared" si="6"/>
        <v>居住社区成熟度</v>
      </c>
      <c r="R17" s="3284" t="s">
        <v>3022</v>
      </c>
      <c r="S17" s="3285">
        <f t="shared" si="0"/>
        <v>100</v>
      </c>
      <c r="T17" s="3284" t="s">
        <v>3022</v>
      </c>
      <c r="U17" s="3285">
        <f t="shared" si="1"/>
        <v>100</v>
      </c>
      <c r="V17" s="3284" t="s">
        <v>3022</v>
      </c>
      <c r="W17" s="3285">
        <f t="shared" si="2"/>
        <v>100</v>
      </c>
      <c r="X17" s="3215"/>
      <c r="Y17" s="3800" t="s">
        <v>3029</v>
      </c>
      <c r="Z17" s="3286" t="str">
        <f t="shared" si="7"/>
        <v>居住社区成熟度</v>
      </c>
      <c r="AA17" s="3287">
        <f t="shared" si="3"/>
        <v>1</v>
      </c>
      <c r="AB17" s="3287">
        <f t="shared" si="4"/>
        <v>1</v>
      </c>
      <c r="AC17" s="3287">
        <f t="shared" si="5"/>
        <v>1</v>
      </c>
    </row>
    <row r="18" spans="1:29" ht="20.25" hidden="1">
      <c r="A18" s="3288"/>
      <c r="B18" s="3289"/>
      <c r="C18" s="3290"/>
      <c r="D18" s="3291"/>
      <c r="E18" s="3292"/>
      <c r="F18" s="3293"/>
      <c r="G18" s="3294"/>
      <c r="H18" s="3295"/>
      <c r="I18" s="3292"/>
      <c r="J18" s="3293"/>
      <c r="K18" s="3251"/>
      <c r="L18" s="3271"/>
      <c r="M18" s="3201"/>
      <c r="N18" s="3201"/>
      <c r="O18" s="3260"/>
      <c r="P18" s="3801"/>
      <c r="Q18" s="3283"/>
      <c r="R18" s="3284"/>
      <c r="S18" s="3285"/>
      <c r="T18" s="3284"/>
      <c r="U18" s="3285"/>
      <c r="V18" s="3284"/>
      <c r="W18" s="3285"/>
      <c r="X18" s="3215"/>
      <c r="Y18" s="3801"/>
      <c r="Z18" s="3286"/>
      <c r="AA18" s="3287">
        <v>1</v>
      </c>
      <c r="AB18" s="3287">
        <v>1</v>
      </c>
      <c r="AC18" s="3287">
        <v>1</v>
      </c>
    </row>
    <row r="19" spans="1:29" ht="42.75">
      <c r="A19" s="3288"/>
      <c r="B19" s="3296" t="s">
        <v>584</v>
      </c>
      <c r="C19" s="3297" t="str">
        <f>[1]估价对象房地状况!C16</f>
        <v>估价对象位于XX商圈，周边商业氛围成熟，人流量大，商业繁华度好</v>
      </c>
      <c r="D19" s="3298">
        <v>100</v>
      </c>
      <c r="E19" s="3299"/>
      <c r="F19" s="3295">
        <f>SUMIF(92:92,E20,93:93)-SUMIF(92:92,C20,93:93)+100</f>
        <v>103</v>
      </c>
      <c r="G19" s="3300"/>
      <c r="H19" s="3301">
        <f>SUMIF(92:92,G20,93:93)-SUMIF(92:92,C20,93:93)+100</f>
        <v>103</v>
      </c>
      <c r="I19" s="3299"/>
      <c r="J19" s="3301">
        <f>SUMIF(92:92,I20,93:93)-SUMIF(92:92,C20,93:93)+100</f>
        <v>103</v>
      </c>
      <c r="K19" s="3258">
        <v>3</v>
      </c>
      <c r="L19" s="3271"/>
      <c r="M19" s="3201"/>
      <c r="N19" s="3201"/>
      <c r="O19" s="3260"/>
      <c r="P19" s="3801"/>
      <c r="Q19" s="3283" t="str">
        <f>B19</f>
        <v>商业繁华度</v>
      </c>
      <c r="R19" s="3284" t="s">
        <v>3022</v>
      </c>
      <c r="S19" s="3285">
        <f>F19</f>
        <v>103</v>
      </c>
      <c r="T19" s="3284" t="s">
        <v>3022</v>
      </c>
      <c r="U19" s="3285">
        <f>H19</f>
        <v>103</v>
      </c>
      <c r="V19" s="3284" t="s">
        <v>3022</v>
      </c>
      <c r="W19" s="3285">
        <f>J19</f>
        <v>103</v>
      </c>
      <c r="X19" s="3215"/>
      <c r="Y19" s="3801"/>
      <c r="Z19" s="3286" t="str">
        <f>Q19</f>
        <v>商业繁华度</v>
      </c>
      <c r="AA19" s="3287">
        <f t="shared" si="3"/>
        <v>0.970873786407767</v>
      </c>
      <c r="AB19" s="3287">
        <f t="shared" si="4"/>
        <v>0.970873786407767</v>
      </c>
      <c r="AC19" s="3287">
        <f t="shared" si="5"/>
        <v>0.970873786407767</v>
      </c>
    </row>
    <row r="20" spans="1:29" ht="20.25">
      <c r="A20" s="3288"/>
      <c r="B20" s="3302"/>
      <c r="C20" s="3303" t="s">
        <v>3030</v>
      </c>
      <c r="D20" s="3298"/>
      <c r="E20" s="3304" t="s">
        <v>3031</v>
      </c>
      <c r="F20" s="3295"/>
      <c r="G20" s="3305" t="s">
        <v>3031</v>
      </c>
      <c r="H20" s="3293"/>
      <c r="I20" s="3304" t="s">
        <v>3031</v>
      </c>
      <c r="J20" s="3293"/>
      <c r="K20" s="3251"/>
      <c r="L20" s="3271"/>
      <c r="M20" s="3201"/>
      <c r="N20" s="3201"/>
      <c r="O20" s="3260"/>
      <c r="P20" s="3801"/>
      <c r="Q20" s="3283"/>
      <c r="R20" s="3284"/>
      <c r="S20" s="3285"/>
      <c r="T20" s="3284"/>
      <c r="U20" s="3285"/>
      <c r="V20" s="3284"/>
      <c r="W20" s="3285"/>
      <c r="X20" s="3215"/>
      <c r="Y20" s="3801"/>
      <c r="Z20" s="3286"/>
      <c r="AA20" s="3287">
        <v>1</v>
      </c>
      <c r="AB20" s="3287">
        <v>1</v>
      </c>
      <c r="AC20" s="3287">
        <v>1</v>
      </c>
    </row>
    <row r="21" spans="1:29" ht="42.75">
      <c r="A21" s="3288"/>
      <c r="B21" s="3296" t="s">
        <v>3032</v>
      </c>
      <c r="C21" s="3297" t="str">
        <f>[1]估价对象房地状况!C17</f>
        <v>估价对象位于XX商圈，周边办公楼项目较多，入驻率高，办公集聚程度较好</v>
      </c>
      <c r="D21" s="3306">
        <v>100</v>
      </c>
      <c r="E21" s="3307"/>
      <c r="F21" s="3301">
        <f>SUMIF(94:94,E22,95:95)-SUMIF(94:94,C22,95:95)+100</f>
        <v>100</v>
      </c>
      <c r="G21" s="3308"/>
      <c r="H21" s="3295">
        <f>SUMIF(94:94,G22,95:95)-SUMIF(94:94,C22,95:95)+100</f>
        <v>100</v>
      </c>
      <c r="I21" s="3307"/>
      <c r="J21" s="3295">
        <f>SUMIF(94:94,I22,95:95)-SUMIF(94:94,C22,95:95)+100</f>
        <v>100</v>
      </c>
      <c r="K21" s="3258">
        <v>3</v>
      </c>
      <c r="L21" s="3271"/>
      <c r="M21" s="3201"/>
      <c r="N21" s="3201"/>
      <c r="O21" s="3260"/>
      <c r="P21" s="3801"/>
      <c r="Q21" s="3283" t="str">
        <f>B21</f>
        <v>办公集聚程度</v>
      </c>
      <c r="R21" s="3284" t="s">
        <v>3022</v>
      </c>
      <c r="S21" s="3285">
        <f>F21</f>
        <v>100</v>
      </c>
      <c r="T21" s="3284" t="s">
        <v>3022</v>
      </c>
      <c r="U21" s="3285">
        <f>H21</f>
        <v>100</v>
      </c>
      <c r="V21" s="3284" t="s">
        <v>3022</v>
      </c>
      <c r="W21" s="3285">
        <f>J21</f>
        <v>100</v>
      </c>
      <c r="X21" s="3215"/>
      <c r="Y21" s="3801"/>
      <c r="Z21" s="3286" t="str">
        <f>Q21</f>
        <v>办公集聚程度</v>
      </c>
      <c r="AA21" s="3287">
        <f t="shared" si="3"/>
        <v>1</v>
      </c>
      <c r="AB21" s="3287">
        <f t="shared" si="4"/>
        <v>1</v>
      </c>
      <c r="AC21" s="3287">
        <f t="shared" si="5"/>
        <v>1</v>
      </c>
    </row>
    <row r="22" spans="1:29" ht="20.25">
      <c r="A22" s="3288"/>
      <c r="B22" s="3302"/>
      <c r="C22" s="3290" t="s">
        <v>3031</v>
      </c>
      <c r="D22" s="3291"/>
      <c r="E22" s="3304" t="s">
        <v>3031</v>
      </c>
      <c r="F22" s="3293"/>
      <c r="G22" s="3304" t="s">
        <v>3031</v>
      </c>
      <c r="H22" s="3293"/>
      <c r="I22" s="3304" t="s">
        <v>3031</v>
      </c>
      <c r="J22" s="3293"/>
      <c r="K22" s="3251"/>
      <c r="L22" s="3271"/>
      <c r="M22" s="3201"/>
      <c r="N22" s="3201"/>
      <c r="O22" s="3260"/>
      <c r="P22" s="3801"/>
      <c r="Q22" s="3283"/>
      <c r="R22" s="3284"/>
      <c r="S22" s="3285"/>
      <c r="T22" s="3284"/>
      <c r="U22" s="3285"/>
      <c r="V22" s="3284"/>
      <c r="W22" s="3285"/>
      <c r="X22" s="3215"/>
      <c r="Y22" s="3801"/>
      <c r="Z22" s="3286"/>
      <c r="AA22" s="3287">
        <v>1</v>
      </c>
      <c r="AB22" s="3287">
        <v>1</v>
      </c>
      <c r="AC22" s="3287">
        <v>1</v>
      </c>
    </row>
    <row r="23" spans="1:29" ht="57">
      <c r="A23" s="3288"/>
      <c r="B23" s="3296" t="s">
        <v>3033</v>
      </c>
      <c r="C23" s="3309" t="str">
        <f>[1]估价对象房地状况!C18</f>
        <v>估价对象周边道路状况、公共交通通达情况、停车便捷程度，综合评价交通便捷度较好</v>
      </c>
      <c r="D23" s="3298">
        <v>100</v>
      </c>
      <c r="E23" s="3299"/>
      <c r="F23" s="3301">
        <f>SUMIF(96:96,E24,97:97)-SUMIF(96:96,C24,97:97)+100</f>
        <v>103</v>
      </c>
      <c r="G23" s="3300"/>
      <c r="H23" s="3295">
        <f>SUMIF(96:96,G24,97:97)-SUMIF(96:96,C24,97:97)+100</f>
        <v>103</v>
      </c>
      <c r="I23" s="3299"/>
      <c r="J23" s="3295">
        <f>SUMIF(96:96,I24,97:97)-SUMIF(96:96,C24,97:97)+100</f>
        <v>103</v>
      </c>
      <c r="K23" s="3258">
        <v>3</v>
      </c>
      <c r="L23" s="3271"/>
      <c r="M23" s="3201"/>
      <c r="N23" s="3201"/>
      <c r="O23" s="3260"/>
      <c r="P23" s="3801"/>
      <c r="Q23" s="3283" t="str">
        <f>B23</f>
        <v>交通便捷度</v>
      </c>
      <c r="R23" s="3284" t="s">
        <v>3022</v>
      </c>
      <c r="S23" s="3285">
        <f>F23</f>
        <v>103</v>
      </c>
      <c r="T23" s="3284" t="s">
        <v>3022</v>
      </c>
      <c r="U23" s="3285">
        <f>H23</f>
        <v>103</v>
      </c>
      <c r="V23" s="3284" t="s">
        <v>3022</v>
      </c>
      <c r="W23" s="3285">
        <f>J23</f>
        <v>103</v>
      </c>
      <c r="X23" s="3215"/>
      <c r="Y23" s="3801"/>
      <c r="Z23" s="3286" t="str">
        <f>Q23</f>
        <v>交通便捷度</v>
      </c>
      <c r="AA23" s="3287">
        <f t="shared" si="3"/>
        <v>0.970873786407767</v>
      </c>
      <c r="AB23" s="3287">
        <f t="shared" si="4"/>
        <v>0.970873786407767</v>
      </c>
      <c r="AC23" s="3287">
        <f t="shared" si="5"/>
        <v>0.970873786407767</v>
      </c>
    </row>
    <row r="24" spans="1:29" ht="20.25">
      <c r="A24" s="3288"/>
      <c r="B24" s="3277"/>
      <c r="C24" s="3290" t="s">
        <v>3030</v>
      </c>
      <c r="D24" s="3291"/>
      <c r="E24" s="3292" t="s">
        <v>3031</v>
      </c>
      <c r="F24" s="3293"/>
      <c r="G24" s="3292" t="s">
        <v>3031</v>
      </c>
      <c r="H24" s="3293"/>
      <c r="I24" s="3292" t="s">
        <v>3031</v>
      </c>
      <c r="J24" s="3293"/>
      <c r="K24" s="3251"/>
      <c r="L24" s="3271"/>
      <c r="M24" s="3201"/>
      <c r="N24" s="3201"/>
      <c r="O24" s="3260"/>
      <c r="P24" s="3801"/>
      <c r="Q24" s="3283"/>
      <c r="R24" s="3284"/>
      <c r="S24" s="3285"/>
      <c r="T24" s="3284"/>
      <c r="U24" s="3285"/>
      <c r="V24" s="3284"/>
      <c r="W24" s="3285"/>
      <c r="X24" s="3215"/>
      <c r="Y24" s="3801"/>
      <c r="Z24" s="3286"/>
      <c r="AA24" s="3287">
        <v>1</v>
      </c>
      <c r="AB24" s="3287">
        <v>1</v>
      </c>
      <c r="AC24" s="3287">
        <v>1</v>
      </c>
    </row>
    <row r="25" spans="1:29" ht="27">
      <c r="A25" s="3217"/>
      <c r="B25" s="3310" t="s">
        <v>3034</v>
      </c>
      <c r="C25" s="3309">
        <f>[1]估价对象房地状况!C19</f>
        <v>0</v>
      </c>
      <c r="D25" s="3298">
        <v>100</v>
      </c>
      <c r="E25" s="3299"/>
      <c r="F25" s="3301">
        <f>SUMIF(98:98,E26,99:99)-SUMIF(98:98,C26,99:99)+100</f>
        <v>100</v>
      </c>
      <c r="G25" s="3300"/>
      <c r="H25" s="3295">
        <f>SUMIF(98:98,G26,99:99)-SUMIF(98:98,C26,99:99)+100</f>
        <v>100</v>
      </c>
      <c r="I25" s="3299"/>
      <c r="J25" s="3295">
        <f>SUMIF(98:98,I26,99:99)-SUMIF(98:98,C26,99:99)+100</f>
        <v>100</v>
      </c>
      <c r="K25" s="3258">
        <v>5</v>
      </c>
      <c r="L25" s="3271"/>
      <c r="M25" s="3201"/>
      <c r="N25" s="3201"/>
      <c r="O25" s="3260"/>
      <c r="P25" s="3801"/>
      <c r="Q25" s="3283" t="str">
        <f t="shared" ref="Q25:Q39" si="8">B25</f>
        <v>区域土地利用方向</v>
      </c>
      <c r="R25" s="3284" t="s">
        <v>3022</v>
      </c>
      <c r="S25" s="3285">
        <f>F25</f>
        <v>100</v>
      </c>
      <c r="T25" s="3284" t="s">
        <v>3022</v>
      </c>
      <c r="U25" s="3285">
        <f>H25</f>
        <v>100</v>
      </c>
      <c r="V25" s="3284" t="s">
        <v>3022</v>
      </c>
      <c r="W25" s="3285">
        <f>J25</f>
        <v>100</v>
      </c>
      <c r="X25" s="3215"/>
      <c r="Y25" s="3801"/>
      <c r="Z25" s="3286" t="str">
        <f>Q25</f>
        <v>区域土地利用方向</v>
      </c>
      <c r="AA25" s="3287">
        <f t="shared" si="3"/>
        <v>1</v>
      </c>
      <c r="AB25" s="3287">
        <f t="shared" si="4"/>
        <v>1</v>
      </c>
      <c r="AC25" s="3287">
        <f t="shared" si="5"/>
        <v>1</v>
      </c>
    </row>
    <row r="26" spans="1:29" ht="20.25">
      <c r="A26" s="3217"/>
      <c r="B26" s="3311"/>
      <c r="C26" s="3290" t="s">
        <v>3035</v>
      </c>
      <c r="D26" s="3291"/>
      <c r="E26" s="3290" t="s">
        <v>3035</v>
      </c>
      <c r="F26" s="3293"/>
      <c r="G26" s="3290" t="s">
        <v>3035</v>
      </c>
      <c r="H26" s="3293"/>
      <c r="I26" s="3290" t="s">
        <v>3035</v>
      </c>
      <c r="J26" s="3293"/>
      <c r="K26" s="3251"/>
      <c r="L26" s="3271"/>
      <c r="M26" s="3201"/>
      <c r="N26" s="3201"/>
      <c r="O26" s="3260"/>
      <c r="P26" s="3801"/>
      <c r="Q26" s="3283"/>
      <c r="R26" s="3284"/>
      <c r="S26" s="3285"/>
      <c r="T26" s="3284"/>
      <c r="U26" s="3285"/>
      <c r="V26" s="3284"/>
      <c r="W26" s="3285"/>
      <c r="X26" s="3215"/>
      <c r="Y26" s="3801"/>
      <c r="Z26" s="3286"/>
      <c r="AA26" s="3287"/>
      <c r="AB26" s="3287"/>
      <c r="AC26" s="3287"/>
    </row>
    <row r="27" spans="1:29" ht="28.5">
      <c r="A27" s="3217"/>
      <c r="B27" s="3277" t="s">
        <v>3036</v>
      </c>
      <c r="C27" s="3297" t="str">
        <f>[1]估价对象房地状况!C20</f>
        <v>区域自然环境：；人文环境；综合评价环境状况一般</v>
      </c>
      <c r="D27" s="3298">
        <v>100</v>
      </c>
      <c r="E27" s="3299"/>
      <c r="F27" s="3295">
        <f>SUMIF(100:100,E28,101:101)-SUMIF(100:100,C28,101:101)+100</f>
        <v>100</v>
      </c>
      <c r="G27" s="3300"/>
      <c r="H27" s="3295">
        <f>SUMIF(100:100,G28,101:101)-SUMIF(100:100,C28,101:101)+100</f>
        <v>100</v>
      </c>
      <c r="I27" s="3299"/>
      <c r="J27" s="3295">
        <f>SUMIF(100:100,I28,101:101)-SUMIF(100:100,C28,101:101)+100</f>
        <v>100</v>
      </c>
      <c r="K27" s="3258">
        <v>3</v>
      </c>
      <c r="L27" s="3271"/>
      <c r="M27" s="3201"/>
      <c r="N27" s="3201"/>
      <c r="O27" s="3260"/>
      <c r="P27" s="3801"/>
      <c r="Q27" s="3283" t="str">
        <f t="shared" si="8"/>
        <v>自然及人文环境状况</v>
      </c>
      <c r="R27" s="3284" t="s">
        <v>3022</v>
      </c>
      <c r="S27" s="3285">
        <f>F27</f>
        <v>100</v>
      </c>
      <c r="T27" s="3284" t="s">
        <v>3022</v>
      </c>
      <c r="U27" s="3285">
        <f>H27</f>
        <v>100</v>
      </c>
      <c r="V27" s="3284" t="s">
        <v>3022</v>
      </c>
      <c r="W27" s="3285">
        <f>J27</f>
        <v>100</v>
      </c>
      <c r="X27" s="3215"/>
      <c r="Y27" s="3801"/>
      <c r="Z27" s="3286" t="str">
        <f>Q27</f>
        <v>自然及人文环境状况</v>
      </c>
      <c r="AA27" s="3287">
        <f t="shared" si="3"/>
        <v>1</v>
      </c>
      <c r="AB27" s="3287">
        <f t="shared" si="4"/>
        <v>1</v>
      </c>
      <c r="AC27" s="3287">
        <f t="shared" si="5"/>
        <v>1</v>
      </c>
    </row>
    <row r="28" spans="1:29" ht="20.25">
      <c r="A28" s="3217"/>
      <c r="B28" s="3302"/>
      <c r="C28" s="3290" t="s">
        <v>3031</v>
      </c>
      <c r="D28" s="3291"/>
      <c r="E28" s="3290" t="s">
        <v>3031</v>
      </c>
      <c r="F28" s="3293"/>
      <c r="G28" s="3290" t="s">
        <v>3031</v>
      </c>
      <c r="H28" s="3293"/>
      <c r="I28" s="3290" t="s">
        <v>3031</v>
      </c>
      <c r="J28" s="3293"/>
      <c r="K28" s="3251"/>
      <c r="L28" s="3271"/>
      <c r="M28" s="3201"/>
      <c r="N28" s="3201"/>
      <c r="O28" s="3260"/>
      <c r="P28" s="3801"/>
      <c r="Q28" s="3283"/>
      <c r="R28" s="3284"/>
      <c r="S28" s="3285"/>
      <c r="T28" s="3284"/>
      <c r="U28" s="3285"/>
      <c r="V28" s="3284"/>
      <c r="W28" s="3285"/>
      <c r="X28" s="3215"/>
      <c r="Y28" s="3801"/>
      <c r="Z28" s="3286"/>
      <c r="AA28" s="3287">
        <v>1</v>
      </c>
      <c r="AB28" s="3287">
        <v>1</v>
      </c>
      <c r="AC28" s="3287">
        <v>1</v>
      </c>
    </row>
    <row r="29" spans="1:29" s="3233" customFormat="1" ht="28.5">
      <c r="A29" s="3312"/>
      <c r="B29" s="3313" t="s">
        <v>3037</v>
      </c>
      <c r="C29" s="3309" t="str">
        <f>[1]估价对象房地状况!C21</f>
        <v>估价对象所在区域公共配套设施齐备情况</v>
      </c>
      <c r="D29" s="3298">
        <v>100</v>
      </c>
      <c r="E29" s="3299"/>
      <c r="F29" s="3295">
        <f>SUMIF(102:102,E30,103:103)-SUMIF(102:102,C30,103:103)+100</f>
        <v>100</v>
      </c>
      <c r="G29" s="3300"/>
      <c r="H29" s="3295">
        <f>SUMIF(102:102,G30,103:103)-SUMIF(102:102,C30,103:103)+100</f>
        <v>100</v>
      </c>
      <c r="I29" s="3299"/>
      <c r="J29" s="3295">
        <f>SUMIF(102:102,I30,103:103)-SUMIF(102:102,C30,103:103)+100</f>
        <v>100</v>
      </c>
      <c r="K29" s="3258">
        <v>3</v>
      </c>
      <c r="L29" s="3227"/>
      <c r="M29" s="3201"/>
      <c r="N29" s="3201"/>
      <c r="O29" s="3243"/>
      <c r="P29" s="3801"/>
      <c r="Q29" s="3244" t="str">
        <f t="shared" si="8"/>
        <v>公共配套设施</v>
      </c>
      <c r="R29" s="3229" t="s">
        <v>3022</v>
      </c>
      <c r="S29" s="3230">
        <f>F29</f>
        <v>100</v>
      </c>
      <c r="T29" s="3229" t="s">
        <v>3022</v>
      </c>
      <c r="U29" s="3230">
        <f>H29</f>
        <v>100</v>
      </c>
      <c r="V29" s="3229" t="s">
        <v>3022</v>
      </c>
      <c r="W29" s="3230">
        <f>J29</f>
        <v>100</v>
      </c>
      <c r="X29" s="3231"/>
      <c r="Y29" s="3801"/>
      <c r="Z29" s="3245" t="str">
        <f>Q29</f>
        <v>公共配套设施</v>
      </c>
      <c r="AA29" s="3287">
        <f>D29/F29</f>
        <v>1</v>
      </c>
      <c r="AB29" s="3287">
        <f>D29/H29</f>
        <v>1</v>
      </c>
      <c r="AC29" s="3287">
        <f>D29/J29</f>
        <v>1</v>
      </c>
    </row>
    <row r="30" spans="1:29" s="3233" customFormat="1" ht="20.25">
      <c r="A30" s="3312"/>
      <c r="B30" s="3302"/>
      <c r="C30" s="3314" t="s">
        <v>3031</v>
      </c>
      <c r="D30" s="3291"/>
      <c r="E30" s="3315" t="s">
        <v>3031</v>
      </c>
      <c r="F30" s="3293"/>
      <c r="G30" s="3315" t="s">
        <v>3031</v>
      </c>
      <c r="H30" s="3293"/>
      <c r="I30" s="3315" t="s">
        <v>3031</v>
      </c>
      <c r="J30" s="3293"/>
      <c r="K30" s="3251"/>
      <c r="L30" s="3227"/>
      <c r="M30" s="3201"/>
      <c r="N30" s="3201"/>
      <c r="O30" s="3243"/>
      <c r="P30" s="3801"/>
      <c r="Q30" s="3244"/>
      <c r="R30" s="3229"/>
      <c r="S30" s="3230"/>
      <c r="T30" s="3229"/>
      <c r="U30" s="3230"/>
      <c r="V30" s="3229"/>
      <c r="W30" s="3230"/>
      <c r="X30" s="3231"/>
      <c r="Y30" s="3801"/>
      <c r="Z30" s="3245"/>
      <c r="AA30" s="3287">
        <v>1</v>
      </c>
      <c r="AB30" s="3287">
        <v>1</v>
      </c>
      <c r="AC30" s="3287">
        <v>1</v>
      </c>
    </row>
    <row r="31" spans="1:29" s="3233" customFormat="1" ht="28.5">
      <c r="A31" s="3312"/>
      <c r="B31" s="3313" t="s">
        <v>3038</v>
      </c>
      <c r="C31" s="3309" t="str">
        <f>[1]估价对象房地状况!C22</f>
        <v>估价对象所在区域基础设施水平</v>
      </c>
      <c r="D31" s="3298">
        <v>100</v>
      </c>
      <c r="E31" s="3299"/>
      <c r="F31" s="3295">
        <f>SUMIF(104:104,E32,105:105)-SUMIF(104:104,C32,105:105)+100</f>
        <v>100</v>
      </c>
      <c r="G31" s="3300"/>
      <c r="H31" s="3295">
        <f>SUMIF(104:104,G32,105:105)-SUMIF(104:104,C32,105:105)+100</f>
        <v>100</v>
      </c>
      <c r="I31" s="3299"/>
      <c r="J31" s="3295">
        <f>SUMIF(104:104,I32,105:105)-SUMIF(104:104,C32,105:105)+100</f>
        <v>100</v>
      </c>
      <c r="K31" s="3258">
        <v>2</v>
      </c>
      <c r="L31" s="3227"/>
      <c r="M31" s="3201"/>
      <c r="N31" s="3201"/>
      <c r="O31" s="3243"/>
      <c r="P31" s="3801"/>
      <c r="Q31" s="3244" t="str">
        <f t="shared" ref="Q31" si="9">B31</f>
        <v>基础设施水平</v>
      </c>
      <c r="R31" s="3229" t="s">
        <v>3022</v>
      </c>
      <c r="S31" s="3230">
        <f>F31</f>
        <v>100</v>
      </c>
      <c r="T31" s="3229" t="s">
        <v>3022</v>
      </c>
      <c r="U31" s="3230">
        <f>H31</f>
        <v>100</v>
      </c>
      <c r="V31" s="3229" t="s">
        <v>3022</v>
      </c>
      <c r="W31" s="3230">
        <f>J31</f>
        <v>100</v>
      </c>
      <c r="X31" s="3231"/>
      <c r="Y31" s="3801"/>
      <c r="Z31" s="3245" t="str">
        <f>Q31</f>
        <v>基础设施水平</v>
      </c>
      <c r="AA31" s="3287">
        <f>D31/F31</f>
        <v>1</v>
      </c>
      <c r="AB31" s="3287">
        <f>D31/H31</f>
        <v>1</v>
      </c>
      <c r="AC31" s="3287">
        <f>D31/J31</f>
        <v>1</v>
      </c>
    </row>
    <row r="32" spans="1:29" s="3233" customFormat="1" ht="20.25">
      <c r="A32" s="3312"/>
      <c r="B32" s="3302"/>
      <c r="C32" s="3314" t="s">
        <v>3039</v>
      </c>
      <c r="D32" s="3291"/>
      <c r="E32" s="3314" t="s">
        <v>3039</v>
      </c>
      <c r="F32" s="3293"/>
      <c r="G32" s="3314" t="s">
        <v>3039</v>
      </c>
      <c r="H32" s="3293"/>
      <c r="I32" s="3314" t="s">
        <v>3039</v>
      </c>
      <c r="J32" s="3293"/>
      <c r="K32" s="3251"/>
      <c r="L32" s="3227"/>
      <c r="M32" s="3201"/>
      <c r="N32" s="3201"/>
      <c r="O32" s="3243"/>
      <c r="P32" s="3801"/>
      <c r="Q32" s="3244"/>
      <c r="R32" s="3229"/>
      <c r="S32" s="3230"/>
      <c r="T32" s="3229"/>
      <c r="U32" s="3230"/>
      <c r="V32" s="3229"/>
      <c r="W32" s="3230"/>
      <c r="X32" s="3231"/>
      <c r="Y32" s="3801"/>
      <c r="Z32" s="3245"/>
      <c r="AA32" s="3287">
        <v>1</v>
      </c>
      <c r="AB32" s="3287">
        <v>1</v>
      </c>
      <c r="AC32" s="3287">
        <v>1</v>
      </c>
    </row>
    <row r="33" spans="1:29" ht="20.25" hidden="1">
      <c r="A33" s="3288"/>
      <c r="B33" s="3302" t="s">
        <v>3040</v>
      </c>
      <c r="C33" s="3316"/>
      <c r="D33" s="3317">
        <v>100</v>
      </c>
      <c r="E33" s="3318"/>
      <c r="F33" s="3268">
        <f>SUMIF(106:106,E33,107:107)-SUMIF(106:106,C33,107:107)+100</f>
        <v>100</v>
      </c>
      <c r="G33" s="3316"/>
      <c r="H33" s="3268">
        <f>SUMIF(106:106,G33,107:107)-SUMIF(106:106,C33,107:107)+100</f>
        <v>100</v>
      </c>
      <c r="I33" s="3316"/>
      <c r="J33" s="3268">
        <f>SUMIF(106:106,I33,107:107)-SUMIF(106:106,C33,107:107)+100</f>
        <v>100</v>
      </c>
      <c r="K33" s="3258"/>
      <c r="L33" s="3271"/>
      <c r="M33" s="3201"/>
      <c r="N33" s="3201"/>
      <c r="O33" s="3260"/>
      <c r="P33" s="3801"/>
      <c r="Q33" s="3283" t="str">
        <f t="shared" si="8"/>
        <v>临街状况</v>
      </c>
      <c r="R33" s="3284" t="s">
        <v>3022</v>
      </c>
      <c r="S33" s="3285">
        <f t="shared" ref="S33:S47" si="10">F33</f>
        <v>100</v>
      </c>
      <c r="T33" s="3284" t="s">
        <v>3022</v>
      </c>
      <c r="U33" s="3285">
        <f t="shared" ref="U33:U47" si="11">H33</f>
        <v>100</v>
      </c>
      <c r="V33" s="3284" t="s">
        <v>3022</v>
      </c>
      <c r="W33" s="3285">
        <f t="shared" ref="W33:W47" si="12">J33</f>
        <v>100</v>
      </c>
      <c r="X33" s="3215"/>
      <c r="Y33" s="3801"/>
      <c r="Z33" s="3286" t="str">
        <f t="shared" ref="Z33:Z47" si="13">Q33</f>
        <v>临街状况</v>
      </c>
      <c r="AA33" s="3287">
        <f t="shared" si="3"/>
        <v>1</v>
      </c>
      <c r="AB33" s="3287">
        <f t="shared" si="4"/>
        <v>1</v>
      </c>
      <c r="AC33" s="3287">
        <f t="shared" si="5"/>
        <v>1</v>
      </c>
    </row>
    <row r="34" spans="1:29" ht="27">
      <c r="A34" s="3288"/>
      <c r="B34" s="3277" t="s">
        <v>784</v>
      </c>
      <c r="C34" s="3300"/>
      <c r="D34" s="3298">
        <v>100</v>
      </c>
      <c r="E34" s="3299"/>
      <c r="F34" s="3295">
        <f>SUMIF(108:108,E35,109:109)-SUMIF(108:108,C35,109:109)+100</f>
        <v>100</v>
      </c>
      <c r="G34" s="3300"/>
      <c r="H34" s="3295">
        <f>SUMIF(108:108,G35,109:109)-SUMIF(108:108,C35,109:109)+100</f>
        <v>100</v>
      </c>
      <c r="I34" s="3299"/>
      <c r="J34" s="3295">
        <f>SUMIF(108:108,I35,109:109)-SUMIF(108:108,C35,109:109)+100</f>
        <v>100</v>
      </c>
      <c r="K34" s="3258">
        <v>2</v>
      </c>
      <c r="L34" s="3271"/>
      <c r="M34" s="3201"/>
      <c r="N34" s="3201"/>
      <c r="O34" s="3260"/>
      <c r="P34" s="3801"/>
      <c r="Q34" s="3283" t="str">
        <f t="shared" si="8"/>
        <v>毗邻道路的类型与等级</v>
      </c>
      <c r="R34" s="3284" t="s">
        <v>3024</v>
      </c>
      <c r="S34" s="3285">
        <f t="shared" si="10"/>
        <v>100</v>
      </c>
      <c r="T34" s="3284" t="s">
        <v>3024</v>
      </c>
      <c r="U34" s="3285">
        <f t="shared" si="11"/>
        <v>100</v>
      </c>
      <c r="V34" s="3284" t="s">
        <v>3024</v>
      </c>
      <c r="W34" s="3285">
        <f t="shared" si="12"/>
        <v>100</v>
      </c>
      <c r="X34" s="3215"/>
      <c r="Y34" s="3801"/>
      <c r="Z34" s="3286" t="str">
        <f t="shared" si="13"/>
        <v>毗邻道路的类型与等级</v>
      </c>
      <c r="AA34" s="3287">
        <f t="shared" si="3"/>
        <v>1</v>
      </c>
      <c r="AB34" s="3287">
        <f t="shared" si="4"/>
        <v>1</v>
      </c>
      <c r="AC34" s="3287">
        <f t="shared" si="5"/>
        <v>1</v>
      </c>
    </row>
    <row r="35" spans="1:29" ht="21" thickBot="1">
      <c r="A35" s="3288"/>
      <c r="B35" s="3302"/>
      <c r="C35" s="3290" t="s">
        <v>3041</v>
      </c>
      <c r="D35" s="3291"/>
      <c r="E35" s="3290" t="s">
        <v>3041</v>
      </c>
      <c r="F35" s="3293"/>
      <c r="G35" s="3290" t="s">
        <v>3041</v>
      </c>
      <c r="H35" s="3293"/>
      <c r="I35" s="3290" t="s">
        <v>3041</v>
      </c>
      <c r="J35" s="3293"/>
      <c r="K35" s="3319"/>
      <c r="L35" s="3271"/>
      <c r="M35" s="3201"/>
      <c r="N35" s="3201"/>
      <c r="O35" s="3260"/>
      <c r="P35" s="3801"/>
      <c r="Q35" s="3283"/>
      <c r="R35" s="3284"/>
      <c r="S35" s="3285"/>
      <c r="T35" s="3284"/>
      <c r="U35" s="3285"/>
      <c r="V35" s="3284"/>
      <c r="W35" s="3285"/>
      <c r="X35" s="3215"/>
      <c r="Y35" s="3801"/>
      <c r="Z35" s="3286"/>
      <c r="AA35" s="3287">
        <v>1</v>
      </c>
      <c r="AB35" s="3287">
        <v>1</v>
      </c>
      <c r="AC35" s="3287">
        <v>1</v>
      </c>
    </row>
    <row r="36" spans="1:29" ht="21" hidden="1" thickBot="1">
      <c r="A36" s="3288"/>
      <c r="B36" s="3320" t="s">
        <v>3042</v>
      </c>
      <c r="C36" s="3316"/>
      <c r="D36" s="3317">
        <v>100</v>
      </c>
      <c r="E36" s="3318"/>
      <c r="F36" s="3268">
        <f>SUMIF(110:110,E36,111:111)-SUMIF(110:110,C36,111:111)+100</f>
        <v>100</v>
      </c>
      <c r="G36" s="3316"/>
      <c r="H36" s="3268">
        <f>SUMIF(110:110,G36,111:111)-SUMIF(110:110,C36,111:111)+100</f>
        <v>100</v>
      </c>
      <c r="I36" s="3318"/>
      <c r="J36" s="3268">
        <f>SUMIF(110:110,I36,111:111)-SUMIF(110:110,C36,111:111)+100</f>
        <v>100</v>
      </c>
      <c r="K36" s="3321"/>
      <c r="L36" s="3271"/>
      <c r="M36" s="3201"/>
      <c r="N36" s="3201"/>
      <c r="O36" s="3260"/>
      <c r="P36" s="3801"/>
      <c r="Q36" s="3283" t="str">
        <f t="shared" si="8"/>
        <v>土地级别</v>
      </c>
      <c r="R36" s="3284" t="s">
        <v>3022</v>
      </c>
      <c r="S36" s="3285">
        <f t="shared" si="10"/>
        <v>100</v>
      </c>
      <c r="T36" s="3284" t="s">
        <v>3022</v>
      </c>
      <c r="U36" s="3285">
        <f t="shared" si="11"/>
        <v>100</v>
      </c>
      <c r="V36" s="3284" t="s">
        <v>3022</v>
      </c>
      <c r="W36" s="3285">
        <f t="shared" si="12"/>
        <v>100</v>
      </c>
      <c r="X36" s="3215"/>
      <c r="Y36" s="3801"/>
      <c r="Z36" s="3286" t="str">
        <f t="shared" si="13"/>
        <v>土地级别</v>
      </c>
      <c r="AA36" s="3287">
        <f t="shared" si="3"/>
        <v>1</v>
      </c>
      <c r="AB36" s="3287">
        <f t="shared" si="4"/>
        <v>1</v>
      </c>
      <c r="AC36" s="3287">
        <f t="shared" si="5"/>
        <v>1</v>
      </c>
    </row>
    <row r="37" spans="1:29" ht="21" hidden="1" thickBot="1">
      <c r="A37" s="3217"/>
      <c r="B37" s="3322"/>
      <c r="C37" s="3323"/>
      <c r="D37" s="3317">
        <v>100</v>
      </c>
      <c r="E37" s="3270"/>
      <c r="F37" s="3268">
        <f>SUMIF(112:112,E37,113:113)-SUMIF(112:112,C37,113:113)+100</f>
        <v>100</v>
      </c>
      <c r="G37" s="3323"/>
      <c r="H37" s="3268">
        <f>SUMIF(112:112,G37,113:113)-SUMIF(112:112,C37,113:113)+100</f>
        <v>100</v>
      </c>
      <c r="I37" s="3270"/>
      <c r="J37" s="3268">
        <f>SUMIF(112:112,I37,113:113)-SUMIF(112:112,C37,113:113)+100</f>
        <v>100</v>
      </c>
      <c r="K37" s="3319"/>
      <c r="L37" s="3271"/>
      <c r="M37" s="3201"/>
      <c r="N37" s="3201"/>
      <c r="O37" s="3260"/>
      <c r="P37" s="3801"/>
      <c r="Q37" s="3283">
        <f t="shared" si="8"/>
        <v>0</v>
      </c>
      <c r="R37" s="3284" t="s">
        <v>3022</v>
      </c>
      <c r="S37" s="3285">
        <f t="shared" si="10"/>
        <v>100</v>
      </c>
      <c r="T37" s="3284" t="s">
        <v>3022</v>
      </c>
      <c r="U37" s="3285">
        <f t="shared" si="11"/>
        <v>100</v>
      </c>
      <c r="V37" s="3284" t="s">
        <v>3022</v>
      </c>
      <c r="W37" s="3285">
        <f t="shared" si="12"/>
        <v>100</v>
      </c>
      <c r="X37" s="3215"/>
      <c r="Y37" s="3801"/>
      <c r="Z37" s="3286">
        <f t="shared" si="13"/>
        <v>0</v>
      </c>
      <c r="AA37" s="3287">
        <f t="shared" si="3"/>
        <v>1</v>
      </c>
      <c r="AB37" s="3287">
        <f t="shared" si="4"/>
        <v>1</v>
      </c>
      <c r="AC37" s="3287">
        <f t="shared" si="5"/>
        <v>1</v>
      </c>
    </row>
    <row r="38" spans="1:29" ht="21" hidden="1" thickBot="1">
      <c r="A38" s="3324"/>
      <c r="B38" s="3325"/>
      <c r="C38" s="3323"/>
      <c r="D38" s="3317">
        <v>100</v>
      </c>
      <c r="E38" s="3270"/>
      <c r="F38" s="3268">
        <f>SUMIF(114:114,E39,115:115)-SUMIF(114:114,C39,115:115)+100</f>
        <v>100</v>
      </c>
      <c r="G38" s="3323"/>
      <c r="H38" s="3268">
        <f>SUMIF(114:114,G38,115:115)-SUMIF(114:114,C38,115:115)+100</f>
        <v>100</v>
      </c>
      <c r="I38" s="3270"/>
      <c r="J38" s="3268">
        <f>SUMIF(114:114,I38,115:115)-SUMIF(114:114,C38,115:115)+100</f>
        <v>100</v>
      </c>
      <c r="K38" s="3319"/>
      <c r="L38" s="3271"/>
      <c r="M38" s="3201"/>
      <c r="N38" s="3201"/>
      <c r="O38" s="3260"/>
      <c r="P38" s="3805" t="s">
        <v>3043</v>
      </c>
      <c r="Q38" s="3283">
        <f t="shared" si="8"/>
        <v>0</v>
      </c>
      <c r="R38" s="3284" t="s">
        <v>3022</v>
      </c>
      <c r="S38" s="3285">
        <f t="shared" si="10"/>
        <v>100</v>
      </c>
      <c r="T38" s="3284" t="s">
        <v>3022</v>
      </c>
      <c r="U38" s="3285">
        <f t="shared" si="11"/>
        <v>100</v>
      </c>
      <c r="V38" s="3284" t="s">
        <v>3022</v>
      </c>
      <c r="W38" s="3285">
        <f t="shared" si="12"/>
        <v>100</v>
      </c>
      <c r="X38" s="3215"/>
      <c r="Y38" s="3806" t="s">
        <v>3043</v>
      </c>
      <c r="Z38" s="3286">
        <f t="shared" si="13"/>
        <v>0</v>
      </c>
      <c r="AA38" s="3287">
        <f t="shared" si="3"/>
        <v>1</v>
      </c>
      <c r="AB38" s="3287">
        <f t="shared" si="4"/>
        <v>1</v>
      </c>
      <c r="AC38" s="3287">
        <f t="shared" si="5"/>
        <v>1</v>
      </c>
    </row>
    <row r="39" spans="1:29" s="3337" customFormat="1" ht="21" hidden="1" thickBot="1">
      <c r="A39" s="3326"/>
      <c r="B39" s="3327"/>
      <c r="C39" s="3328"/>
      <c r="D39" s="3329">
        <v>100</v>
      </c>
      <c r="E39" s="3330"/>
      <c r="F39" s="3275">
        <f>SUMIF(116:116,E39,117:117)-SUMIF(116:116,C39,117:117)+100</f>
        <v>100</v>
      </c>
      <c r="G39" s="3331"/>
      <c r="H39" s="3275">
        <f>SUMIF(116:116,G39,117:117)-SUMIF(116:116,C39,117:117)+100</f>
        <v>100</v>
      </c>
      <c r="I39" s="3330"/>
      <c r="J39" s="3275">
        <f>SUMIF(116:116,I39,117:117)-SUMIF(116:116,C39,117:117)+100</f>
        <v>100</v>
      </c>
      <c r="K39" s="3319"/>
      <c r="L39" s="3259"/>
      <c r="M39" s="3201"/>
      <c r="N39" s="3201"/>
      <c r="O39" s="3332"/>
      <c r="P39" s="3806"/>
      <c r="Q39" s="3283">
        <f t="shared" si="8"/>
        <v>0</v>
      </c>
      <c r="R39" s="3333" t="s">
        <v>3022</v>
      </c>
      <c r="S39" s="3334">
        <f t="shared" si="10"/>
        <v>100</v>
      </c>
      <c r="T39" s="3333" t="s">
        <v>3022</v>
      </c>
      <c r="U39" s="3334">
        <f t="shared" si="11"/>
        <v>100</v>
      </c>
      <c r="V39" s="3333" t="s">
        <v>3022</v>
      </c>
      <c r="W39" s="3334">
        <f t="shared" si="12"/>
        <v>100</v>
      </c>
      <c r="X39" s="3335"/>
      <c r="Y39" s="3806"/>
      <c r="Z39" s="3336">
        <f t="shared" si="13"/>
        <v>0</v>
      </c>
      <c r="AA39" s="3287">
        <f t="shared" si="3"/>
        <v>1</v>
      </c>
      <c r="AB39" s="3287">
        <f t="shared" si="4"/>
        <v>1</v>
      </c>
      <c r="AC39" s="3287">
        <f t="shared" si="5"/>
        <v>1</v>
      </c>
    </row>
    <row r="40" spans="1:29" ht="20.25">
      <c r="A40" s="3338" t="s">
        <v>3044</v>
      </c>
      <c r="B40" s="3339" t="s">
        <v>3045</v>
      </c>
      <c r="C40" s="3340">
        <f>'数据-汇总表'!D3</f>
        <v>38144</v>
      </c>
      <c r="D40" s="3341">
        <v>100</v>
      </c>
      <c r="E40" s="3340">
        <f>[1]土地案例!F4</f>
        <v>15205.4</v>
      </c>
      <c r="F40" s="3341">
        <f>LOOKUP(E40,119:119,120:120)-LOOKUP(C40,119:119,120:120)+100</f>
        <v>100</v>
      </c>
      <c r="G40" s="3340">
        <f>[1]土地案例!F5</f>
        <v>8456.9</v>
      </c>
      <c r="H40" s="3341">
        <f>LOOKUP(G40,119:119,120:120)-LOOKUP(C40,119:119,120:120)+100</f>
        <v>100</v>
      </c>
      <c r="I40" s="3342">
        <f>[1]土地案例!F7</f>
        <v>12324.9</v>
      </c>
      <c r="J40" s="3341">
        <f>LOOKUP(I40,119:119,120:120)-LOOKUP(C40,119:119,120:120)+100</f>
        <v>100</v>
      </c>
      <c r="K40" s="3319"/>
      <c r="L40" s="3271"/>
      <c r="M40" s="3201"/>
      <c r="N40" s="3201"/>
      <c r="O40" s="3260"/>
      <c r="P40" s="3806"/>
      <c r="Q40" s="3283" t="str">
        <f>B40</f>
        <v>宗地面积</v>
      </c>
      <c r="R40" s="3284" t="s">
        <v>3022</v>
      </c>
      <c r="S40" s="3285">
        <f t="shared" si="10"/>
        <v>100</v>
      </c>
      <c r="T40" s="3284" t="s">
        <v>3022</v>
      </c>
      <c r="U40" s="3285">
        <f t="shared" si="11"/>
        <v>100</v>
      </c>
      <c r="V40" s="3284" t="s">
        <v>3022</v>
      </c>
      <c r="W40" s="3285">
        <f t="shared" si="12"/>
        <v>100</v>
      </c>
      <c r="X40" s="3215"/>
      <c r="Y40" s="3806"/>
      <c r="Z40" s="3286" t="str">
        <f t="shared" si="13"/>
        <v>宗地面积</v>
      </c>
      <c r="AA40" s="3287">
        <f t="shared" si="3"/>
        <v>1</v>
      </c>
      <c r="AB40" s="3287">
        <f t="shared" si="4"/>
        <v>1</v>
      </c>
      <c r="AC40" s="3287">
        <f t="shared" si="5"/>
        <v>1</v>
      </c>
    </row>
    <row r="41" spans="1:29" ht="20.25">
      <c r="A41" s="3343"/>
      <c r="B41" s="3344" t="s">
        <v>3046</v>
      </c>
      <c r="C41" s="3345" t="s">
        <v>3047</v>
      </c>
      <c r="D41" s="3268">
        <v>100</v>
      </c>
      <c r="E41" s="3345" t="s">
        <v>3047</v>
      </c>
      <c r="F41" s="3268">
        <f>SUMIF(121:121,E41,122:122)-SUMIF(121:121,C41,122:122)+100</f>
        <v>100</v>
      </c>
      <c r="G41" s="3345" t="s">
        <v>3047</v>
      </c>
      <c r="H41" s="3268">
        <f>SUMIF(121:121,G41,122:122)-SUMIF(121:121,C41,122:122)+100</f>
        <v>100</v>
      </c>
      <c r="I41" s="3345" t="s">
        <v>3047</v>
      </c>
      <c r="J41" s="3268">
        <f>SUMIF(121:121,I41,122:122)-SUMIF(121:121,C41,122:122)+100</f>
        <v>100</v>
      </c>
      <c r="K41" s="3321">
        <v>2</v>
      </c>
      <c r="L41" s="3271"/>
      <c r="M41" s="3201"/>
      <c r="N41" s="3201"/>
      <c r="O41" s="3260"/>
      <c r="P41" s="3806"/>
      <c r="Q41" s="3283" t="str">
        <f t="shared" ref="Q41:Q47" si="14">B41</f>
        <v>宗地形状</v>
      </c>
      <c r="R41" s="3284" t="s">
        <v>3022</v>
      </c>
      <c r="S41" s="3285">
        <f t="shared" si="10"/>
        <v>100</v>
      </c>
      <c r="T41" s="3284" t="s">
        <v>3022</v>
      </c>
      <c r="U41" s="3285">
        <f t="shared" si="11"/>
        <v>100</v>
      </c>
      <c r="V41" s="3284" t="s">
        <v>3022</v>
      </c>
      <c r="W41" s="3285">
        <f t="shared" si="12"/>
        <v>100</v>
      </c>
      <c r="X41" s="3215"/>
      <c r="Y41" s="3806"/>
      <c r="Z41" s="3286" t="str">
        <f t="shared" si="13"/>
        <v>宗地形状</v>
      </c>
      <c r="AA41" s="3287">
        <f t="shared" si="3"/>
        <v>1</v>
      </c>
      <c r="AB41" s="3287">
        <f t="shared" si="4"/>
        <v>1</v>
      </c>
      <c r="AC41" s="3287">
        <f t="shared" si="5"/>
        <v>1</v>
      </c>
    </row>
    <row r="42" spans="1:29" ht="20.25" hidden="1">
      <c r="A42" s="3343"/>
      <c r="B42" s="3344" t="s">
        <v>3048</v>
      </c>
      <c r="C42" s="3345"/>
      <c r="D42" s="3268">
        <v>100</v>
      </c>
      <c r="E42" s="3345"/>
      <c r="F42" s="3268">
        <f>SUMIF(123:123,E42,124:124)-SUMIF(123:123,C42,124:124)+100</f>
        <v>100</v>
      </c>
      <c r="G42" s="3345"/>
      <c r="H42" s="3268">
        <f>SUMIF(123:123,G42,124:124)-SUMIF(123:123,C42,124:124)+100</f>
        <v>100</v>
      </c>
      <c r="I42" s="3345"/>
      <c r="J42" s="3268">
        <f>SUMIF(123:123,I42,124:124)-SUMIF(123:123,C42,124:124)+100</f>
        <v>100</v>
      </c>
      <c r="K42" s="3321"/>
      <c r="L42" s="3271"/>
      <c r="M42" s="3201"/>
      <c r="N42" s="3201"/>
      <c r="O42" s="3260"/>
      <c r="P42" s="3806"/>
      <c r="Q42" s="3283" t="str">
        <f t="shared" si="14"/>
        <v>临街宽度及深度</v>
      </c>
      <c r="R42" s="3284" t="s">
        <v>3022</v>
      </c>
      <c r="S42" s="3285">
        <f t="shared" si="10"/>
        <v>100</v>
      </c>
      <c r="T42" s="3284" t="s">
        <v>3022</v>
      </c>
      <c r="U42" s="3285">
        <f t="shared" si="11"/>
        <v>100</v>
      </c>
      <c r="V42" s="3284" t="s">
        <v>3022</v>
      </c>
      <c r="W42" s="3285">
        <f t="shared" si="12"/>
        <v>100</v>
      </c>
      <c r="X42" s="3215"/>
      <c r="Y42" s="3806"/>
      <c r="Z42" s="3286" t="str">
        <f t="shared" si="13"/>
        <v>临街宽度及深度</v>
      </c>
      <c r="AA42" s="3287">
        <f t="shared" si="3"/>
        <v>1</v>
      </c>
      <c r="AB42" s="3287">
        <f t="shared" si="4"/>
        <v>1</v>
      </c>
      <c r="AC42" s="3287">
        <f t="shared" si="5"/>
        <v>1</v>
      </c>
    </row>
    <row r="43" spans="1:29" s="3233" customFormat="1" ht="20.25">
      <c r="A43" s="3346"/>
      <c r="B43" s="3347" t="s">
        <v>2423</v>
      </c>
      <c r="C43" s="3348" t="s">
        <v>3049</v>
      </c>
      <c r="D43" s="3248">
        <v>100</v>
      </c>
      <c r="E43" s="3348" t="s">
        <v>3049</v>
      </c>
      <c r="F43" s="3268">
        <f>SUMIF(125:125,E43,126:126)-SUMIF(125:125,C43,126:126)+100</f>
        <v>100</v>
      </c>
      <c r="G43" s="3348" t="s">
        <v>3049</v>
      </c>
      <c r="H43" s="3268">
        <f>SUMIF(125:125,G43,126:126)-SUMIF(125:125,C43,126:126)+100</f>
        <v>100</v>
      </c>
      <c r="I43" s="3348" t="s">
        <v>3049</v>
      </c>
      <c r="J43" s="3268">
        <f>SUMIF(125:125,I43,126:126)-SUMIF(125:125,C43,126:126)+100</f>
        <v>100</v>
      </c>
      <c r="K43" s="3321">
        <v>2</v>
      </c>
      <c r="L43" s="3227"/>
      <c r="M43" s="3201"/>
      <c r="N43" s="3201"/>
      <c r="O43" s="3243"/>
      <c r="P43" s="3806"/>
      <c r="Q43" s="3283" t="str">
        <f t="shared" si="14"/>
        <v>宗地开发程度</v>
      </c>
      <c r="R43" s="3229" t="s">
        <v>3022</v>
      </c>
      <c r="S43" s="3230">
        <f t="shared" si="10"/>
        <v>100</v>
      </c>
      <c r="T43" s="3229" t="s">
        <v>3022</v>
      </c>
      <c r="U43" s="3230">
        <f t="shared" si="11"/>
        <v>100</v>
      </c>
      <c r="V43" s="3229" t="s">
        <v>3022</v>
      </c>
      <c r="W43" s="3230">
        <f t="shared" si="12"/>
        <v>100</v>
      </c>
      <c r="X43" s="3231"/>
      <c r="Y43" s="3806"/>
      <c r="Z43" s="3245" t="str">
        <f t="shared" si="13"/>
        <v>宗地开发程度</v>
      </c>
      <c r="AA43" s="3232">
        <f t="shared" si="3"/>
        <v>1</v>
      </c>
      <c r="AB43" s="3232">
        <f t="shared" si="4"/>
        <v>1</v>
      </c>
      <c r="AC43" s="3232">
        <f t="shared" si="5"/>
        <v>1</v>
      </c>
    </row>
    <row r="44" spans="1:29" ht="21" thickBot="1">
      <c r="A44" s="3343"/>
      <c r="B44" s="3344" t="s">
        <v>3050</v>
      </c>
      <c r="C44" s="3345" t="s">
        <v>3035</v>
      </c>
      <c r="D44" s="3268">
        <v>100</v>
      </c>
      <c r="E44" s="3345" t="s">
        <v>3035</v>
      </c>
      <c r="F44" s="3268">
        <f>SUMIF(127:127,E44,128:128)-SUMIF(127:127,C44,128:128)+100</f>
        <v>100</v>
      </c>
      <c r="G44" s="3345" t="s">
        <v>3035</v>
      </c>
      <c r="H44" s="3268">
        <f>SUMIF(127:127,G44,128:128)-SUMIF(127:127,C44,128:128)+100</f>
        <v>100</v>
      </c>
      <c r="I44" s="3345" t="s">
        <v>3035</v>
      </c>
      <c r="J44" s="3268">
        <f>SUMIF(127:127,I44,128:128)-SUMIF(127:127,C44,128:128)+100</f>
        <v>100</v>
      </c>
      <c r="K44" s="3321">
        <v>2</v>
      </c>
      <c r="L44" s="3271"/>
      <c r="M44" s="3201"/>
      <c r="N44" s="3201"/>
      <c r="O44" s="3260"/>
      <c r="P44" s="3806" t="s">
        <v>3043</v>
      </c>
      <c r="Q44" s="3283" t="str">
        <f t="shared" si="14"/>
        <v>工程地质条件</v>
      </c>
      <c r="R44" s="3284" t="s">
        <v>3022</v>
      </c>
      <c r="S44" s="3285">
        <f t="shared" si="10"/>
        <v>100</v>
      </c>
      <c r="T44" s="3284" t="s">
        <v>3022</v>
      </c>
      <c r="U44" s="3285">
        <f t="shared" si="11"/>
        <v>100</v>
      </c>
      <c r="V44" s="3284" t="s">
        <v>3022</v>
      </c>
      <c r="W44" s="3285">
        <f t="shared" si="12"/>
        <v>100</v>
      </c>
      <c r="X44" s="3215"/>
      <c r="Y44" s="3806" t="s">
        <v>3043</v>
      </c>
      <c r="Z44" s="3286" t="str">
        <f t="shared" si="13"/>
        <v>工程地质条件</v>
      </c>
      <c r="AA44" s="3287">
        <f t="shared" si="3"/>
        <v>1</v>
      </c>
      <c r="AB44" s="3287">
        <f t="shared" si="4"/>
        <v>1</v>
      </c>
      <c r="AC44" s="3287">
        <f t="shared" si="5"/>
        <v>1</v>
      </c>
    </row>
    <row r="45" spans="1:29" ht="21" hidden="1" thickBot="1">
      <c r="A45" s="3343"/>
      <c r="B45" s="3349"/>
      <c r="C45" s="3270"/>
      <c r="D45" s="3268">
        <v>100</v>
      </c>
      <c r="E45" s="3270"/>
      <c r="F45" s="3268">
        <f>SUMIF(129:129,E45,130:130)-SUMIF(129:129,C45,130:130)+100</f>
        <v>100</v>
      </c>
      <c r="G45" s="3270"/>
      <c r="H45" s="3268">
        <f>SUMIF(129:129,G45,130:130)-SUMIF(129:129,C45,130:130)+100</f>
        <v>100</v>
      </c>
      <c r="I45" s="3269"/>
      <c r="J45" s="3268">
        <f>SUMIF(129:129,I45,130:130)-SUMIF(129:129,C45,130:130)+100</f>
        <v>100</v>
      </c>
      <c r="K45" s="3319"/>
      <c r="L45" s="3271"/>
      <c r="M45" s="3201"/>
      <c r="N45" s="3201"/>
      <c r="O45" s="3260"/>
      <c r="P45" s="3806"/>
      <c r="Q45" s="3283">
        <f t="shared" si="14"/>
        <v>0</v>
      </c>
      <c r="R45" s="3284" t="s">
        <v>3022</v>
      </c>
      <c r="S45" s="3285">
        <f t="shared" si="10"/>
        <v>100</v>
      </c>
      <c r="T45" s="3284" t="s">
        <v>3022</v>
      </c>
      <c r="U45" s="3285">
        <f t="shared" si="11"/>
        <v>100</v>
      </c>
      <c r="V45" s="3284" t="s">
        <v>3022</v>
      </c>
      <c r="W45" s="3285">
        <f t="shared" si="12"/>
        <v>100</v>
      </c>
      <c r="X45" s="3215"/>
      <c r="Y45" s="3806"/>
      <c r="Z45" s="3286">
        <f t="shared" si="13"/>
        <v>0</v>
      </c>
      <c r="AA45" s="3287">
        <f t="shared" si="3"/>
        <v>1</v>
      </c>
      <c r="AB45" s="3287">
        <f t="shared" si="4"/>
        <v>1</v>
      </c>
      <c r="AC45" s="3287">
        <f t="shared" si="5"/>
        <v>1</v>
      </c>
    </row>
    <row r="46" spans="1:29" ht="21" hidden="1" thickBot="1">
      <c r="A46" s="3343"/>
      <c r="B46" s="3349"/>
      <c r="C46" s="3270"/>
      <c r="D46" s="3268">
        <v>100</v>
      </c>
      <c r="E46" s="3270"/>
      <c r="F46" s="3268">
        <f>SUMIF(131:131,E46,132:132)-SUMIF(131:131,C46,132:132)+100</f>
        <v>100</v>
      </c>
      <c r="G46" s="3270"/>
      <c r="H46" s="3268">
        <f>SUMIF(131:131,G46,132:132)-SUMIF(131:131,C46,132:132)+100</f>
        <v>100</v>
      </c>
      <c r="I46" s="3269"/>
      <c r="J46" s="3268">
        <f>SUMIF(131:131,I46,132:132)-SUMIF(131:131,C46,132:132)+100</f>
        <v>100</v>
      </c>
      <c r="K46" s="3319"/>
      <c r="L46" s="3271"/>
      <c r="M46" s="3201"/>
      <c r="N46" s="3201"/>
      <c r="O46" s="3260"/>
      <c r="P46" s="3806"/>
      <c r="Q46" s="3283">
        <f t="shared" si="14"/>
        <v>0</v>
      </c>
      <c r="R46" s="3284" t="s">
        <v>3024</v>
      </c>
      <c r="S46" s="3285">
        <f t="shared" si="10"/>
        <v>100</v>
      </c>
      <c r="T46" s="3284" t="s">
        <v>3024</v>
      </c>
      <c r="U46" s="3285">
        <f t="shared" si="11"/>
        <v>100</v>
      </c>
      <c r="V46" s="3284" t="s">
        <v>3024</v>
      </c>
      <c r="W46" s="3285">
        <f t="shared" si="12"/>
        <v>100</v>
      </c>
      <c r="X46" s="3215"/>
      <c r="Y46" s="3806"/>
      <c r="Z46" s="3286">
        <f t="shared" si="13"/>
        <v>0</v>
      </c>
      <c r="AA46" s="3287">
        <f t="shared" si="3"/>
        <v>1</v>
      </c>
      <c r="AB46" s="3287">
        <f t="shared" si="4"/>
        <v>1</v>
      </c>
      <c r="AC46" s="3287">
        <f t="shared" si="5"/>
        <v>1</v>
      </c>
    </row>
    <row r="47" spans="1:29" s="3337" customFormat="1" ht="21" hidden="1" thickBot="1">
      <c r="A47" s="3350"/>
      <c r="B47" s="3349"/>
      <c r="C47" s="3351"/>
      <c r="D47" s="3352">
        <v>100</v>
      </c>
      <c r="E47" s="3270"/>
      <c r="F47" s="3275">
        <f>SUMIF(133:133,E47,134:134)-SUMIF(133:133,C47,134:134)+100</f>
        <v>100</v>
      </c>
      <c r="G47" s="3270"/>
      <c r="H47" s="3275">
        <f>SUMIF(133:133,G47,134:134)-SUMIF(133:133,C47,134:134)+100</f>
        <v>100</v>
      </c>
      <c r="I47" s="3270"/>
      <c r="J47" s="3275">
        <f>SUMIF(133:133,I47,134:134)-SUMIF(133:133,C47,134:134)+100</f>
        <v>100</v>
      </c>
      <c r="K47" s="3353"/>
      <c r="L47" s="3259"/>
      <c r="M47" s="3201"/>
      <c r="N47" s="3201"/>
      <c r="O47" s="3332"/>
      <c r="P47" s="3806"/>
      <c r="Q47" s="3283">
        <f t="shared" si="14"/>
        <v>0</v>
      </c>
      <c r="R47" s="3333" t="s">
        <v>3024</v>
      </c>
      <c r="S47" s="3334">
        <f t="shared" si="10"/>
        <v>100</v>
      </c>
      <c r="T47" s="3333" t="s">
        <v>3024</v>
      </c>
      <c r="U47" s="3334">
        <f t="shared" si="11"/>
        <v>100</v>
      </c>
      <c r="V47" s="3333" t="s">
        <v>3024</v>
      </c>
      <c r="W47" s="3334">
        <f t="shared" si="12"/>
        <v>100</v>
      </c>
      <c r="X47" s="3335"/>
      <c r="Y47" s="3806"/>
      <c r="Z47" s="3336">
        <f t="shared" si="13"/>
        <v>0</v>
      </c>
      <c r="AA47" s="3287">
        <f t="shared" si="3"/>
        <v>1</v>
      </c>
      <c r="AB47" s="3287">
        <f t="shared" si="4"/>
        <v>1</v>
      </c>
      <c r="AC47" s="3287">
        <f t="shared" si="5"/>
        <v>1</v>
      </c>
    </row>
    <row r="48" spans="1:29" ht="20.25">
      <c r="A48" s="3354" t="s">
        <v>556</v>
      </c>
      <c r="B48" s="3355" t="s">
        <v>3051</v>
      </c>
      <c r="C48" s="3356" t="s">
        <v>1764</v>
      </c>
      <c r="D48" s="3357"/>
      <c r="E48" s="3358">
        <f>[1]土地案例!L4</f>
        <v>2868</v>
      </c>
      <c r="F48" s="3359"/>
      <c r="G48" s="3360">
        <f>[1]土地案例!L5</f>
        <v>2620</v>
      </c>
      <c r="H48" s="3361"/>
      <c r="I48" s="3358">
        <f>[1]土地案例!L7</f>
        <v>2369</v>
      </c>
      <c r="J48" s="3361"/>
      <c r="K48" s="3362"/>
      <c r="L48" s="3363"/>
      <c r="M48" s="3201"/>
      <c r="N48" s="3201"/>
      <c r="O48" s="3364"/>
      <c r="P48" s="3798" t="str">
        <f>A48</f>
        <v>成交单价</v>
      </c>
      <c r="Q48" s="3798"/>
      <c r="R48" s="3807">
        <f>E48</f>
        <v>2868</v>
      </c>
      <c r="S48" s="3807"/>
      <c r="T48" s="3807">
        <f>G48</f>
        <v>2620</v>
      </c>
      <c r="U48" s="3807"/>
      <c r="V48" s="3807">
        <f>I48</f>
        <v>2369</v>
      </c>
      <c r="W48" s="3807"/>
      <c r="X48" s="3365"/>
      <c r="Y48" s="3366"/>
      <c r="Z48" s="3365"/>
      <c r="AA48" s="3365"/>
      <c r="AB48" s="3365"/>
      <c r="AC48" s="3365"/>
    </row>
    <row r="49" spans="1:29" ht="21" thickBot="1">
      <c r="A49" s="3367" t="s">
        <v>3052</v>
      </c>
      <c r="B49" s="3368"/>
      <c r="C49" s="3369">
        <f>R50</f>
        <v>1198</v>
      </c>
      <c r="D49" s="3370"/>
      <c r="E49" s="3369">
        <f>R49</f>
        <v>1287</v>
      </c>
      <c r="F49" s="3371"/>
      <c r="G49" s="3372">
        <f>T49</f>
        <v>1211</v>
      </c>
      <c r="H49" s="3370"/>
      <c r="I49" s="3369">
        <f>V49</f>
        <v>1095</v>
      </c>
      <c r="J49" s="3370"/>
      <c r="K49" s="3373"/>
      <c r="L49" s="3363"/>
      <c r="M49" s="3201"/>
      <c r="N49" s="3201"/>
      <c r="O49" s="3364"/>
      <c r="P49" s="3798" t="str">
        <f>A49</f>
        <v>比较价格（元/平方米）</v>
      </c>
      <c r="Q49" s="3798"/>
      <c r="R49" s="3799">
        <f>ROUND(PRODUCT(R48,AA9:AA47),0)</f>
        <v>1287</v>
      </c>
      <c r="S49" s="3799"/>
      <c r="T49" s="3799">
        <f>ROUND(PRODUCT(T48,AB9:AB47),0)</f>
        <v>1211</v>
      </c>
      <c r="U49" s="3799"/>
      <c r="V49" s="3799">
        <f>ROUND(PRODUCT(V48,AC9:AC47),0)</f>
        <v>1095</v>
      </c>
      <c r="W49" s="3799"/>
      <c r="X49" s="3365"/>
      <c r="Y49" s="3365"/>
      <c r="Z49" s="3365"/>
      <c r="AA49" s="3365"/>
      <c r="AB49" s="3365"/>
      <c r="AC49" s="3365"/>
    </row>
    <row r="50" spans="1:29" ht="21" thickBot="1">
      <c r="A50" s="3374" t="s">
        <v>3053</v>
      </c>
      <c r="B50" s="3375"/>
      <c r="C50" s="3376">
        <f>R50</f>
        <v>1198</v>
      </c>
      <c r="D50" s="3376"/>
      <c r="E50" s="3376"/>
      <c r="F50" s="3376"/>
      <c r="G50" s="3376"/>
      <c r="H50" s="3376"/>
      <c r="I50" s="3376"/>
      <c r="J50" s="3376"/>
      <c r="K50" s="3377"/>
      <c r="L50" s="3363"/>
      <c r="M50" s="3201"/>
      <c r="N50" s="3201"/>
      <c r="O50" s="3364"/>
      <c r="P50" s="3802" t="str">
        <f>A50</f>
        <v>估价对象XX用房的比较价格（楼面单价，元/平方米）</v>
      </c>
      <c r="Q50" s="3803"/>
      <c r="R50" s="3804">
        <f>ROUND(AVERAGE(R49:V49),0)</f>
        <v>1198</v>
      </c>
      <c r="S50" s="3804"/>
      <c r="T50" s="3804"/>
      <c r="U50" s="3804"/>
      <c r="V50" s="3804"/>
      <c r="W50" s="3804"/>
      <c r="X50" s="3365"/>
      <c r="Y50" s="3365"/>
      <c r="Z50" s="3365"/>
      <c r="AA50" s="3365"/>
      <c r="AB50" s="3365"/>
      <c r="AC50" s="3365"/>
    </row>
    <row r="51" spans="1:29" ht="20.25">
      <c r="A51" s="3364"/>
      <c r="B51" s="3364"/>
      <c r="C51" s="3364"/>
      <c r="D51" s="3364"/>
      <c r="E51" s="3364"/>
      <c r="F51" s="3364"/>
      <c r="G51" s="3378"/>
      <c r="H51" s="3364"/>
      <c r="I51" s="3364"/>
      <c r="J51" s="3364"/>
      <c r="K51" s="3379"/>
      <c r="L51" s="3380"/>
      <c r="M51" s="3201"/>
      <c r="N51" s="3201"/>
      <c r="O51" s="3364"/>
      <c r="P51" s="3365"/>
      <c r="Q51" s="3364"/>
      <c r="R51" s="3364"/>
      <c r="S51" s="3364"/>
      <c r="T51" s="3364"/>
      <c r="U51" s="3364"/>
      <c r="V51" s="3364"/>
      <c r="W51" s="3364"/>
      <c r="X51" s="3364"/>
      <c r="Y51" s="3364"/>
      <c r="Z51" s="3364"/>
      <c r="AA51" s="3364"/>
      <c r="AB51" s="3364"/>
      <c r="AC51" s="3364"/>
    </row>
    <row r="52" spans="1:29" ht="20.25">
      <c r="A52" s="3364"/>
      <c r="B52" s="3364"/>
      <c r="C52" s="3364"/>
      <c r="D52" s="3364"/>
      <c r="E52" s="3364"/>
      <c r="F52" s="3364"/>
      <c r="G52" s="3364"/>
      <c r="H52" s="3364"/>
      <c r="I52" s="3364"/>
      <c r="J52" s="3364"/>
      <c r="K52" s="3379"/>
      <c r="L52" s="3380"/>
      <c r="M52" s="3201"/>
      <c r="N52" s="3201"/>
      <c r="O52" s="3364"/>
      <c r="P52" s="3365"/>
      <c r="Q52" s="3364"/>
      <c r="R52" s="3364"/>
      <c r="S52" s="3364"/>
      <c r="T52" s="3364"/>
      <c r="U52" s="3364"/>
      <c r="V52" s="3364"/>
      <c r="W52" s="3364"/>
      <c r="X52" s="3364"/>
      <c r="Y52" s="3364"/>
      <c r="Z52" s="3364"/>
      <c r="AA52" s="3364"/>
      <c r="AB52" s="3364"/>
      <c r="AC52" s="3364"/>
    </row>
    <row r="53" spans="1:29" ht="13.5" customHeight="1">
      <c r="A53" s="3364"/>
      <c r="B53" s="3364"/>
      <c r="C53" s="3381" t="s">
        <v>3054</v>
      </c>
      <c r="D53" s="3382"/>
      <c r="E53" s="3383">
        <f>IF(E48&lt;E49,E49/E48-1,E48/E49-1)</f>
        <v>1.2284382284382285</v>
      </c>
      <c r="F53" s="3384" t="str">
        <f>IF(OR(E53&gt;=0.3,E53&lt;=-0.3),"超过30%","")</f>
        <v>超过30%</v>
      </c>
      <c r="G53" s="3383">
        <f>IF(G48&lt;G49,G49/G48-1,G48/G49-1)</f>
        <v>1.1635012386457473</v>
      </c>
      <c r="H53" s="3384" t="str">
        <f>IF(OR(G53&gt;=0.3,G53&lt;=-0.3),"超过30%","")</f>
        <v>超过30%</v>
      </c>
      <c r="I53" s="3383">
        <f>IF(I48&lt;I49,I49/I48-1,I48/I49-1)</f>
        <v>1.1634703196347034</v>
      </c>
      <c r="J53" s="3384" t="str">
        <f>IF(OR(I53&gt;=0.3,I53&lt;=-0.3),"超过30%","")</f>
        <v>超过30%</v>
      </c>
      <c r="K53" s="3379"/>
      <c r="L53" s="3380"/>
      <c r="M53" s="3201"/>
      <c r="N53" s="3201"/>
      <c r="O53" s="3364"/>
      <c r="P53" s="3365"/>
      <c r="Q53" s="3364"/>
      <c r="R53" s="3364"/>
      <c r="S53" s="3364"/>
      <c r="T53" s="3364"/>
      <c r="U53" s="3364"/>
      <c r="V53" s="3364"/>
      <c r="W53" s="3364"/>
      <c r="X53" s="3364"/>
      <c r="Y53" s="3364"/>
      <c r="Z53" s="3364"/>
      <c r="AA53" s="3364"/>
      <c r="AB53" s="3364"/>
      <c r="AC53" s="3364"/>
    </row>
    <row r="54" spans="1:29" ht="13.5" customHeight="1">
      <c r="A54" s="3364"/>
      <c r="B54" s="3364"/>
      <c r="C54" s="3381" t="s">
        <v>3055</v>
      </c>
      <c r="D54" s="3385"/>
      <c r="E54" s="3383">
        <f>IF(E49&lt;G49,G49/E49-1,E49/G49-1)</f>
        <v>6.2758051197357556E-2</v>
      </c>
      <c r="F54" s="3384" t="str">
        <f>IF(OR(E54&gt;=0.2,E54&lt;=-0.2),"超过20%","")</f>
        <v/>
      </c>
      <c r="G54" s="3383">
        <f>IF(G49&lt;I49,I49/G49-1,G49/I49-1)</f>
        <v>0.10593607305936081</v>
      </c>
      <c r="H54" s="3384" t="str">
        <f>IF(OR(G54&gt;=0.2,G54&lt;=-0.2),"超过20%","")</f>
        <v/>
      </c>
      <c r="I54" s="3383">
        <f>IF(I49&lt;E49,E49/I49-1,I49/E49-1)</f>
        <v>0.1753424657534246</v>
      </c>
      <c r="J54" s="3384" t="str">
        <f>IF(OR(I54&gt;=0.2,I54&lt;=-0.2),"超过20%","")</f>
        <v/>
      </c>
      <c r="K54" s="3379"/>
      <c r="L54" s="3380"/>
      <c r="M54" s="3201"/>
      <c r="N54" s="3201"/>
      <c r="O54" s="3364"/>
      <c r="P54" s="3365"/>
      <c r="Q54" s="3364"/>
      <c r="R54" s="3364"/>
      <c r="S54" s="3364"/>
      <c r="T54" s="3364"/>
      <c r="U54" s="3364"/>
      <c r="V54" s="3364"/>
      <c r="W54" s="3364"/>
      <c r="X54" s="3364"/>
      <c r="Y54" s="3364"/>
      <c r="Z54" s="3364"/>
      <c r="AA54" s="3364"/>
      <c r="AB54" s="3364"/>
      <c r="AC54" s="3364"/>
    </row>
    <row r="55" spans="1:29" s="3390" customFormat="1" ht="13.5" customHeight="1">
      <c r="A55" s="3386"/>
      <c r="B55" s="3386"/>
      <c r="C55" s="3381" t="s">
        <v>3056</v>
      </c>
      <c r="D55" s="3385"/>
      <c r="E55" s="3383">
        <f>IF(E48&lt;G48,G48/E48-1,E48/G48-1)</f>
        <v>9.4656488549618389E-2</v>
      </c>
      <c r="F55" s="3384" t="str">
        <f>IF(OR(E55&gt;=0.3,E55&lt;=-0.3),"超过30%","")</f>
        <v/>
      </c>
      <c r="G55" s="3383">
        <f>IF(G48&lt;I48,I48/G48-1,G48/I48-1)</f>
        <v>0.10595187842971709</v>
      </c>
      <c r="H55" s="3384" t="str">
        <f>IF(OR(G55&gt;=0.3,G55&lt;=-0.3),"超过30%","")</f>
        <v/>
      </c>
      <c r="I55" s="3383">
        <f>IF(I48&lt;E48,E48/I48-1,I48/E48-1)</f>
        <v>0.21063739974672857</v>
      </c>
      <c r="J55" s="3384" t="str">
        <f>IF(OR(I55&gt;=0.3,I55&lt;=-0.3),"超过30%","")</f>
        <v/>
      </c>
      <c r="K55" s="3387"/>
      <c r="L55" s="3388"/>
      <c r="M55" s="3201"/>
      <c r="N55" s="3201"/>
      <c r="O55" s="3386"/>
      <c r="P55" s="3389"/>
      <c r="Q55" s="3386"/>
      <c r="R55" s="3386"/>
      <c r="S55" s="3386"/>
      <c r="T55" s="3386"/>
      <c r="U55" s="3386"/>
      <c r="V55" s="3386"/>
      <c r="W55" s="3386"/>
      <c r="X55" s="3386"/>
      <c r="Y55" s="3386"/>
      <c r="Z55" s="3386"/>
      <c r="AA55" s="3386"/>
      <c r="AB55" s="3386"/>
      <c r="AC55" s="3386"/>
    </row>
    <row r="56" spans="1:29" s="3390" customFormat="1" ht="21" thickBot="1">
      <c r="A56" s="3386"/>
      <c r="B56" s="3391"/>
      <c r="C56" s="3392"/>
      <c r="D56" s="3386"/>
      <c r="E56" s="3386"/>
      <c r="F56" s="3386"/>
      <c r="G56" s="3386"/>
      <c r="H56" s="3386"/>
      <c r="I56" s="3386"/>
      <c r="J56" s="3386"/>
      <c r="K56" s="3387"/>
      <c r="L56" s="3388"/>
      <c r="M56" s="3201"/>
      <c r="N56" s="3201"/>
      <c r="O56" s="3386"/>
      <c r="P56" s="3389"/>
      <c r="Q56" s="3386"/>
      <c r="R56" s="3386"/>
      <c r="S56" s="3386"/>
      <c r="T56" s="3386"/>
      <c r="U56" s="3386"/>
      <c r="V56" s="3386"/>
      <c r="W56" s="3386"/>
      <c r="X56" s="3386"/>
      <c r="Y56" s="3386"/>
      <c r="Z56" s="3386"/>
      <c r="AA56" s="3386"/>
      <c r="AB56" s="3386"/>
      <c r="AC56" s="3386"/>
    </row>
    <row r="57" spans="1:29" ht="26.25" customHeight="1">
      <c r="A57" s="3393" t="s">
        <v>3057</v>
      </c>
      <c r="B57" s="3394" t="s">
        <v>3058</v>
      </c>
      <c r="C57" s="3395" t="s">
        <v>1724</v>
      </c>
      <c r="D57" s="3396" t="s">
        <v>3059</v>
      </c>
      <c r="E57" s="3397" t="s">
        <v>3060</v>
      </c>
      <c r="F57" s="3398" t="s">
        <v>3061</v>
      </c>
      <c r="G57" s="3793" t="s">
        <v>3062</v>
      </c>
      <c r="H57" s="3794"/>
      <c r="I57" s="3399" t="s">
        <v>3063</v>
      </c>
      <c r="J57" s="3399" t="str">
        <f>[1]项目基本情况!F41</f>
        <v>贵州省贵阳市</v>
      </c>
      <c r="K57" s="3400" t="s">
        <v>3064</v>
      </c>
      <c r="L57" s="3380"/>
      <c r="M57" s="3364"/>
      <c r="N57" s="3364"/>
      <c r="O57" s="3364"/>
      <c r="P57" s="3364"/>
      <c r="Q57" s="3364"/>
      <c r="R57" s="3364"/>
      <c r="S57" s="3364"/>
      <c r="T57" s="3364"/>
      <c r="U57" s="3364"/>
      <c r="V57" s="3364"/>
      <c r="W57" s="3364"/>
      <c r="X57" s="3364"/>
      <c r="Y57" s="3364"/>
      <c r="Z57" s="3364"/>
      <c r="AA57" s="3364"/>
      <c r="AB57" s="3364"/>
      <c r="AC57" s="3364"/>
    </row>
    <row r="58" spans="1:29" s="3406" customFormat="1" ht="12.75">
      <c r="A58" s="3401" t="s">
        <v>3065</v>
      </c>
      <c r="B58" s="633">
        <f>C50</f>
        <v>1198</v>
      </c>
      <c r="C58" s="3402">
        <v>1</v>
      </c>
      <c r="D58" s="3403">
        <v>1</v>
      </c>
      <c r="E58" s="3402">
        <f>'[1]数据-汇总表'!E8+'[1]数据-汇总表'!E9</f>
        <v>126262.9</v>
      </c>
      <c r="F58" s="635">
        <f t="shared" ref="F58:F67" si="15">ROUND(B58*E58/10000,0)</f>
        <v>15126</v>
      </c>
      <c r="G58" s="3795"/>
      <c r="H58" s="3796"/>
      <c r="I58" s="3404">
        <v>1</v>
      </c>
      <c r="J58" s="3404">
        <v>1</v>
      </c>
      <c r="K58" s="3405"/>
      <c r="L58" s="3405"/>
      <c r="M58" s="3405"/>
      <c r="N58" s="3405"/>
      <c r="O58" s="3405"/>
      <c r="P58" s="3405"/>
      <c r="Q58" s="3405"/>
      <c r="R58" s="3405"/>
      <c r="S58" s="3405"/>
      <c r="T58" s="3405"/>
      <c r="U58" s="3405"/>
      <c r="V58" s="3405"/>
      <c r="W58" s="3405"/>
      <c r="X58" s="3405"/>
      <c r="Y58" s="3405"/>
      <c r="Z58" s="3405"/>
      <c r="AA58" s="3405"/>
      <c r="AB58" s="3405"/>
      <c r="AC58" s="3405"/>
    </row>
    <row r="59" spans="1:29" s="3406" customFormat="1" ht="12.75">
      <c r="A59" s="636" t="s">
        <v>3066</v>
      </c>
      <c r="B59" s="637" t="e">
        <f>ROUND($C$50*C59*D59,0)</f>
        <v>#VALUE!</v>
      </c>
      <c r="C59" s="3407" t="e">
        <f t="shared" ref="C59:C67" si="16">IF($C$57="北京市系数",I59,J59)</f>
        <v>#VALUE!</v>
      </c>
      <c r="D59" s="3408">
        <v>0.25</v>
      </c>
      <c r="E59" s="638">
        <v>0</v>
      </c>
      <c r="F59" s="635" t="e">
        <f t="shared" si="15"/>
        <v>#VALUE!</v>
      </c>
      <c r="G59" s="3797" t="s">
        <v>3067</v>
      </c>
      <c r="H59" s="3409">
        <f>[1]项目基本情况!B43</f>
        <v>0</v>
      </c>
      <c r="I59" s="3404" t="e">
        <f>SUMIF([1]修正!$A$45:$A$56,H59,[1]修正!B45:B56)</f>
        <v>#VALUE!</v>
      </c>
      <c r="J59" s="3410"/>
      <c r="K59" s="3405"/>
      <c r="L59" s="3405"/>
      <c r="M59" s="3405"/>
      <c r="N59" s="3405"/>
      <c r="O59" s="3405"/>
      <c r="P59" s="3405"/>
      <c r="Q59" s="3405"/>
      <c r="R59" s="3405"/>
      <c r="S59" s="3405"/>
      <c r="T59" s="3405"/>
      <c r="U59" s="3405"/>
      <c r="V59" s="3405"/>
      <c r="W59" s="3405"/>
      <c r="X59" s="3405"/>
      <c r="Y59" s="3405"/>
      <c r="Z59" s="3405"/>
      <c r="AA59" s="3405"/>
      <c r="AB59" s="3405"/>
      <c r="AC59" s="3405"/>
    </row>
    <row r="60" spans="1:29" s="3406" customFormat="1" ht="12.75">
      <c r="A60" s="636" t="s">
        <v>3068</v>
      </c>
      <c r="B60" s="637" t="e">
        <f t="shared" ref="B60:B67" si="17">ROUND($C$50*C60*D60,0)</f>
        <v>#VALUE!</v>
      </c>
      <c r="C60" s="3407" t="e">
        <f t="shared" si="16"/>
        <v>#VALUE!</v>
      </c>
      <c r="D60" s="3408">
        <v>0.25</v>
      </c>
      <c r="E60" s="638">
        <v>0</v>
      </c>
      <c r="F60" s="635" t="e">
        <f t="shared" si="15"/>
        <v>#VALUE!</v>
      </c>
      <c r="G60" s="3797"/>
      <c r="H60" s="3409">
        <f>[1]项目基本情况!B43</f>
        <v>0</v>
      </c>
      <c r="I60" s="3404" t="e">
        <f>SUMIF([1]修正!$A$45:$A$56,H60,[1]修正!C45:C56)</f>
        <v>#VALUE!</v>
      </c>
      <c r="J60" s="3410"/>
      <c r="K60" s="3405"/>
      <c r="L60" s="3405"/>
      <c r="M60" s="3405"/>
      <c r="N60" s="3405"/>
      <c r="O60" s="3405"/>
      <c r="P60" s="3405"/>
      <c r="Q60" s="3405"/>
      <c r="R60" s="3405"/>
      <c r="S60" s="3405"/>
      <c r="T60" s="3405"/>
      <c r="U60" s="3405"/>
      <c r="V60" s="3405"/>
      <c r="W60" s="3405"/>
      <c r="X60" s="3405"/>
      <c r="Y60" s="3405"/>
      <c r="Z60" s="3405"/>
      <c r="AA60" s="3405"/>
      <c r="AB60" s="3405"/>
      <c r="AC60" s="3405"/>
    </row>
    <row r="61" spans="1:29" s="3406" customFormat="1" ht="12.75">
      <c r="A61" s="636" t="s">
        <v>3069</v>
      </c>
      <c r="B61" s="637" t="e">
        <f t="shared" si="17"/>
        <v>#VALUE!</v>
      </c>
      <c r="C61" s="3407" t="e">
        <f t="shared" si="16"/>
        <v>#VALUE!</v>
      </c>
      <c r="D61" s="3408">
        <v>0.25</v>
      </c>
      <c r="E61" s="638">
        <v>0</v>
      </c>
      <c r="F61" s="635" t="e">
        <f t="shared" si="15"/>
        <v>#VALUE!</v>
      </c>
      <c r="G61" s="3797"/>
      <c r="H61" s="3409">
        <f>[1]项目基本情况!B43</f>
        <v>0</v>
      </c>
      <c r="I61" s="3404" t="e">
        <f>SUMIF([1]修正!$A$45:$A$56,H61,[1]修正!D45:D56)</f>
        <v>#VALUE!</v>
      </c>
      <c r="J61" s="3410"/>
      <c r="K61" s="3405"/>
      <c r="L61" s="3405"/>
      <c r="M61" s="3405"/>
      <c r="N61" s="3405"/>
      <c r="O61" s="3405"/>
      <c r="P61" s="3405"/>
      <c r="Q61" s="3405"/>
      <c r="R61" s="3405"/>
      <c r="S61" s="3405"/>
      <c r="T61" s="3405"/>
      <c r="U61" s="3405"/>
      <c r="V61" s="3405"/>
      <c r="W61" s="3405"/>
      <c r="X61" s="3405"/>
      <c r="Y61" s="3405"/>
      <c r="Z61" s="3405"/>
      <c r="AA61" s="3405"/>
      <c r="AB61" s="3405"/>
      <c r="AC61" s="3405"/>
    </row>
    <row r="62" spans="1:29" s="3406" customFormat="1" ht="12.75">
      <c r="A62" s="636" t="s">
        <v>3070</v>
      </c>
      <c r="B62" s="637" t="e">
        <f t="shared" si="17"/>
        <v>#VALUE!</v>
      </c>
      <c r="C62" s="3407" t="e">
        <f t="shared" si="16"/>
        <v>#VALUE!</v>
      </c>
      <c r="D62" s="3408">
        <v>0.25</v>
      </c>
      <c r="E62" s="638">
        <v>0</v>
      </c>
      <c r="F62" s="635" t="e">
        <f t="shared" si="15"/>
        <v>#VALUE!</v>
      </c>
      <c r="G62" s="3797"/>
      <c r="H62" s="3409">
        <f>[1]项目基本情况!B43</f>
        <v>0</v>
      </c>
      <c r="I62" s="3404" t="e">
        <f>SUMIF([1]修正!$A$45:$A$56,H62,[1]修正!E45:E56)</f>
        <v>#VALUE!</v>
      </c>
      <c r="J62" s="3410"/>
      <c r="K62" s="3405"/>
      <c r="L62" s="3405"/>
      <c r="M62" s="3405"/>
      <c r="N62" s="3405"/>
      <c r="O62" s="3405"/>
      <c r="P62" s="3405"/>
      <c r="Q62" s="3405"/>
      <c r="R62" s="3405"/>
      <c r="S62" s="3405"/>
      <c r="T62" s="3405"/>
      <c r="U62" s="3405"/>
      <c r="V62" s="3405"/>
      <c r="W62" s="3405"/>
      <c r="X62" s="3405"/>
      <c r="Y62" s="3405"/>
      <c r="Z62" s="3405"/>
      <c r="AA62" s="3405"/>
      <c r="AB62" s="3405"/>
      <c r="AC62" s="3405"/>
    </row>
    <row r="63" spans="1:29" s="3406" customFormat="1" ht="12.75">
      <c r="A63" s="2331" t="s">
        <v>3071</v>
      </c>
      <c r="B63" s="637" t="e">
        <f t="shared" si="17"/>
        <v>#VALUE!</v>
      </c>
      <c r="C63" s="3407" t="e">
        <f t="shared" si="16"/>
        <v>#VALUE!</v>
      </c>
      <c r="D63" s="3408">
        <v>0.25</v>
      </c>
      <c r="E63" s="640">
        <f>'[1]数据-汇总表'!E11</f>
        <v>0</v>
      </c>
      <c r="F63" s="635" t="e">
        <f t="shared" si="15"/>
        <v>#VALUE!</v>
      </c>
      <c r="G63" s="3411" t="s">
        <v>3072</v>
      </c>
      <c r="H63" s="3409">
        <f>[1]项目基本情况!C43</f>
        <v>0</v>
      </c>
      <c r="I63" s="3404" t="e">
        <f>SUMIF([1]修正!$A$45:$A$56,H63,[1]修正!F45:F56)</f>
        <v>#VALUE!</v>
      </c>
      <c r="J63" s="3410"/>
      <c r="K63" s="3405"/>
      <c r="L63" s="3405"/>
      <c r="M63" s="3405"/>
      <c r="N63" s="3405"/>
      <c r="O63" s="3405"/>
      <c r="P63" s="3405"/>
      <c r="Q63" s="3405"/>
      <c r="R63" s="3405"/>
      <c r="S63" s="3405"/>
      <c r="T63" s="3405"/>
      <c r="U63" s="3405"/>
      <c r="V63" s="3405"/>
      <c r="W63" s="3405"/>
      <c r="X63" s="3405"/>
      <c r="Y63" s="3405"/>
      <c r="Z63" s="3405"/>
      <c r="AA63" s="3405"/>
      <c r="AB63" s="3405"/>
      <c r="AC63" s="3405"/>
    </row>
    <row r="64" spans="1:29" s="3406" customFormat="1" ht="12.75">
      <c r="A64" s="636" t="s">
        <v>3073</v>
      </c>
      <c r="B64" s="637" t="e">
        <f t="shared" si="17"/>
        <v>#VALUE!</v>
      </c>
      <c r="C64" s="3407" t="e">
        <f t="shared" si="16"/>
        <v>#VALUE!</v>
      </c>
      <c r="D64" s="3408">
        <v>0.25</v>
      </c>
      <c r="E64" s="640">
        <f>'[1]数据-汇总表'!E12</f>
        <v>0</v>
      </c>
      <c r="F64" s="635" t="e">
        <f t="shared" si="15"/>
        <v>#VALUE!</v>
      </c>
      <c r="G64" s="3412" t="s">
        <v>1677</v>
      </c>
      <c r="H64" s="3413">
        <f>IF(G64="商业",[1]项目基本情况!B43,IF(G64="办公",[1]项目基本情况!C43,IF(G64="住宅",[1]项目基本情况!D43,[1]项目基本情况!E43)))</f>
        <v>0</v>
      </c>
      <c r="I64" s="3404" t="e">
        <f>SUMIF([1]修正!$A$45:$A$56,H64,[1]修正!G45:G56)</f>
        <v>#VALUE!</v>
      </c>
      <c r="J64" s="3410"/>
      <c r="K64" s="3405"/>
      <c r="L64" s="3405"/>
      <c r="M64" s="3405"/>
      <c r="N64" s="3405"/>
      <c r="O64" s="3405"/>
      <c r="P64" s="3405"/>
      <c r="Q64" s="3405"/>
      <c r="R64" s="3405"/>
      <c r="S64" s="3405"/>
      <c r="T64" s="3405"/>
      <c r="U64" s="3405"/>
      <c r="V64" s="3405"/>
      <c r="W64" s="3405"/>
      <c r="X64" s="3405"/>
      <c r="Y64" s="3405"/>
      <c r="Z64" s="3405"/>
      <c r="AA64" s="3405"/>
      <c r="AB64" s="3405"/>
      <c r="AC64" s="3405"/>
    </row>
    <row r="65" spans="1:29" s="3406" customFormat="1" ht="12.75">
      <c r="A65" s="636" t="s">
        <v>3074</v>
      </c>
      <c r="B65" s="637" t="e">
        <f t="shared" si="17"/>
        <v>#VALUE!</v>
      </c>
      <c r="C65" s="3407" t="e">
        <f t="shared" si="16"/>
        <v>#VALUE!</v>
      </c>
      <c r="D65" s="3408">
        <v>0.25</v>
      </c>
      <c r="E65" s="640">
        <f>'[1]数据-汇总表'!E13</f>
        <v>0</v>
      </c>
      <c r="F65" s="635" t="e">
        <f t="shared" si="15"/>
        <v>#VALUE!</v>
      </c>
      <c r="G65" s="3412" t="s">
        <v>922</v>
      </c>
      <c r="H65" s="3413">
        <f>IF(G65="商业",[1]项目基本情况!B43,IF(G65="办公",[1]项目基本情况!C43,IF(G65="住宅",[1]项目基本情况!D43,[1]项目基本情况!E43)))</f>
        <v>0</v>
      </c>
      <c r="I65" s="3404" t="e">
        <f>SUMIF([1]修正!$A$45:$A$56,H65,[1]修正!H45:H56)</f>
        <v>#VALUE!</v>
      </c>
      <c r="J65" s="3410"/>
      <c r="K65" s="3405"/>
      <c r="L65" s="3405"/>
      <c r="M65" s="3405"/>
      <c r="N65" s="3405"/>
      <c r="O65" s="3405"/>
      <c r="P65" s="3405"/>
      <c r="Q65" s="3405"/>
      <c r="R65" s="3405"/>
      <c r="S65" s="3405"/>
      <c r="T65" s="3405"/>
      <c r="U65" s="3405"/>
      <c r="V65" s="3405"/>
      <c r="W65" s="3405"/>
      <c r="X65" s="3405"/>
      <c r="Y65" s="3405"/>
      <c r="Z65" s="3405"/>
      <c r="AA65" s="3405"/>
      <c r="AB65" s="3405"/>
      <c r="AC65" s="3405"/>
    </row>
    <row r="66" spans="1:29" s="3406" customFormat="1" ht="12.75">
      <c r="A66" s="636" t="s">
        <v>3075</v>
      </c>
      <c r="B66" s="637" t="e">
        <f t="shared" si="17"/>
        <v>#VALUE!</v>
      </c>
      <c r="C66" s="3407" t="e">
        <f t="shared" si="16"/>
        <v>#VALUE!</v>
      </c>
      <c r="D66" s="3408">
        <v>0.25</v>
      </c>
      <c r="E66" s="640">
        <f>'[1]数据-汇总表'!E14</f>
        <v>0</v>
      </c>
      <c r="F66" s="635" t="e">
        <f t="shared" si="15"/>
        <v>#VALUE!</v>
      </c>
      <c r="G66" s="3411" t="s">
        <v>3076</v>
      </c>
      <c r="H66" s="3409">
        <f>[1]项目基本情况!B43</f>
        <v>0</v>
      </c>
      <c r="I66" s="3404" t="e">
        <f>SUMIF([1]修正!$A$45:$A$56,H66,[1]修正!H45:H56)</f>
        <v>#VALUE!</v>
      </c>
      <c r="J66" s="3410"/>
      <c r="K66" s="3405"/>
      <c r="L66" s="3405"/>
      <c r="M66" s="3405"/>
      <c r="N66" s="3405"/>
      <c r="O66" s="3405"/>
      <c r="P66" s="3405"/>
      <c r="Q66" s="3405"/>
      <c r="R66" s="3405"/>
      <c r="S66" s="3405"/>
      <c r="T66" s="3405"/>
      <c r="U66" s="3405"/>
      <c r="V66" s="3405"/>
      <c r="W66" s="3405"/>
      <c r="X66" s="3405"/>
      <c r="Y66" s="3405"/>
      <c r="Z66" s="3405"/>
      <c r="AA66" s="3405"/>
      <c r="AB66" s="3405"/>
      <c r="AC66" s="3405"/>
    </row>
    <row r="67" spans="1:29" s="3406" customFormat="1" ht="13.5" thickBot="1">
      <c r="A67" s="636" t="s">
        <v>3077</v>
      </c>
      <c r="B67" s="637" t="e">
        <f t="shared" si="17"/>
        <v>#VALUE!</v>
      </c>
      <c r="C67" s="3407" t="e">
        <f t="shared" si="16"/>
        <v>#VALUE!</v>
      </c>
      <c r="D67" s="3408">
        <v>0.25</v>
      </c>
      <c r="E67" s="640">
        <f>'[1]数据-汇总表'!E15</f>
        <v>0</v>
      </c>
      <c r="F67" s="635" t="e">
        <f t="shared" si="15"/>
        <v>#VALUE!</v>
      </c>
      <c r="G67" s="3414" t="s">
        <v>3078</v>
      </c>
      <c r="H67" s="3415">
        <f>[1]项目基本情况!C43</f>
        <v>0</v>
      </c>
      <c r="I67" s="3404" t="e">
        <f>SUMIF([1]修正!$A$45:$A$56,H67,[1]修正!H45:H56)</f>
        <v>#VALUE!</v>
      </c>
      <c r="J67" s="3410"/>
      <c r="K67" s="3405"/>
      <c r="L67" s="3405"/>
      <c r="M67" s="3405"/>
      <c r="N67" s="3405"/>
      <c r="O67" s="3405"/>
      <c r="P67" s="3405"/>
      <c r="Q67" s="3405"/>
      <c r="R67" s="3405"/>
      <c r="S67" s="3405"/>
      <c r="T67" s="3405"/>
      <c r="U67" s="3405"/>
      <c r="V67" s="3405"/>
      <c r="W67" s="3405"/>
      <c r="X67" s="3405"/>
      <c r="Y67" s="3405"/>
      <c r="Z67" s="3405"/>
      <c r="AA67" s="3405"/>
      <c r="AB67" s="3405"/>
      <c r="AC67" s="3405"/>
    </row>
    <row r="68" spans="1:29" s="3406" customFormat="1" ht="13.5" thickBot="1">
      <c r="A68" s="641" t="s">
        <v>3079</v>
      </c>
      <c r="B68" s="3416" t="s">
        <v>3080</v>
      </c>
      <c r="C68" s="3416" t="s">
        <v>3080</v>
      </c>
      <c r="D68" s="3416" t="s">
        <v>3080</v>
      </c>
      <c r="E68" s="3416">
        <f>IF(B48="楼面地价",SUM(E58:E67),'[1]数据-汇总表'!D3)</f>
        <v>126262.9</v>
      </c>
      <c r="F68" s="3417" t="e">
        <f>IF(B48="楼面地价",SUM(F58:F67),ROUND(C50*E68/10000,0))</f>
        <v>#VALUE!</v>
      </c>
      <c r="G68" s="3418"/>
      <c r="H68" s="3418"/>
      <c r="I68" s="3418"/>
      <c r="J68" s="3418"/>
      <c r="K68" s="3418"/>
      <c r="L68" s="3405"/>
      <c r="M68" s="3405"/>
      <c r="N68" s="3405"/>
      <c r="O68" s="3405"/>
      <c r="P68" s="3405"/>
      <c r="Q68" s="3405"/>
      <c r="R68" s="3405"/>
      <c r="S68" s="3405"/>
      <c r="T68" s="3405"/>
      <c r="U68" s="3405"/>
      <c r="V68" s="3405"/>
      <c r="W68" s="3405"/>
      <c r="X68" s="3405"/>
      <c r="Y68" s="3405"/>
      <c r="Z68" s="3405"/>
      <c r="AA68" s="3405"/>
      <c r="AB68" s="3405"/>
      <c r="AC68" s="3405"/>
    </row>
    <row r="69" spans="1:29">
      <c r="A69" s="3364"/>
      <c r="B69" s="3391"/>
      <c r="C69" s="3392"/>
      <c r="D69" s="3364"/>
      <c r="E69" s="3364"/>
      <c r="F69" s="3364"/>
      <c r="G69" s="3364"/>
      <c r="H69" s="3364"/>
      <c r="I69" s="3364"/>
      <c r="J69" s="3364"/>
      <c r="K69" s="3379"/>
      <c r="L69" s="3380"/>
      <c r="M69" s="3364"/>
      <c r="N69" s="3364"/>
      <c r="O69" s="3364"/>
      <c r="P69" s="3364"/>
      <c r="Q69" s="3364"/>
      <c r="R69" s="3364"/>
      <c r="S69" s="3364"/>
      <c r="T69" s="3364"/>
      <c r="U69" s="3364"/>
      <c r="V69" s="3364"/>
      <c r="W69" s="3364"/>
      <c r="X69" s="3364"/>
      <c r="Y69" s="3364"/>
      <c r="Z69" s="3364"/>
      <c r="AA69" s="3364"/>
      <c r="AB69" s="3364"/>
      <c r="AC69" s="3364"/>
    </row>
    <row r="70" spans="1:29">
      <c r="A70" s="3364"/>
      <c r="B70" s="3391"/>
      <c r="C70" s="3419" t="str">
        <f>YEAR(C9)&amp;"-"&amp;MONTH(C9)&amp;"-1"</f>
        <v>2018-4-1</v>
      </c>
      <c r="D70" s="3419">
        <f>EDATE(C70,-3)</f>
        <v>43101</v>
      </c>
      <c r="E70" s="3419">
        <f t="shared" ref="E70:N70" si="18">EDATE(D70,-3)</f>
        <v>43009</v>
      </c>
      <c r="F70" s="3419">
        <f t="shared" si="18"/>
        <v>42917</v>
      </c>
      <c r="G70" s="3419">
        <f t="shared" si="18"/>
        <v>42826</v>
      </c>
      <c r="H70" s="3419">
        <f t="shared" si="18"/>
        <v>42736</v>
      </c>
      <c r="I70" s="3419">
        <f t="shared" si="18"/>
        <v>42644</v>
      </c>
      <c r="J70" s="3419">
        <f t="shared" si="18"/>
        <v>42552</v>
      </c>
      <c r="K70" s="3419">
        <f t="shared" si="18"/>
        <v>42461</v>
      </c>
      <c r="L70" s="3419">
        <f t="shared" si="18"/>
        <v>42370</v>
      </c>
      <c r="M70" s="3419">
        <f t="shared" si="18"/>
        <v>42278</v>
      </c>
      <c r="N70" s="3419">
        <f t="shared" si="18"/>
        <v>42186</v>
      </c>
      <c r="O70" s="3364"/>
      <c r="P70" s="3364"/>
      <c r="Q70" s="3364"/>
      <c r="R70" s="3364"/>
      <c r="S70" s="3364"/>
      <c r="T70" s="3364"/>
      <c r="U70" s="3364"/>
      <c r="V70" s="3364"/>
      <c r="W70" s="3364"/>
      <c r="X70" s="3364"/>
      <c r="Y70" s="3364"/>
      <c r="Z70" s="3364"/>
      <c r="AA70" s="3364"/>
      <c r="AB70" s="3364"/>
      <c r="AC70" s="3364"/>
    </row>
    <row r="71" spans="1:29" ht="21.75" thickBot="1">
      <c r="A71" s="3420" t="s">
        <v>3081</v>
      </c>
      <c r="B71" s="3365"/>
      <c r="C71" s="3421"/>
      <c r="D71" s="3421"/>
      <c r="E71" s="3421"/>
      <c r="F71" s="3422"/>
      <c r="G71" s="3422"/>
      <c r="H71" s="3421"/>
      <c r="I71" s="3421"/>
      <c r="J71" s="3421"/>
      <c r="K71" s="3423"/>
      <c r="L71" s="3424"/>
      <c r="M71" s="3421"/>
      <c r="N71" s="3421"/>
      <c r="O71" s="3425"/>
      <c r="P71" s="3425"/>
      <c r="Q71" s="3426"/>
      <c r="R71" s="3364"/>
      <c r="S71" s="3364"/>
      <c r="T71" s="3364"/>
      <c r="U71" s="3364"/>
      <c r="V71" s="3364"/>
      <c r="W71" s="3364"/>
      <c r="X71" s="3364"/>
      <c r="Y71" s="3364"/>
      <c r="Z71" s="3364"/>
      <c r="AA71" s="3364"/>
      <c r="AB71" s="3364"/>
      <c r="AC71" s="3364"/>
    </row>
    <row r="72" spans="1:29" s="3433" customFormat="1" ht="15">
      <c r="A72" s="3427" t="s">
        <v>3082</v>
      </c>
      <c r="B72" s="3428"/>
      <c r="C72" s="3429" t="str">
        <f>YEAR(C70)&amp;"-"&amp;ROUNDUP(MONTH(C70)/3,0)</f>
        <v>2018-2</v>
      </c>
      <c r="D72" s="3429" t="str">
        <f>YEAR(D70)&amp;"-"&amp;ROUNDUP(MONTH(D70)/3,0)</f>
        <v>2018-1</v>
      </c>
      <c r="E72" s="3429" t="str">
        <f t="shared" ref="E72:N72" si="19">YEAR(E70)&amp;"-"&amp;ROUNDUP(MONTH(E70)/3,0)</f>
        <v>2017-4</v>
      </c>
      <c r="F72" s="3429" t="str">
        <f t="shared" si="19"/>
        <v>2017-3</v>
      </c>
      <c r="G72" s="3429" t="str">
        <f t="shared" si="19"/>
        <v>2017-2</v>
      </c>
      <c r="H72" s="3429" t="str">
        <f t="shared" si="19"/>
        <v>2017-1</v>
      </c>
      <c r="I72" s="3429" t="str">
        <f t="shared" si="19"/>
        <v>2016-4</v>
      </c>
      <c r="J72" s="3429" t="str">
        <f t="shared" si="19"/>
        <v>2016-3</v>
      </c>
      <c r="K72" s="3429" t="str">
        <f t="shared" si="19"/>
        <v>2016-2</v>
      </c>
      <c r="L72" s="3429" t="str">
        <f t="shared" si="19"/>
        <v>2016-1</v>
      </c>
      <c r="M72" s="3429" t="str">
        <f t="shared" si="19"/>
        <v>2015-4</v>
      </c>
      <c r="N72" s="3429" t="str">
        <f t="shared" si="19"/>
        <v>2015-3</v>
      </c>
      <c r="O72" s="3430"/>
      <c r="P72" s="3431"/>
      <c r="Q72" s="3432"/>
      <c r="R72" s="3432"/>
      <c r="S72" s="3432"/>
      <c r="T72" s="3432"/>
      <c r="U72" s="3432"/>
      <c r="V72" s="3432"/>
      <c r="W72" s="3432"/>
      <c r="X72" s="3432"/>
      <c r="Y72" s="3432"/>
      <c r="Z72" s="3432"/>
      <c r="AA72" s="3432"/>
      <c r="AB72" s="3432"/>
      <c r="AC72" s="3432"/>
    </row>
    <row r="73" spans="1:29" s="3233" customFormat="1" ht="27" customHeight="1">
      <c r="A73" s="3434" t="s">
        <v>2645</v>
      </c>
      <c r="B73" s="3435" t="e">
        <f>"北京市平均增长率"&amp;TEXT(SUMIF([1]基准地价!N21:N25,A73,[1]基准地价!P21:P25),"0.00%")</f>
        <v>#VALUE!</v>
      </c>
      <c r="C73" s="3436">
        <v>100</v>
      </c>
      <c r="D73" s="3437">
        <f>C73-$C$74</f>
        <v>100</v>
      </c>
      <c r="E73" s="3437">
        <f t="shared" ref="E73:N73" si="20">D73-$C$74</f>
        <v>100</v>
      </c>
      <c r="F73" s="3437">
        <f t="shared" si="20"/>
        <v>100</v>
      </c>
      <c r="G73" s="3437">
        <f t="shared" si="20"/>
        <v>100</v>
      </c>
      <c r="H73" s="3437">
        <f t="shared" si="20"/>
        <v>100</v>
      </c>
      <c r="I73" s="3437">
        <f t="shared" si="20"/>
        <v>100</v>
      </c>
      <c r="J73" s="3437">
        <f t="shared" si="20"/>
        <v>100</v>
      </c>
      <c r="K73" s="3437">
        <f t="shared" si="20"/>
        <v>100</v>
      </c>
      <c r="L73" s="3437">
        <f t="shared" si="20"/>
        <v>100</v>
      </c>
      <c r="M73" s="3437">
        <f t="shared" si="20"/>
        <v>100</v>
      </c>
      <c r="N73" s="3437">
        <f t="shared" si="20"/>
        <v>100</v>
      </c>
      <c r="O73" s="3438"/>
      <c r="P73" s="3426"/>
      <c r="Q73" s="3439"/>
      <c r="R73" s="3439"/>
      <c r="S73" s="3439"/>
      <c r="T73" s="3439"/>
      <c r="U73" s="3439"/>
      <c r="V73" s="3439"/>
      <c r="W73" s="3439"/>
      <c r="X73" s="3439"/>
      <c r="Y73" s="3439"/>
      <c r="Z73" s="3439"/>
      <c r="AA73" s="3439"/>
      <c r="AB73" s="3439"/>
      <c r="AC73" s="3439"/>
    </row>
    <row r="74" spans="1:29" s="3233" customFormat="1" ht="15" customHeight="1" thickBot="1">
      <c r="A74" s="3440" t="s">
        <v>3083</v>
      </c>
      <c r="B74" s="2829"/>
      <c r="C74" s="3441"/>
      <c r="D74" s="3442"/>
      <c r="E74" s="3442"/>
      <c r="F74" s="3442"/>
      <c r="G74" s="3442"/>
      <c r="H74" s="3442"/>
      <c r="I74" s="3442"/>
      <c r="J74" s="3442"/>
      <c r="K74" s="3442"/>
      <c r="L74" s="3442"/>
      <c r="M74" s="3442"/>
      <c r="N74" s="3442"/>
      <c r="O74" s="3438"/>
      <c r="P74" s="3426"/>
      <c r="Q74" s="3426"/>
      <c r="R74" s="3439"/>
      <c r="S74" s="3439"/>
      <c r="T74" s="3439"/>
      <c r="U74" s="3439"/>
      <c r="V74" s="3439"/>
      <c r="W74" s="3439"/>
      <c r="X74" s="3439"/>
      <c r="Y74" s="3439"/>
      <c r="Z74" s="3439"/>
      <c r="AA74" s="3439"/>
      <c r="AB74" s="3439"/>
      <c r="AC74" s="3439"/>
    </row>
    <row r="75" spans="1:29" s="3233" customFormat="1" ht="15">
      <c r="A75" s="3443" t="s">
        <v>3084</v>
      </c>
      <c r="B75" s="3444"/>
      <c r="C75" s="3445" t="s">
        <v>3085</v>
      </c>
      <c r="D75" s="3446"/>
      <c r="E75" s="3446"/>
      <c r="F75" s="3446"/>
      <c r="G75" s="3446"/>
      <c r="H75" s="3446"/>
      <c r="I75" s="3446"/>
      <c r="J75" s="3446"/>
      <c r="K75" s="3446"/>
      <c r="L75" s="3447"/>
      <c r="M75" s="3448"/>
      <c r="N75" s="3438"/>
      <c r="O75" s="3438"/>
      <c r="P75" s="3449"/>
      <c r="Q75" s="3426"/>
      <c r="R75" s="3439"/>
      <c r="S75" s="3439"/>
      <c r="T75" s="3439"/>
      <c r="U75" s="3439"/>
      <c r="V75" s="3439"/>
      <c r="W75" s="3439"/>
      <c r="X75" s="3439"/>
      <c r="Y75" s="3439"/>
      <c r="Z75" s="3439"/>
      <c r="AA75" s="3439"/>
      <c r="AB75" s="3439"/>
      <c r="AC75" s="3439"/>
    </row>
    <row r="76" spans="1:29" s="3233" customFormat="1" ht="15.75" thickBot="1">
      <c r="A76" s="3443"/>
      <c r="B76" s="3444"/>
      <c r="C76" s="3450">
        <v>100</v>
      </c>
      <c r="D76" s="3451"/>
      <c r="E76" s="3451"/>
      <c r="F76" s="3451"/>
      <c r="G76" s="3451"/>
      <c r="H76" s="3451"/>
      <c r="I76" s="3451"/>
      <c r="J76" s="3451"/>
      <c r="K76" s="3451"/>
      <c r="L76" s="3451"/>
      <c r="M76" s="3452"/>
      <c r="N76" s="3438"/>
      <c r="O76" s="3438"/>
      <c r="P76" s="3426"/>
      <c r="Q76" s="3426"/>
      <c r="R76" s="3439"/>
      <c r="S76" s="3439"/>
      <c r="T76" s="3439"/>
      <c r="U76" s="3439"/>
      <c r="V76" s="3439"/>
      <c r="W76" s="3439"/>
      <c r="X76" s="3439"/>
      <c r="Y76" s="3439"/>
      <c r="Z76" s="3439"/>
      <c r="AA76" s="3439"/>
      <c r="AB76" s="3439"/>
      <c r="AC76" s="3439"/>
    </row>
    <row r="77" spans="1:29" ht="28.5">
      <c r="A77" s="3453" t="s">
        <v>3086</v>
      </c>
      <c r="B77" s="3454" t="s">
        <v>3087</v>
      </c>
      <c r="C77" s="3342" t="str">
        <f>项目基本情况!B12</f>
        <v>其他普通商品住房、其他商服用地</v>
      </c>
      <c r="D77" s="3342" t="str">
        <f>[1]土地案例!E4</f>
        <v>其他商服用地</v>
      </c>
      <c r="E77" s="3342"/>
      <c r="F77" s="3342"/>
      <c r="G77" s="3342"/>
      <c r="H77" s="3342"/>
      <c r="I77" s="3342"/>
      <c r="J77" s="3342"/>
      <c r="K77" s="3455"/>
      <c r="L77" s="3456"/>
      <c r="M77" s="3457"/>
      <c r="N77" s="3458"/>
      <c r="O77" s="3458"/>
      <c r="P77" s="3459"/>
      <c r="Q77" s="3426"/>
      <c r="R77" s="3364"/>
      <c r="S77" s="3364"/>
      <c r="T77" s="3364"/>
      <c r="U77" s="3364"/>
      <c r="V77" s="3364"/>
      <c r="W77" s="3364"/>
      <c r="X77" s="3364"/>
      <c r="Y77" s="3364"/>
      <c r="Z77" s="3364"/>
      <c r="AA77" s="3364"/>
      <c r="AB77" s="3364"/>
      <c r="AC77" s="3364"/>
    </row>
    <row r="78" spans="1:29" ht="15.75" thickBot="1">
      <c r="A78" s="3460"/>
      <c r="B78" s="3461"/>
      <c r="C78" s="3462">
        <v>100</v>
      </c>
      <c r="D78" s="3462">
        <v>100</v>
      </c>
      <c r="E78" s="3462"/>
      <c r="F78" s="3462"/>
      <c r="G78" s="3462"/>
      <c r="H78" s="3462"/>
      <c r="I78" s="3462"/>
      <c r="J78" s="3462"/>
      <c r="K78" s="3462"/>
      <c r="L78" s="3462"/>
      <c r="M78" s="3463"/>
      <c r="N78" s="3464"/>
      <c r="O78" s="3464"/>
      <c r="P78" s="3459"/>
      <c r="Q78" s="3426"/>
      <c r="R78" s="3364"/>
      <c r="S78" s="3364"/>
      <c r="T78" s="3364"/>
      <c r="U78" s="3364"/>
      <c r="V78" s="3364"/>
      <c r="W78" s="3364"/>
      <c r="X78" s="3364"/>
      <c r="Y78" s="3364"/>
      <c r="Z78" s="3364"/>
      <c r="AA78" s="3364"/>
      <c r="AB78" s="3364"/>
      <c r="AC78" s="3364"/>
    </row>
    <row r="79" spans="1:29" ht="27.75" thickTop="1">
      <c r="A79" s="3460"/>
      <c r="B79" s="3465" t="s">
        <v>3088</v>
      </c>
      <c r="C79" s="3466"/>
      <c r="D79" s="3466"/>
      <c r="E79" s="3466"/>
      <c r="F79" s="3466"/>
      <c r="G79" s="3466"/>
      <c r="H79" s="3466"/>
      <c r="I79" s="3466"/>
      <c r="J79" s="3466"/>
      <c r="K79" s="3467"/>
      <c r="L79" s="3468"/>
      <c r="M79" s="3469"/>
      <c r="N79" s="3458"/>
      <c r="O79" s="3458"/>
      <c r="P79" s="3459"/>
      <c r="Q79" s="3426"/>
      <c r="R79" s="3364"/>
      <c r="S79" s="3364"/>
      <c r="T79" s="3364"/>
      <c r="U79" s="3364"/>
      <c r="V79" s="3364"/>
      <c r="W79" s="3364"/>
      <c r="X79" s="3364"/>
      <c r="Y79" s="3364"/>
      <c r="Z79" s="3364"/>
      <c r="AA79" s="3364"/>
      <c r="AB79" s="3364"/>
      <c r="AC79" s="3364"/>
    </row>
    <row r="80" spans="1:29" ht="15.75" thickBot="1">
      <c r="A80" s="3460"/>
      <c r="B80" s="3470"/>
      <c r="C80" s="3471"/>
      <c r="D80" s="3471"/>
      <c r="E80" s="3471"/>
      <c r="F80" s="3471"/>
      <c r="G80" s="3471"/>
      <c r="H80" s="3471"/>
      <c r="I80" s="3471"/>
      <c r="J80" s="3471"/>
      <c r="K80" s="3471"/>
      <c r="L80" s="3471"/>
      <c r="M80" s="3472"/>
      <c r="N80" s="3464"/>
      <c r="O80" s="3464"/>
      <c r="P80" s="3459"/>
      <c r="Q80" s="3426"/>
      <c r="R80" s="3364"/>
      <c r="S80" s="3364"/>
      <c r="T80" s="3364"/>
      <c r="U80" s="3364"/>
      <c r="V80" s="3364"/>
      <c r="W80" s="3364"/>
      <c r="X80" s="3364"/>
      <c r="Y80" s="3364"/>
      <c r="Z80" s="3364"/>
      <c r="AA80" s="3364"/>
      <c r="AB80" s="3364"/>
      <c r="AC80" s="3364"/>
    </row>
    <row r="81" spans="1:29" ht="29.25" thickTop="1">
      <c r="A81" s="3460"/>
      <c r="B81" s="3473" t="s">
        <v>3089</v>
      </c>
      <c r="C81" s="3474" t="str">
        <f>C82&amp;"（含）"&amp;"-"&amp;D82</f>
        <v>1（含）-2</v>
      </c>
      <c r="D81" s="3474" t="str">
        <f t="shared" ref="D81:L81" si="21">D82&amp;"（含）"&amp;"-"&amp;E82</f>
        <v>2（含）-3</v>
      </c>
      <c r="E81" s="3474" t="str">
        <f t="shared" si="21"/>
        <v>3（含）-4</v>
      </c>
      <c r="F81" s="3474" t="str">
        <f t="shared" si="21"/>
        <v>4（含）-</v>
      </c>
      <c r="G81" s="3474" t="str">
        <f t="shared" si="21"/>
        <v>（含）-</v>
      </c>
      <c r="H81" s="3474" t="str">
        <f t="shared" si="21"/>
        <v>（含）-</v>
      </c>
      <c r="I81" s="3474" t="str">
        <f t="shared" si="21"/>
        <v>（含）-</v>
      </c>
      <c r="J81" s="3474" t="str">
        <f t="shared" si="21"/>
        <v>（含）-</v>
      </c>
      <c r="K81" s="3474" t="str">
        <f t="shared" si="21"/>
        <v>（含）-</v>
      </c>
      <c r="L81" s="3474" t="str">
        <f t="shared" si="21"/>
        <v>（含）-</v>
      </c>
      <c r="M81" s="3293" t="str">
        <f>M82&amp;"（含）"&amp;"-"&amp;P82</f>
        <v>（含）-</v>
      </c>
      <c r="N81" s="3464"/>
      <c r="O81" s="3464"/>
      <c r="P81" s="3459"/>
      <c r="Q81" s="3426"/>
      <c r="R81" s="3364"/>
      <c r="S81" s="3364"/>
      <c r="T81" s="3364"/>
      <c r="U81" s="3364"/>
      <c r="V81" s="3364"/>
      <c r="W81" s="3364"/>
      <c r="X81" s="3364"/>
      <c r="Y81" s="3364"/>
      <c r="Z81" s="3364"/>
      <c r="AA81" s="3364"/>
      <c r="AB81" s="3364"/>
      <c r="AC81" s="3364"/>
    </row>
    <row r="82" spans="1:29" ht="15">
      <c r="A82" s="3460"/>
      <c r="B82" s="3475"/>
      <c r="C82" s="3269">
        <v>1</v>
      </c>
      <c r="D82" s="3269">
        <v>2</v>
      </c>
      <c r="E82" s="3269">
        <v>3</v>
      </c>
      <c r="F82" s="3269">
        <v>4</v>
      </c>
      <c r="G82" s="3269"/>
      <c r="H82" s="3269"/>
      <c r="I82" s="3269"/>
      <c r="J82" s="3269"/>
      <c r="K82" s="3476"/>
      <c r="L82" s="3477"/>
      <c r="M82" s="3478"/>
      <c r="N82" s="3458"/>
      <c r="O82" s="3458"/>
      <c r="P82" s="3459"/>
      <c r="Q82" s="3426"/>
      <c r="R82" s="3364"/>
      <c r="S82" s="3364"/>
      <c r="T82" s="3364"/>
      <c r="U82" s="3364"/>
      <c r="V82" s="3364"/>
      <c r="W82" s="3364"/>
      <c r="X82" s="3364"/>
      <c r="Y82" s="3364"/>
      <c r="Z82" s="3364"/>
      <c r="AA82" s="3364"/>
      <c r="AB82" s="3364"/>
      <c r="AC82" s="3364"/>
    </row>
    <row r="83" spans="1:29" ht="15.75" thickBot="1">
      <c r="A83" s="3460"/>
      <c r="B83" s="3461"/>
      <c r="C83" s="3471">
        <v>100</v>
      </c>
      <c r="D83" s="3471">
        <f>IF($B$48="单位面积地价",C83+$K13,C83-$K13)</f>
        <v>97</v>
      </c>
      <c r="E83" s="3471">
        <f t="shared" ref="E83:M83" si="22">IF($B$48="单位面积地价",D83+$K13,D83-$K13)</f>
        <v>94</v>
      </c>
      <c r="F83" s="3471">
        <f t="shared" si="22"/>
        <v>91</v>
      </c>
      <c r="G83" s="3471">
        <f t="shared" si="22"/>
        <v>88</v>
      </c>
      <c r="H83" s="3471">
        <f t="shared" si="22"/>
        <v>85</v>
      </c>
      <c r="I83" s="3471">
        <f t="shared" si="22"/>
        <v>82</v>
      </c>
      <c r="J83" s="3471">
        <f t="shared" si="22"/>
        <v>79</v>
      </c>
      <c r="K83" s="3471">
        <f t="shared" si="22"/>
        <v>76</v>
      </c>
      <c r="L83" s="3471">
        <f t="shared" si="22"/>
        <v>73</v>
      </c>
      <c r="M83" s="3471">
        <f t="shared" si="22"/>
        <v>70</v>
      </c>
      <c r="N83" s="3464"/>
      <c r="O83" s="3464"/>
      <c r="P83" s="3459"/>
      <c r="Q83" s="3426"/>
      <c r="R83" s="3364"/>
      <c r="S83" s="3364"/>
      <c r="T83" s="3364"/>
      <c r="U83" s="3364"/>
      <c r="V83" s="3364"/>
      <c r="W83" s="3364"/>
      <c r="X83" s="3364"/>
      <c r="Y83" s="3364"/>
      <c r="Z83" s="3364"/>
      <c r="AA83" s="3364"/>
      <c r="AB83" s="3364"/>
      <c r="AC83" s="3364"/>
    </row>
    <row r="84" spans="1:29" s="3337" customFormat="1" ht="16.5" hidden="1" thickTop="1" thickBot="1">
      <c r="A84" s="3479"/>
      <c r="B84" s="3465" t="str">
        <f>B14</f>
        <v>配建</v>
      </c>
      <c r="C84" s="3480"/>
      <c r="D84" s="3481"/>
      <c r="E84" s="3482"/>
      <c r="F84" s="3480"/>
      <c r="G84" s="3480"/>
      <c r="H84" s="3483"/>
      <c r="I84" s="3483"/>
      <c r="J84" s="3483"/>
      <c r="K84" s="3483"/>
      <c r="L84" s="3484"/>
      <c r="M84" s="3485"/>
      <c r="N84" s="3486"/>
      <c r="O84" s="3486"/>
      <c r="P84" s="3487"/>
      <c r="Q84" s="3488"/>
      <c r="R84" s="3489"/>
      <c r="S84" s="3489"/>
      <c r="T84" s="3489"/>
      <c r="U84" s="3489"/>
      <c r="V84" s="3489"/>
      <c r="W84" s="3489"/>
      <c r="X84" s="3489"/>
      <c r="Y84" s="3489"/>
      <c r="Z84" s="3489"/>
      <c r="AA84" s="3489"/>
      <c r="AB84" s="3489"/>
      <c r="AC84" s="3489"/>
    </row>
    <row r="85" spans="1:29" s="3337" customFormat="1" ht="16.5" hidden="1" thickTop="1" thickBot="1">
      <c r="A85" s="3479"/>
      <c r="B85" s="3470"/>
      <c r="C85" s="3490"/>
      <c r="D85" s="3462"/>
      <c r="E85" s="3462"/>
      <c r="F85" s="3462"/>
      <c r="G85" s="3462"/>
      <c r="H85" s="3462"/>
      <c r="I85" s="3462"/>
      <c r="J85" s="3462"/>
      <c r="K85" s="3462"/>
      <c r="L85" s="3462"/>
      <c r="M85" s="3463"/>
      <c r="N85" s="3464"/>
      <c r="O85" s="3464"/>
      <c r="P85" s="3487"/>
      <c r="Q85" s="3488"/>
      <c r="R85" s="3489"/>
      <c r="S85" s="3489"/>
      <c r="T85" s="3489"/>
      <c r="U85" s="3489"/>
      <c r="V85" s="3489"/>
      <c r="W85" s="3489"/>
      <c r="X85" s="3489"/>
      <c r="Y85" s="3489"/>
      <c r="Z85" s="3489"/>
      <c r="AA85" s="3489"/>
      <c r="AB85" s="3489"/>
      <c r="AC85" s="3489"/>
    </row>
    <row r="86" spans="1:29" s="3337" customFormat="1" ht="16.5" hidden="1" thickTop="1" thickBot="1">
      <c r="A86" s="3479"/>
      <c r="B86" s="3465">
        <f>B15</f>
        <v>0</v>
      </c>
      <c r="C86" s="3480"/>
      <c r="D86" s="3480"/>
      <c r="E86" s="3480"/>
      <c r="F86" s="3480"/>
      <c r="G86" s="3480"/>
      <c r="H86" s="3483"/>
      <c r="I86" s="3483"/>
      <c r="J86" s="3483"/>
      <c r="K86" s="3483"/>
      <c r="L86" s="3484"/>
      <c r="M86" s="3485"/>
      <c r="N86" s="3486"/>
      <c r="O86" s="3486"/>
      <c r="P86" s="3491"/>
      <c r="Q86" s="3492"/>
      <c r="R86" s="3489"/>
      <c r="S86" s="3489"/>
      <c r="T86" s="3489"/>
      <c r="U86" s="3489"/>
      <c r="V86" s="3489"/>
      <c r="W86" s="3489"/>
      <c r="X86" s="3489"/>
      <c r="Y86" s="3489"/>
      <c r="Z86" s="3489"/>
      <c r="AA86" s="3489"/>
      <c r="AB86" s="3489"/>
      <c r="AC86" s="3489"/>
    </row>
    <row r="87" spans="1:29" s="3337" customFormat="1" ht="16.5" hidden="1" thickTop="1" thickBot="1">
      <c r="A87" s="3479"/>
      <c r="B87" s="3470"/>
      <c r="C87" s="3490"/>
      <c r="D87" s="3490"/>
      <c r="E87" s="3490"/>
      <c r="F87" s="3490"/>
      <c r="G87" s="3490"/>
      <c r="H87" s="3493"/>
      <c r="I87" s="3493"/>
      <c r="J87" s="3493"/>
      <c r="K87" s="3493"/>
      <c r="L87" s="3493"/>
      <c r="M87" s="3494"/>
      <c r="N87" s="3486"/>
      <c r="O87" s="3486"/>
      <c r="P87" s="3487"/>
      <c r="Q87" s="3488"/>
      <c r="R87" s="3489"/>
      <c r="S87" s="3489"/>
      <c r="T87" s="3489"/>
      <c r="U87" s="3489"/>
      <c r="V87" s="3489"/>
      <c r="W87" s="3489"/>
      <c r="X87" s="3489"/>
      <c r="Y87" s="3489"/>
      <c r="Z87" s="3489"/>
      <c r="AA87" s="3489"/>
      <c r="AB87" s="3489"/>
      <c r="AC87" s="3489"/>
    </row>
    <row r="88" spans="1:29" s="3337" customFormat="1" ht="16.5" hidden="1" thickTop="1" thickBot="1">
      <c r="A88" s="3479"/>
      <c r="B88" s="3473">
        <f>B16</f>
        <v>0</v>
      </c>
      <c r="C88" s="3446"/>
      <c r="D88" s="3446"/>
      <c r="E88" s="3446"/>
      <c r="F88" s="3446"/>
      <c r="G88" s="3446"/>
      <c r="H88" s="3495"/>
      <c r="I88" s="3495"/>
      <c r="J88" s="3495"/>
      <c r="K88" s="3495"/>
      <c r="L88" s="3496"/>
      <c r="M88" s="3497"/>
      <c r="N88" s="3486"/>
      <c r="O88" s="3486"/>
      <c r="P88" s="3498"/>
      <c r="Q88" s="3488"/>
      <c r="R88" s="3489"/>
      <c r="S88" s="3489"/>
      <c r="T88" s="3489"/>
      <c r="U88" s="3489"/>
      <c r="V88" s="3489"/>
      <c r="W88" s="3489"/>
      <c r="X88" s="3489"/>
      <c r="Y88" s="3489"/>
      <c r="Z88" s="3489"/>
      <c r="AA88" s="3489"/>
      <c r="AB88" s="3489"/>
      <c r="AC88" s="3489"/>
    </row>
    <row r="89" spans="1:29" s="3337" customFormat="1" ht="16.5" hidden="1" thickTop="1" thickBot="1">
      <c r="A89" s="3499"/>
      <c r="B89" s="3500"/>
      <c r="C89" s="3501"/>
      <c r="D89" s="3501"/>
      <c r="E89" s="3501"/>
      <c r="F89" s="3501"/>
      <c r="G89" s="3501"/>
      <c r="H89" s="3502"/>
      <c r="I89" s="3502"/>
      <c r="J89" s="3502"/>
      <c r="K89" s="3502"/>
      <c r="L89" s="3502"/>
      <c r="M89" s="3503"/>
      <c r="N89" s="3486"/>
      <c r="O89" s="3486"/>
      <c r="P89" s="3487"/>
      <c r="Q89" s="3488"/>
      <c r="R89" s="3489"/>
      <c r="S89" s="3489"/>
      <c r="T89" s="3489"/>
      <c r="U89" s="3489"/>
      <c r="V89" s="3489"/>
      <c r="W89" s="3489"/>
      <c r="X89" s="3489"/>
      <c r="Y89" s="3489"/>
      <c r="Z89" s="3489"/>
      <c r="AA89" s="3489"/>
      <c r="AB89" s="3489"/>
      <c r="AC89" s="3489"/>
    </row>
    <row r="90" spans="1:29" ht="15.75" hidden="1" thickTop="1" thickBot="1">
      <c r="A90" s="3453" t="s">
        <v>3090</v>
      </c>
      <c r="B90" s="3454" t="s">
        <v>3091</v>
      </c>
      <c r="C90" s="3504" t="s">
        <v>3092</v>
      </c>
      <c r="D90" s="3504" t="s">
        <v>3093</v>
      </c>
      <c r="E90" s="3504" t="s">
        <v>3094</v>
      </c>
      <c r="F90" s="3504" t="s">
        <v>3095</v>
      </c>
      <c r="G90" s="3504" t="s">
        <v>3096</v>
      </c>
      <c r="H90" s="3505"/>
      <c r="I90" s="3505"/>
      <c r="J90" s="3505"/>
      <c r="K90" s="3506"/>
      <c r="L90" s="3507"/>
      <c r="M90" s="3508"/>
      <c r="N90" s="3458"/>
      <c r="O90" s="3458"/>
      <c r="P90" s="3509"/>
      <c r="Q90" s="3426"/>
      <c r="R90" s="3364"/>
      <c r="S90" s="3364"/>
      <c r="T90" s="3364"/>
      <c r="U90" s="3364"/>
      <c r="V90" s="3364"/>
      <c r="W90" s="3364"/>
      <c r="X90" s="3364"/>
      <c r="Y90" s="3364"/>
      <c r="Z90" s="3364"/>
      <c r="AA90" s="3364"/>
      <c r="AB90" s="3364"/>
      <c r="AC90" s="3364"/>
    </row>
    <row r="91" spans="1:29" ht="16.5" hidden="1" thickTop="1" thickBot="1">
      <c r="A91" s="3460"/>
      <c r="B91" s="3470"/>
      <c r="C91" s="3471">
        <v>100</v>
      </c>
      <c r="D91" s="3471">
        <f>C91-$K17</f>
        <v>100</v>
      </c>
      <c r="E91" s="3471">
        <f>D91-$K17</f>
        <v>100</v>
      </c>
      <c r="F91" s="3471">
        <f>E91-$K17</f>
        <v>100</v>
      </c>
      <c r="G91" s="3471">
        <f>F91-$K17</f>
        <v>100</v>
      </c>
      <c r="H91" s="3471"/>
      <c r="I91" s="3471"/>
      <c r="J91" s="3471"/>
      <c r="K91" s="3471"/>
      <c r="L91" s="3471"/>
      <c r="M91" s="3472"/>
      <c r="N91" s="3464"/>
      <c r="O91" s="3464"/>
      <c r="P91" s="3459"/>
      <c r="Q91" s="3426"/>
      <c r="R91" s="3364"/>
      <c r="S91" s="3364"/>
      <c r="T91" s="3364"/>
      <c r="U91" s="3364"/>
      <c r="V91" s="3364"/>
      <c r="W91" s="3364"/>
      <c r="X91" s="3364"/>
      <c r="Y91" s="3364"/>
      <c r="Z91" s="3364"/>
      <c r="AA91" s="3364"/>
      <c r="AB91" s="3364"/>
      <c r="AC91" s="3364"/>
    </row>
    <row r="92" spans="1:29" ht="15.75" thickTop="1">
      <c r="A92" s="3460"/>
      <c r="B92" s="3465" t="s">
        <v>3097</v>
      </c>
      <c r="C92" s="3510" t="s">
        <v>579</v>
      </c>
      <c r="D92" s="3510" t="s">
        <v>580</v>
      </c>
      <c r="E92" s="3510" t="s">
        <v>581</v>
      </c>
      <c r="F92" s="3510" t="s">
        <v>582</v>
      </c>
      <c r="G92" s="3510" t="s">
        <v>583</v>
      </c>
      <c r="H92" s="3466"/>
      <c r="I92" s="3466"/>
      <c r="J92" s="3466"/>
      <c r="K92" s="3467"/>
      <c r="L92" s="3468"/>
      <c r="M92" s="3469"/>
      <c r="N92" s="3458"/>
      <c r="O92" s="3458"/>
      <c r="P92" s="3459"/>
      <c r="Q92" s="3426"/>
      <c r="R92" s="3364"/>
      <c r="S92" s="3364"/>
      <c r="T92" s="3364"/>
      <c r="U92" s="3364"/>
      <c r="V92" s="3364"/>
      <c r="W92" s="3364"/>
      <c r="X92" s="3364"/>
      <c r="Y92" s="3364"/>
      <c r="Z92" s="3364"/>
      <c r="AA92" s="3364"/>
      <c r="AB92" s="3364"/>
      <c r="AC92" s="3364"/>
    </row>
    <row r="93" spans="1:29" ht="15.75" thickBot="1">
      <c r="A93" s="3460"/>
      <c r="B93" s="3470"/>
      <c r="C93" s="3471">
        <v>100</v>
      </c>
      <c r="D93" s="3471">
        <f>C93-$K19</f>
        <v>97</v>
      </c>
      <c r="E93" s="3471">
        <f>D93-$K19</f>
        <v>94</v>
      </c>
      <c r="F93" s="3471">
        <f>E93-$K19</f>
        <v>91</v>
      </c>
      <c r="G93" s="3471">
        <f>F93-$K19</f>
        <v>88</v>
      </c>
      <c r="H93" s="3471"/>
      <c r="I93" s="3471"/>
      <c r="J93" s="3471"/>
      <c r="K93" s="3471"/>
      <c r="L93" s="3471"/>
      <c r="M93" s="3472"/>
      <c r="N93" s="3464"/>
      <c r="O93" s="3464"/>
      <c r="P93" s="3459"/>
      <c r="Q93" s="3426"/>
      <c r="R93" s="3364"/>
      <c r="S93" s="3364"/>
      <c r="T93" s="3364"/>
      <c r="U93" s="3364"/>
      <c r="V93" s="3364"/>
      <c r="W93" s="3364"/>
      <c r="X93" s="3364"/>
      <c r="Y93" s="3364"/>
      <c r="Z93" s="3364"/>
      <c r="AA93" s="3364"/>
      <c r="AB93" s="3364"/>
      <c r="AC93" s="3364"/>
    </row>
    <row r="94" spans="1:29" ht="15.75" thickTop="1">
      <c r="A94" s="3460"/>
      <c r="B94" s="3465" t="s">
        <v>585</v>
      </c>
      <c r="C94" s="3510" t="s">
        <v>579</v>
      </c>
      <c r="D94" s="3510" t="s">
        <v>580</v>
      </c>
      <c r="E94" s="3510" t="s">
        <v>581</v>
      </c>
      <c r="F94" s="3510" t="s">
        <v>582</v>
      </c>
      <c r="G94" s="3510" t="s">
        <v>583</v>
      </c>
      <c r="H94" s="3466"/>
      <c r="I94" s="3466"/>
      <c r="J94" s="3466"/>
      <c r="K94" s="3467"/>
      <c r="L94" s="3468"/>
      <c r="M94" s="3469"/>
      <c r="N94" s="3458"/>
      <c r="O94" s="3458"/>
      <c r="P94" s="3459"/>
      <c r="Q94" s="3426"/>
      <c r="R94" s="3364"/>
      <c r="S94" s="3364"/>
      <c r="T94" s="3364"/>
      <c r="U94" s="3364"/>
      <c r="V94" s="3364"/>
      <c r="W94" s="3364"/>
      <c r="X94" s="3364"/>
      <c r="Y94" s="3364"/>
      <c r="Z94" s="3364"/>
      <c r="AA94" s="3364"/>
      <c r="AB94" s="3364"/>
      <c r="AC94" s="3364"/>
    </row>
    <row r="95" spans="1:29" ht="15.75" thickBot="1">
      <c r="A95" s="3460"/>
      <c r="B95" s="3470"/>
      <c r="C95" s="3471">
        <v>100</v>
      </c>
      <c r="D95" s="3471">
        <f>C95-$K21</f>
        <v>97</v>
      </c>
      <c r="E95" s="3471">
        <f>D95-$K21</f>
        <v>94</v>
      </c>
      <c r="F95" s="3471">
        <f>E95-$K21</f>
        <v>91</v>
      </c>
      <c r="G95" s="3471">
        <f>F95-$K21</f>
        <v>88</v>
      </c>
      <c r="H95" s="3471"/>
      <c r="I95" s="3471"/>
      <c r="J95" s="3471"/>
      <c r="K95" s="3471"/>
      <c r="L95" s="3471"/>
      <c r="M95" s="3472"/>
      <c r="N95" s="3464"/>
      <c r="O95" s="3464"/>
      <c r="P95" s="3459"/>
      <c r="Q95" s="3426"/>
      <c r="R95" s="3364"/>
      <c r="S95" s="3364"/>
      <c r="T95" s="3364"/>
      <c r="U95" s="3364"/>
      <c r="V95" s="3364"/>
      <c r="W95" s="3364"/>
      <c r="X95" s="3364"/>
      <c r="Y95" s="3364"/>
      <c r="Z95" s="3364"/>
      <c r="AA95" s="3364"/>
      <c r="AB95" s="3364"/>
      <c r="AC95" s="3364"/>
    </row>
    <row r="96" spans="1:29" ht="15.75" thickTop="1">
      <c r="A96" s="3460"/>
      <c r="B96" s="3465" t="s">
        <v>586</v>
      </c>
      <c r="C96" s="3510" t="s">
        <v>579</v>
      </c>
      <c r="D96" s="3510" t="s">
        <v>580</v>
      </c>
      <c r="E96" s="3510" t="s">
        <v>581</v>
      </c>
      <c r="F96" s="3510" t="s">
        <v>582</v>
      </c>
      <c r="G96" s="3510" t="s">
        <v>583</v>
      </c>
      <c r="H96" s="3466"/>
      <c r="I96" s="3466"/>
      <c r="J96" s="3466"/>
      <c r="K96" s="3467"/>
      <c r="L96" s="3468"/>
      <c r="M96" s="3469"/>
      <c r="N96" s="3458"/>
      <c r="O96" s="3458"/>
      <c r="P96" s="3459"/>
      <c r="Q96" s="3426"/>
      <c r="R96" s="3364"/>
      <c r="S96" s="3364"/>
      <c r="T96" s="3364"/>
      <c r="U96" s="3364"/>
      <c r="V96" s="3364"/>
      <c r="W96" s="3364"/>
      <c r="X96" s="3364"/>
      <c r="Y96" s="3364"/>
      <c r="Z96" s="3364"/>
      <c r="AA96" s="3364"/>
      <c r="AB96" s="3364"/>
      <c r="AC96" s="3364"/>
    </row>
    <row r="97" spans="1:29" ht="15.75" thickBot="1">
      <c r="A97" s="3460"/>
      <c r="B97" s="3470"/>
      <c r="C97" s="3471">
        <v>100</v>
      </c>
      <c r="D97" s="3471">
        <f>C97-$K23</f>
        <v>97</v>
      </c>
      <c r="E97" s="3471">
        <f>D97-$K23</f>
        <v>94</v>
      </c>
      <c r="F97" s="3471">
        <f>E97-$K23</f>
        <v>91</v>
      </c>
      <c r="G97" s="3471">
        <f>F97-$K23</f>
        <v>88</v>
      </c>
      <c r="H97" s="3471"/>
      <c r="I97" s="3471"/>
      <c r="J97" s="3471"/>
      <c r="K97" s="3471"/>
      <c r="L97" s="3471"/>
      <c r="M97" s="3472"/>
      <c r="N97" s="3464"/>
      <c r="O97" s="3464"/>
      <c r="P97" s="3459"/>
      <c r="Q97" s="3426"/>
      <c r="R97" s="3364"/>
      <c r="S97" s="3364"/>
      <c r="T97" s="3364"/>
      <c r="U97" s="3364"/>
      <c r="V97" s="3364"/>
      <c r="W97" s="3364"/>
      <c r="X97" s="3364"/>
      <c r="Y97" s="3364"/>
      <c r="Z97" s="3364"/>
      <c r="AA97" s="3364"/>
      <c r="AB97" s="3364"/>
      <c r="AC97" s="3364"/>
    </row>
    <row r="98" spans="1:29" s="3233" customFormat="1" ht="27.75" thickTop="1">
      <c r="A98" s="3511"/>
      <c r="B98" s="3465" t="s">
        <v>587</v>
      </c>
      <c r="C98" s="3510" t="s">
        <v>579</v>
      </c>
      <c r="D98" s="3510" t="s">
        <v>580</v>
      </c>
      <c r="E98" s="3510" t="s">
        <v>581</v>
      </c>
      <c r="F98" s="3510" t="s">
        <v>582</v>
      </c>
      <c r="G98" s="3510" t="s">
        <v>583</v>
      </c>
      <c r="H98" s="3510"/>
      <c r="I98" s="3510"/>
      <c r="J98" s="3510"/>
      <c r="K98" s="3510"/>
      <c r="L98" s="3512"/>
      <c r="M98" s="3513"/>
      <c r="N98" s="3438"/>
      <c r="O98" s="3438"/>
      <c r="P98" s="3459"/>
      <c r="Q98" s="3426"/>
      <c r="R98" s="3439"/>
      <c r="S98" s="3439"/>
      <c r="T98" s="3439"/>
      <c r="U98" s="3439"/>
      <c r="V98" s="3439"/>
      <c r="W98" s="3439"/>
      <c r="X98" s="3439"/>
      <c r="Y98" s="3439"/>
      <c r="Z98" s="3439"/>
      <c r="AA98" s="3439"/>
      <c r="AB98" s="3439"/>
      <c r="AC98" s="3439"/>
    </row>
    <row r="99" spans="1:29" s="3233" customFormat="1" ht="15.75" thickBot="1">
      <c r="A99" s="3511"/>
      <c r="B99" s="3470"/>
      <c r="C99" s="3514">
        <v>100</v>
      </c>
      <c r="D99" s="3471">
        <f>C99-$K25</f>
        <v>95</v>
      </c>
      <c r="E99" s="3471">
        <f>D99-$K25</f>
        <v>90</v>
      </c>
      <c r="F99" s="3471">
        <f>E99-$K25</f>
        <v>85</v>
      </c>
      <c r="G99" s="3471">
        <f>F99-$K25</f>
        <v>80</v>
      </c>
      <c r="H99" s="3471"/>
      <c r="I99" s="3471"/>
      <c r="J99" s="3471"/>
      <c r="K99" s="3471"/>
      <c r="L99" s="3471"/>
      <c r="M99" s="3472"/>
      <c r="N99" s="3464"/>
      <c r="O99" s="3464"/>
      <c r="P99" s="3459"/>
      <c r="Q99" s="3426"/>
      <c r="R99" s="3439"/>
      <c r="S99" s="3439"/>
      <c r="T99" s="3439"/>
      <c r="U99" s="3439"/>
      <c r="V99" s="3439"/>
      <c r="W99" s="3439"/>
      <c r="X99" s="3439"/>
      <c r="Y99" s="3439"/>
      <c r="Z99" s="3439"/>
      <c r="AA99" s="3439"/>
      <c r="AB99" s="3439"/>
      <c r="AC99" s="3439"/>
    </row>
    <row r="100" spans="1:29" s="3233" customFormat="1" ht="27.75" thickTop="1">
      <c r="A100" s="3511"/>
      <c r="B100" s="3465" t="s">
        <v>588</v>
      </c>
      <c r="C100" s="3504" t="s">
        <v>579</v>
      </c>
      <c r="D100" s="3504" t="s">
        <v>580</v>
      </c>
      <c r="E100" s="3504" t="s">
        <v>581</v>
      </c>
      <c r="F100" s="3504" t="s">
        <v>582</v>
      </c>
      <c r="G100" s="3504" t="s">
        <v>583</v>
      </c>
      <c r="H100" s="3510"/>
      <c r="I100" s="3510"/>
      <c r="J100" s="3510"/>
      <c r="K100" s="3510"/>
      <c r="L100" s="3510"/>
      <c r="M100" s="3513"/>
      <c r="N100" s="3438"/>
      <c r="O100" s="3438"/>
      <c r="P100" s="3459"/>
      <c r="Q100" s="3426"/>
      <c r="R100" s="3439"/>
      <c r="S100" s="3439"/>
      <c r="T100" s="3439"/>
      <c r="U100" s="3439"/>
      <c r="V100" s="3439"/>
      <c r="W100" s="3439"/>
      <c r="X100" s="3439"/>
      <c r="Y100" s="3439"/>
      <c r="Z100" s="3439"/>
      <c r="AA100" s="3439"/>
      <c r="AB100" s="3439"/>
      <c r="AC100" s="3439"/>
    </row>
    <row r="101" spans="1:29" s="3233" customFormat="1" ht="15.75" thickBot="1">
      <c r="A101" s="3511"/>
      <c r="B101" s="3470"/>
      <c r="C101" s="3471">
        <v>100</v>
      </c>
      <c r="D101" s="3471">
        <f>C101-$K27</f>
        <v>97</v>
      </c>
      <c r="E101" s="3471">
        <f>D101-$K27</f>
        <v>94</v>
      </c>
      <c r="F101" s="3471">
        <f>E101-$K27</f>
        <v>91</v>
      </c>
      <c r="G101" s="3471">
        <f>F101-$K27</f>
        <v>88</v>
      </c>
      <c r="H101" s="3471"/>
      <c r="I101" s="3471"/>
      <c r="J101" s="3471"/>
      <c r="K101" s="3471"/>
      <c r="L101" s="3471"/>
      <c r="M101" s="3472"/>
      <c r="N101" s="3464"/>
      <c r="O101" s="3464"/>
      <c r="P101" s="3459"/>
      <c r="Q101" s="3426"/>
      <c r="R101" s="3439"/>
      <c r="S101" s="3439"/>
      <c r="T101" s="3439"/>
      <c r="U101" s="3439"/>
      <c r="V101" s="3439"/>
      <c r="W101" s="3439"/>
      <c r="X101" s="3439"/>
      <c r="Y101" s="3439"/>
      <c r="Z101" s="3439"/>
      <c r="AA101" s="3439"/>
      <c r="AB101" s="3439"/>
      <c r="AC101" s="3439"/>
    </row>
    <row r="102" spans="1:29" s="3337" customFormat="1" ht="15.75" thickTop="1">
      <c r="A102" s="3479"/>
      <c r="B102" s="3515" t="s">
        <v>2316</v>
      </c>
      <c r="C102" s="3504" t="s">
        <v>579</v>
      </c>
      <c r="D102" s="3504" t="s">
        <v>580</v>
      </c>
      <c r="E102" s="3504" t="s">
        <v>581</v>
      </c>
      <c r="F102" s="3504" t="s">
        <v>582</v>
      </c>
      <c r="G102" s="3504" t="s">
        <v>583</v>
      </c>
      <c r="H102" s="3516"/>
      <c r="I102" s="3516"/>
      <c r="J102" s="3516"/>
      <c r="K102" s="3516"/>
      <c r="L102" s="3517"/>
      <c r="M102" s="3518"/>
      <c r="N102" s="3486"/>
      <c r="O102" s="3486"/>
      <c r="P102" s="3487"/>
      <c r="Q102" s="3488"/>
      <c r="R102" s="3489"/>
      <c r="S102" s="3489"/>
      <c r="T102" s="3489"/>
      <c r="U102" s="3489"/>
      <c r="V102" s="3489"/>
      <c r="W102" s="3489"/>
      <c r="X102" s="3489"/>
      <c r="Y102" s="3489"/>
      <c r="Z102" s="3489"/>
      <c r="AA102" s="3489"/>
      <c r="AB102" s="3489"/>
      <c r="AC102" s="3489"/>
    </row>
    <row r="103" spans="1:29" s="3337" customFormat="1" ht="15.75" thickBot="1">
      <c r="A103" s="3479"/>
      <c r="B103" s="3470"/>
      <c r="C103" s="3471">
        <v>100</v>
      </c>
      <c r="D103" s="3471">
        <f>C103-$K29</f>
        <v>97</v>
      </c>
      <c r="E103" s="3471">
        <f>D103-$K29</f>
        <v>94</v>
      </c>
      <c r="F103" s="3471">
        <f>E103-$K29</f>
        <v>91</v>
      </c>
      <c r="G103" s="3471">
        <f>F103-$K29</f>
        <v>88</v>
      </c>
      <c r="H103" s="3519"/>
      <c r="I103" s="3519"/>
      <c r="J103" s="3519"/>
      <c r="K103" s="3519"/>
      <c r="L103" s="3519"/>
      <c r="M103" s="3520"/>
      <c r="N103" s="3486"/>
      <c r="O103" s="3486"/>
      <c r="P103" s="3487"/>
      <c r="Q103" s="3488"/>
      <c r="R103" s="3489"/>
      <c r="S103" s="3489"/>
      <c r="T103" s="3489"/>
      <c r="U103" s="3489"/>
      <c r="V103" s="3489"/>
      <c r="W103" s="3489"/>
      <c r="X103" s="3489"/>
      <c r="Y103" s="3489"/>
      <c r="Z103" s="3489"/>
      <c r="AA103" s="3489"/>
      <c r="AB103" s="3489"/>
      <c r="AC103" s="3489"/>
    </row>
    <row r="104" spans="1:29" s="3337" customFormat="1" ht="15.75" thickTop="1">
      <c r="A104" s="3479"/>
      <c r="B104" s="3521" t="s">
        <v>3098</v>
      </c>
      <c r="C104" s="3522" t="s">
        <v>1984</v>
      </c>
      <c r="D104" s="3522" t="s">
        <v>1983</v>
      </c>
      <c r="E104" s="3522" t="s">
        <v>1982</v>
      </c>
      <c r="F104" s="3522" t="s">
        <v>1981</v>
      </c>
      <c r="G104" s="3522" t="s">
        <v>1980</v>
      </c>
      <c r="H104" s="3516"/>
      <c r="I104" s="3516"/>
      <c r="J104" s="3516"/>
      <c r="K104" s="3516"/>
      <c r="L104" s="3516"/>
      <c r="M104" s="3518"/>
      <c r="N104" s="3486"/>
      <c r="O104" s="3486"/>
      <c r="P104" s="3487"/>
      <c r="Q104" s="3488"/>
      <c r="R104" s="3489"/>
      <c r="S104" s="3489"/>
      <c r="T104" s="3489"/>
      <c r="U104" s="3489"/>
      <c r="V104" s="3489"/>
      <c r="W104" s="3489"/>
      <c r="X104" s="3489"/>
      <c r="Y104" s="3489"/>
      <c r="Z104" s="3489"/>
      <c r="AA104" s="3489"/>
      <c r="AB104" s="3489"/>
      <c r="AC104" s="3489"/>
    </row>
    <row r="105" spans="1:29" s="3337" customFormat="1" ht="15.75" thickBot="1">
      <c r="A105" s="3479"/>
      <c r="B105" s="3473"/>
      <c r="C105" s="3471">
        <v>100</v>
      </c>
      <c r="D105" s="3471">
        <f>C105-$K31</f>
        <v>98</v>
      </c>
      <c r="E105" s="3471">
        <f>D105-$K31</f>
        <v>96</v>
      </c>
      <c r="F105" s="3471">
        <f>E105-$K31</f>
        <v>94</v>
      </c>
      <c r="G105" s="3471">
        <f>F105-$K31</f>
        <v>92</v>
      </c>
      <c r="H105" s="3475"/>
      <c r="I105" s="3475"/>
      <c r="J105" s="3475"/>
      <c r="K105" s="3475"/>
      <c r="L105" s="3475"/>
      <c r="M105" s="3523"/>
      <c r="N105" s="3486"/>
      <c r="O105" s="3486"/>
      <c r="P105" s="3487"/>
      <c r="Q105" s="3488"/>
      <c r="R105" s="3489"/>
      <c r="S105" s="3489"/>
      <c r="T105" s="3489"/>
      <c r="U105" s="3489"/>
      <c r="V105" s="3489"/>
      <c r="W105" s="3489"/>
      <c r="X105" s="3489"/>
      <c r="Y105" s="3489"/>
      <c r="Z105" s="3489"/>
      <c r="AA105" s="3489"/>
      <c r="AB105" s="3489"/>
      <c r="AC105" s="3489"/>
    </row>
    <row r="106" spans="1:29" ht="16.5" hidden="1" thickTop="1" thickBot="1">
      <c r="A106" s="3460"/>
      <c r="B106" s="3465" t="str">
        <f>B33</f>
        <v>临街状况</v>
      </c>
      <c r="C106" s="3466" t="s">
        <v>3099</v>
      </c>
      <c r="D106" s="3466" t="s">
        <v>3100</v>
      </c>
      <c r="E106" s="3466" t="s">
        <v>3101</v>
      </c>
      <c r="F106" s="3466" t="s">
        <v>3102</v>
      </c>
      <c r="G106" s="3466"/>
      <c r="H106" s="3466"/>
      <c r="I106" s="3466"/>
      <c r="J106" s="3466"/>
      <c r="K106" s="3467"/>
      <c r="L106" s="3468"/>
      <c r="M106" s="3469"/>
      <c r="N106" s="3458"/>
      <c r="O106" s="3458"/>
      <c r="P106" s="3459"/>
      <c r="Q106" s="3426"/>
      <c r="R106" s="3364"/>
      <c r="S106" s="3364"/>
      <c r="T106" s="3364"/>
      <c r="U106" s="3364"/>
      <c r="V106" s="3364"/>
      <c r="W106" s="3364"/>
      <c r="X106" s="3364"/>
      <c r="Y106" s="3364"/>
      <c r="Z106" s="3364"/>
      <c r="AA106" s="3364"/>
      <c r="AB106" s="3364"/>
      <c r="AC106" s="3364"/>
    </row>
    <row r="107" spans="1:29" ht="16.5" hidden="1" thickTop="1" thickBot="1">
      <c r="A107" s="3460"/>
      <c r="B107" s="3470"/>
      <c r="C107" s="3471">
        <v>100</v>
      </c>
      <c r="D107" s="3471">
        <f>C107-$K33</f>
        <v>100</v>
      </c>
      <c r="E107" s="3471">
        <f t="shared" ref="E107:M107" si="23">D107-$K33</f>
        <v>100</v>
      </c>
      <c r="F107" s="3471">
        <f t="shared" si="23"/>
        <v>100</v>
      </c>
      <c r="G107" s="3471">
        <f t="shared" si="23"/>
        <v>100</v>
      </c>
      <c r="H107" s="3471">
        <f t="shared" si="23"/>
        <v>100</v>
      </c>
      <c r="I107" s="3471">
        <f t="shared" si="23"/>
        <v>100</v>
      </c>
      <c r="J107" s="3471">
        <f t="shared" si="23"/>
        <v>100</v>
      </c>
      <c r="K107" s="3471">
        <f t="shared" si="23"/>
        <v>100</v>
      </c>
      <c r="L107" s="3471">
        <f t="shared" si="23"/>
        <v>100</v>
      </c>
      <c r="M107" s="3471">
        <f t="shared" si="23"/>
        <v>100</v>
      </c>
      <c r="N107" s="3464"/>
      <c r="O107" s="3464"/>
      <c r="P107" s="3459"/>
      <c r="Q107" s="3426"/>
      <c r="R107" s="3364"/>
      <c r="S107" s="3364"/>
      <c r="T107" s="3364"/>
      <c r="U107" s="3364"/>
      <c r="V107" s="3364"/>
      <c r="W107" s="3364"/>
      <c r="X107" s="3364"/>
      <c r="Y107" s="3364"/>
      <c r="Z107" s="3364"/>
      <c r="AA107" s="3364"/>
      <c r="AB107" s="3364"/>
      <c r="AC107" s="3364"/>
    </row>
    <row r="108" spans="1:29" ht="27.75" thickTop="1">
      <c r="A108" s="3460"/>
      <c r="B108" s="3465" t="s">
        <v>3103</v>
      </c>
      <c r="C108" s="3482" t="s">
        <v>3104</v>
      </c>
      <c r="D108" s="3482" t="s">
        <v>3105</v>
      </c>
      <c r="E108" s="3482" t="s">
        <v>3106</v>
      </c>
      <c r="F108" s="3482" t="s">
        <v>3107</v>
      </c>
      <c r="G108" s="3480"/>
      <c r="H108" s="3524"/>
      <c r="I108" s="3524"/>
      <c r="J108" s="3524"/>
      <c r="K108" s="3525"/>
      <c r="L108" s="3526"/>
      <c r="M108" s="3527"/>
      <c r="N108" s="3458"/>
      <c r="O108" s="3458"/>
      <c r="P108" s="3459"/>
      <c r="Q108" s="3426"/>
      <c r="R108" s="3364"/>
      <c r="S108" s="3364"/>
      <c r="T108" s="3364"/>
      <c r="U108" s="3364"/>
      <c r="V108" s="3364"/>
      <c r="W108" s="3364"/>
      <c r="X108" s="3364"/>
      <c r="Y108" s="3364"/>
      <c r="Z108" s="3364"/>
      <c r="AA108" s="3364"/>
      <c r="AB108" s="3364"/>
      <c r="AC108" s="3364"/>
    </row>
    <row r="109" spans="1:29" ht="15.75" thickBot="1">
      <c r="A109" s="3460"/>
      <c r="B109" s="3470"/>
      <c r="C109" s="3471">
        <v>100</v>
      </c>
      <c r="D109" s="3471">
        <f>C109-$K34</f>
        <v>98</v>
      </c>
      <c r="E109" s="3471">
        <f t="shared" ref="E109:M109" si="24">D109-$K34</f>
        <v>96</v>
      </c>
      <c r="F109" s="3471">
        <f t="shared" si="24"/>
        <v>94</v>
      </c>
      <c r="G109" s="3471">
        <f t="shared" si="24"/>
        <v>92</v>
      </c>
      <c r="H109" s="3471">
        <f t="shared" si="24"/>
        <v>90</v>
      </c>
      <c r="I109" s="3471">
        <f t="shared" si="24"/>
        <v>88</v>
      </c>
      <c r="J109" s="3471">
        <f t="shared" si="24"/>
        <v>86</v>
      </c>
      <c r="K109" s="3471">
        <f t="shared" si="24"/>
        <v>84</v>
      </c>
      <c r="L109" s="3471">
        <f t="shared" si="24"/>
        <v>82</v>
      </c>
      <c r="M109" s="3471">
        <f t="shared" si="24"/>
        <v>80</v>
      </c>
      <c r="N109" s="3464"/>
      <c r="O109" s="3464"/>
      <c r="P109" s="3459"/>
      <c r="Q109" s="3426"/>
      <c r="R109" s="3364"/>
      <c r="S109" s="3364"/>
      <c r="T109" s="3364"/>
      <c r="U109" s="3364"/>
      <c r="V109" s="3364"/>
      <c r="W109" s="3364"/>
      <c r="X109" s="3364"/>
      <c r="Y109" s="3364"/>
      <c r="Z109" s="3364"/>
      <c r="AA109" s="3364"/>
      <c r="AB109" s="3364"/>
      <c r="AC109" s="3364"/>
    </row>
    <row r="110" spans="1:29" ht="16.5" hidden="1" thickTop="1" thickBot="1">
      <c r="A110" s="3460"/>
      <c r="B110" s="3465" t="s">
        <v>3108</v>
      </c>
      <c r="C110" s="3524"/>
      <c r="D110" s="3524"/>
      <c r="E110" s="3524"/>
      <c r="F110" s="3524"/>
      <c r="G110" s="3524"/>
      <c r="H110" s="3524"/>
      <c r="I110" s="3524"/>
      <c r="J110" s="3524"/>
      <c r="K110" s="3525"/>
      <c r="L110" s="3526"/>
      <c r="M110" s="3527"/>
      <c r="N110" s="3458"/>
      <c r="O110" s="3458"/>
      <c r="P110" s="3459"/>
      <c r="Q110" s="3426"/>
      <c r="R110" s="3364"/>
      <c r="S110" s="3364"/>
      <c r="T110" s="3364"/>
      <c r="U110" s="3364"/>
      <c r="V110" s="3364"/>
      <c r="W110" s="3364"/>
      <c r="X110" s="3364"/>
      <c r="Y110" s="3364"/>
      <c r="Z110" s="3364"/>
      <c r="AA110" s="3364"/>
      <c r="AB110" s="3364"/>
      <c r="AC110" s="3364"/>
    </row>
    <row r="111" spans="1:29" ht="16.5" hidden="1" thickTop="1" thickBot="1">
      <c r="A111" s="3460"/>
      <c r="B111" s="3470"/>
      <c r="C111" s="3471">
        <v>100</v>
      </c>
      <c r="D111" s="3471">
        <f>C111-$K36</f>
        <v>100</v>
      </c>
      <c r="E111" s="3471">
        <f t="shared" ref="E111:M111" si="25">D111-$K36</f>
        <v>100</v>
      </c>
      <c r="F111" s="3471">
        <f t="shared" si="25"/>
        <v>100</v>
      </c>
      <c r="G111" s="3471">
        <f t="shared" si="25"/>
        <v>100</v>
      </c>
      <c r="H111" s="3471">
        <f t="shared" si="25"/>
        <v>100</v>
      </c>
      <c r="I111" s="3471">
        <f t="shared" si="25"/>
        <v>100</v>
      </c>
      <c r="J111" s="3471">
        <f t="shared" si="25"/>
        <v>100</v>
      </c>
      <c r="K111" s="3471">
        <f t="shared" si="25"/>
        <v>100</v>
      </c>
      <c r="L111" s="3471">
        <f t="shared" si="25"/>
        <v>100</v>
      </c>
      <c r="M111" s="3471">
        <f t="shared" si="25"/>
        <v>100</v>
      </c>
      <c r="N111" s="3464"/>
      <c r="O111" s="3464"/>
      <c r="P111" s="3459"/>
      <c r="Q111" s="3426"/>
      <c r="R111" s="3364"/>
      <c r="S111" s="3364"/>
      <c r="T111" s="3364"/>
      <c r="U111" s="3364"/>
      <c r="V111" s="3364"/>
      <c r="W111" s="3364"/>
      <c r="X111" s="3364"/>
      <c r="Y111" s="3364"/>
      <c r="Z111" s="3364"/>
      <c r="AA111" s="3364"/>
      <c r="AB111" s="3364"/>
      <c r="AC111" s="3364"/>
    </row>
    <row r="112" spans="1:29" ht="16.5" hidden="1" thickTop="1" thickBot="1">
      <c r="A112" s="3460"/>
      <c r="B112" s="3473">
        <f>B37</f>
        <v>0</v>
      </c>
      <c r="C112" s="3480"/>
      <c r="D112" s="3480"/>
      <c r="E112" s="3480"/>
      <c r="F112" s="3480"/>
      <c r="G112" s="3528"/>
      <c r="H112" s="3528"/>
      <c r="I112" s="3528"/>
      <c r="J112" s="3528"/>
      <c r="K112" s="3529"/>
      <c r="L112" s="3530"/>
      <c r="M112" s="3531"/>
      <c r="N112" s="3458"/>
      <c r="O112" s="3458"/>
      <c r="P112" s="3459"/>
      <c r="Q112" s="3426"/>
      <c r="R112" s="3364"/>
      <c r="S112" s="3364"/>
      <c r="T112" s="3364"/>
      <c r="U112" s="3364"/>
      <c r="V112" s="3364"/>
      <c r="W112" s="3364"/>
      <c r="X112" s="3364"/>
      <c r="Y112" s="3364"/>
      <c r="Z112" s="3364"/>
      <c r="AA112" s="3364"/>
      <c r="AB112" s="3364"/>
      <c r="AC112" s="3364"/>
    </row>
    <row r="113" spans="1:29" ht="16.5" hidden="1" thickTop="1" thickBot="1">
      <c r="A113" s="3460"/>
      <c r="B113" s="3500"/>
      <c r="C113" s="3490"/>
      <c r="D113" s="3490"/>
      <c r="E113" s="3490"/>
      <c r="F113" s="3490"/>
      <c r="G113" s="3532"/>
      <c r="H113" s="3532"/>
      <c r="I113" s="3532"/>
      <c r="J113" s="3532"/>
      <c r="K113" s="3532"/>
      <c r="L113" s="3532"/>
      <c r="M113" s="3533"/>
      <c r="N113" s="3464"/>
      <c r="O113" s="3464"/>
      <c r="P113" s="3459"/>
      <c r="Q113" s="3426"/>
      <c r="R113" s="3364"/>
      <c r="S113" s="3364"/>
      <c r="T113" s="3364"/>
      <c r="U113" s="3364"/>
      <c r="V113" s="3364"/>
      <c r="W113" s="3364"/>
      <c r="X113" s="3364"/>
      <c r="Y113" s="3364"/>
      <c r="Z113" s="3364"/>
      <c r="AA113" s="3364"/>
      <c r="AB113" s="3364"/>
      <c r="AC113" s="3364"/>
    </row>
    <row r="114" spans="1:29" ht="15.75" hidden="1" thickTop="1" thickBot="1">
      <c r="A114" s="3324"/>
      <c r="B114" s="3465">
        <f>B38</f>
        <v>0</v>
      </c>
      <c r="C114" s="3446"/>
      <c r="D114" s="3446"/>
      <c r="E114" s="3446"/>
      <c r="F114" s="3446"/>
      <c r="G114" s="3524"/>
      <c r="H114" s="3524"/>
      <c r="I114" s="3524"/>
      <c r="J114" s="3524"/>
      <c r="K114" s="3525"/>
      <c r="L114" s="3526"/>
      <c r="M114" s="3527"/>
      <c r="N114" s="3458"/>
      <c r="O114" s="3458"/>
      <c r="P114" s="3459"/>
      <c r="Q114" s="3426"/>
      <c r="R114" s="3364"/>
      <c r="S114" s="3364"/>
      <c r="T114" s="3364"/>
      <c r="U114" s="3364"/>
      <c r="V114" s="3364"/>
      <c r="W114" s="3364"/>
      <c r="X114" s="3364"/>
      <c r="Y114" s="3364"/>
      <c r="Z114" s="3364"/>
      <c r="AA114" s="3364"/>
      <c r="AB114" s="3364"/>
      <c r="AC114" s="3364"/>
    </row>
    <row r="115" spans="1:29" ht="16.5" hidden="1" thickTop="1" thickBot="1">
      <c r="A115" s="3460"/>
      <c r="B115" s="3470"/>
      <c r="C115" s="3501"/>
      <c r="D115" s="3501"/>
      <c r="E115" s="3501"/>
      <c r="F115" s="3501"/>
      <c r="G115" s="3462"/>
      <c r="H115" s="3462"/>
      <c r="I115" s="3462"/>
      <c r="J115" s="3462"/>
      <c r="K115" s="3462"/>
      <c r="L115" s="3462"/>
      <c r="M115" s="3463"/>
      <c r="N115" s="3464"/>
      <c r="O115" s="3464"/>
      <c r="P115" s="3459"/>
      <c r="Q115" s="3426"/>
      <c r="R115" s="3364"/>
      <c r="S115" s="3364"/>
      <c r="T115" s="3364"/>
      <c r="U115" s="3364"/>
      <c r="V115" s="3364"/>
      <c r="W115" s="3364"/>
      <c r="X115" s="3364"/>
      <c r="Y115" s="3364"/>
      <c r="Z115" s="3364"/>
      <c r="AA115" s="3364"/>
      <c r="AB115" s="3364"/>
      <c r="AC115" s="3364"/>
    </row>
    <row r="116" spans="1:29" s="3337" customFormat="1" ht="15.75" hidden="1" thickTop="1" thickBot="1">
      <c r="A116" s="3534"/>
      <c r="B116" s="3535">
        <f>B39</f>
        <v>0</v>
      </c>
      <c r="C116" s="3536"/>
      <c r="D116" s="3536"/>
      <c r="E116" s="3536"/>
      <c r="F116" s="3536"/>
      <c r="G116" s="3536"/>
      <c r="H116" s="3536"/>
      <c r="I116" s="3536"/>
      <c r="J116" s="3537"/>
      <c r="K116" s="3537"/>
      <c r="L116" s="3538"/>
      <c r="M116" s="3539"/>
      <c r="N116" s="3486"/>
      <c r="O116" s="3486"/>
      <c r="P116" s="3487"/>
      <c r="Q116" s="3488"/>
      <c r="R116" s="3489"/>
      <c r="S116" s="3489"/>
      <c r="T116" s="3489"/>
      <c r="U116" s="3489"/>
      <c r="V116" s="3489"/>
      <c r="W116" s="3489"/>
      <c r="X116" s="3489"/>
      <c r="Y116" s="3489"/>
      <c r="Z116" s="3489"/>
      <c r="AA116" s="3489"/>
      <c r="AB116" s="3489"/>
      <c r="AC116" s="3489"/>
    </row>
    <row r="117" spans="1:29" s="3337" customFormat="1" ht="16.5" hidden="1" thickTop="1" thickBot="1">
      <c r="A117" s="3479"/>
      <c r="B117" s="3473"/>
      <c r="C117" s="3451"/>
      <c r="D117" s="3540"/>
      <c r="E117" s="3540"/>
      <c r="F117" s="3540"/>
      <c r="G117" s="3540"/>
      <c r="H117" s="3540"/>
      <c r="I117" s="3540"/>
      <c r="J117" s="3540"/>
      <c r="K117" s="3540"/>
      <c r="L117" s="3540"/>
      <c r="M117" s="3541"/>
      <c r="N117" s="3464"/>
      <c r="O117" s="3464"/>
      <c r="P117" s="3487"/>
      <c r="Q117" s="3488"/>
      <c r="R117" s="3489"/>
      <c r="S117" s="3489"/>
      <c r="T117" s="3489"/>
      <c r="U117" s="3489"/>
      <c r="V117" s="3489"/>
      <c r="W117" s="3489"/>
      <c r="X117" s="3489"/>
      <c r="Y117" s="3489"/>
      <c r="Z117" s="3489"/>
      <c r="AA117" s="3489"/>
      <c r="AB117" s="3489"/>
      <c r="AC117" s="3489"/>
    </row>
    <row r="118" spans="1:29" ht="29.25" thickTop="1">
      <c r="A118" s="3453" t="s">
        <v>3109</v>
      </c>
      <c r="B118" s="3454" t="s">
        <v>3045</v>
      </c>
      <c r="C118" s="3505" t="str">
        <f t="shared" ref="C118:L118" si="26">C119&amp;"(含)"&amp;"-"&amp;D119</f>
        <v>0(含)-50000</v>
      </c>
      <c r="D118" s="3505" t="str">
        <f t="shared" si="26"/>
        <v>50000(含)-</v>
      </c>
      <c r="E118" s="3505" t="str">
        <f t="shared" si="26"/>
        <v>(含)-</v>
      </c>
      <c r="F118" s="3505" t="str">
        <f t="shared" si="26"/>
        <v>(含)-</v>
      </c>
      <c r="G118" s="3505" t="str">
        <f t="shared" si="26"/>
        <v>(含)-</v>
      </c>
      <c r="H118" s="3505" t="str">
        <f t="shared" si="26"/>
        <v>(含)-</v>
      </c>
      <c r="I118" s="3505" t="str">
        <f t="shared" si="26"/>
        <v>(含)-</v>
      </c>
      <c r="J118" s="3542" t="str">
        <f t="shared" si="26"/>
        <v>(含)-</v>
      </c>
      <c r="K118" s="3542" t="str">
        <f t="shared" si="26"/>
        <v>(含)-</v>
      </c>
      <c r="L118" s="3543" t="str">
        <f t="shared" si="26"/>
        <v>(含)-</v>
      </c>
      <c r="M118" s="3544" t="str">
        <f>M119&amp;"(含)"&amp;"-"&amp;P119</f>
        <v>(含)-</v>
      </c>
      <c r="N118" s="3458"/>
      <c r="O118" s="3458"/>
      <c r="P118" s="3459"/>
      <c r="Q118" s="3426"/>
      <c r="R118" s="3364"/>
      <c r="S118" s="3364"/>
      <c r="T118" s="3364"/>
      <c r="U118" s="3364"/>
      <c r="V118" s="3364"/>
      <c r="W118" s="3364"/>
      <c r="X118" s="3364"/>
      <c r="Y118" s="3364"/>
      <c r="Z118" s="3364"/>
      <c r="AA118" s="3364"/>
      <c r="AB118" s="3364"/>
      <c r="AC118" s="3364"/>
    </row>
    <row r="119" spans="1:29" ht="15">
      <c r="A119" s="3460"/>
      <c r="B119" s="3473"/>
      <c r="C119" s="3536">
        <v>0</v>
      </c>
      <c r="D119" s="3536">
        <v>50000</v>
      </c>
      <c r="E119" s="3536"/>
      <c r="F119" s="3536"/>
      <c r="G119" s="3536"/>
      <c r="H119" s="3536"/>
      <c r="I119" s="3536"/>
      <c r="J119" s="3545"/>
      <c r="K119" s="3545"/>
      <c r="L119" s="3546"/>
      <c r="M119" s="3547"/>
      <c r="N119" s="3458"/>
      <c r="O119" s="3458"/>
      <c r="P119" s="3459"/>
      <c r="Q119" s="3426"/>
      <c r="R119" s="3364"/>
      <c r="S119" s="3364"/>
      <c r="T119" s="3364"/>
      <c r="U119" s="3364"/>
      <c r="V119" s="3364"/>
      <c r="W119" s="3364"/>
      <c r="X119" s="3364"/>
      <c r="Y119" s="3364"/>
      <c r="Z119" s="3364"/>
      <c r="AA119" s="3364"/>
      <c r="AB119" s="3364"/>
      <c r="AC119" s="3364"/>
    </row>
    <row r="120" spans="1:29" ht="15.75" thickBot="1">
      <c r="A120" s="3460"/>
      <c r="B120" s="3470"/>
      <c r="C120" s="3501">
        <v>100</v>
      </c>
      <c r="D120" s="3532">
        <v>101</v>
      </c>
      <c r="E120" s="3532">
        <v>102</v>
      </c>
      <c r="F120" s="3532"/>
      <c r="G120" s="3532"/>
      <c r="H120" s="3532"/>
      <c r="I120" s="3532"/>
      <c r="J120" s="3532"/>
      <c r="K120" s="3532"/>
      <c r="L120" s="3532"/>
      <c r="M120" s="3533"/>
      <c r="N120" s="3464"/>
      <c r="O120" s="3464"/>
      <c r="P120" s="3459"/>
      <c r="Q120" s="3426"/>
      <c r="R120" s="3364"/>
      <c r="S120" s="3364"/>
      <c r="T120" s="3364"/>
      <c r="U120" s="3364"/>
      <c r="V120" s="3364"/>
      <c r="W120" s="3364"/>
      <c r="X120" s="3364"/>
      <c r="Y120" s="3364"/>
      <c r="Z120" s="3364"/>
      <c r="AA120" s="3364"/>
      <c r="AB120" s="3364"/>
      <c r="AC120" s="3364"/>
    </row>
    <row r="121" spans="1:29" ht="15" thickTop="1">
      <c r="A121" s="3548"/>
      <c r="B121" s="3465" t="s">
        <v>3046</v>
      </c>
      <c r="C121" s="3549" t="s">
        <v>3110</v>
      </c>
      <c r="D121" s="3524"/>
      <c r="E121" s="3524"/>
      <c r="F121" s="3524"/>
      <c r="G121" s="3524"/>
      <c r="H121" s="3524"/>
      <c r="I121" s="3524"/>
      <c r="J121" s="3524"/>
      <c r="K121" s="3525"/>
      <c r="L121" s="3526"/>
      <c r="M121" s="3527"/>
      <c r="N121" s="3458"/>
      <c r="O121" s="3458"/>
      <c r="P121" s="3459"/>
      <c r="Q121" s="3426"/>
      <c r="R121" s="3364"/>
      <c r="S121" s="3364"/>
      <c r="T121" s="3364"/>
      <c r="U121" s="3364"/>
      <c r="V121" s="3364"/>
      <c r="W121" s="3364"/>
      <c r="X121" s="3364"/>
      <c r="Y121" s="3364"/>
      <c r="Z121" s="3364"/>
      <c r="AA121" s="3364"/>
      <c r="AB121" s="3364"/>
      <c r="AC121" s="3364"/>
    </row>
    <row r="122" spans="1:29" ht="15.75" thickBot="1">
      <c r="A122" s="3460"/>
      <c r="B122" s="3470"/>
      <c r="C122" s="3471">
        <v>100</v>
      </c>
      <c r="D122" s="3471">
        <f t="shared" ref="D122:M122" si="27">C122-$K41</f>
        <v>98</v>
      </c>
      <c r="E122" s="3471">
        <f t="shared" si="27"/>
        <v>96</v>
      </c>
      <c r="F122" s="3471">
        <f t="shared" si="27"/>
        <v>94</v>
      </c>
      <c r="G122" s="3471">
        <f t="shared" si="27"/>
        <v>92</v>
      </c>
      <c r="H122" s="3471">
        <f t="shared" si="27"/>
        <v>90</v>
      </c>
      <c r="I122" s="3471">
        <f t="shared" si="27"/>
        <v>88</v>
      </c>
      <c r="J122" s="3471">
        <f t="shared" si="27"/>
        <v>86</v>
      </c>
      <c r="K122" s="3471">
        <f t="shared" si="27"/>
        <v>84</v>
      </c>
      <c r="L122" s="3471">
        <f t="shared" si="27"/>
        <v>82</v>
      </c>
      <c r="M122" s="3472">
        <f t="shared" si="27"/>
        <v>80</v>
      </c>
      <c r="N122" s="3464"/>
      <c r="O122" s="3464"/>
      <c r="P122" s="3459"/>
      <c r="Q122" s="3426"/>
      <c r="R122" s="3364"/>
      <c r="S122" s="3364"/>
      <c r="T122" s="3364"/>
      <c r="U122" s="3364"/>
      <c r="V122" s="3364"/>
      <c r="W122" s="3364"/>
      <c r="X122" s="3364"/>
      <c r="Y122" s="3364"/>
      <c r="Z122" s="3364"/>
      <c r="AA122" s="3364"/>
      <c r="AB122" s="3364"/>
      <c r="AC122" s="3364"/>
    </row>
    <row r="123" spans="1:29" ht="15.75" hidden="1" thickTop="1" thickBot="1">
      <c r="A123" s="3548"/>
      <c r="B123" s="3465" t="s">
        <v>3048</v>
      </c>
      <c r="C123" s="3480"/>
      <c r="D123" s="3480"/>
      <c r="E123" s="3480"/>
      <c r="F123" s="3524"/>
      <c r="G123" s="3524"/>
      <c r="H123" s="3524"/>
      <c r="I123" s="3524"/>
      <c r="J123" s="3524"/>
      <c r="K123" s="3525"/>
      <c r="L123" s="3526"/>
      <c r="M123" s="3527"/>
      <c r="N123" s="3458"/>
      <c r="O123" s="3458"/>
      <c r="P123" s="3459"/>
      <c r="Q123" s="3426"/>
      <c r="R123" s="3364"/>
      <c r="S123" s="3364"/>
      <c r="T123" s="3364"/>
      <c r="U123" s="3364"/>
      <c r="V123" s="3364"/>
      <c r="W123" s="3364"/>
      <c r="X123" s="3364"/>
      <c r="Y123" s="3364"/>
      <c r="Z123" s="3364"/>
      <c r="AA123" s="3364"/>
      <c r="AB123" s="3364"/>
      <c r="AC123" s="3364"/>
    </row>
    <row r="124" spans="1:29" ht="16.5" hidden="1" thickTop="1" thickBot="1">
      <c r="A124" s="3460"/>
      <c r="B124" s="3470"/>
      <c r="C124" s="3471">
        <v>100</v>
      </c>
      <c r="D124" s="3471">
        <f t="shared" ref="D124:M124" si="28">C124-$K42</f>
        <v>100</v>
      </c>
      <c r="E124" s="3471">
        <f t="shared" si="28"/>
        <v>100</v>
      </c>
      <c r="F124" s="3471">
        <f t="shared" si="28"/>
        <v>100</v>
      </c>
      <c r="G124" s="3471">
        <f t="shared" si="28"/>
        <v>100</v>
      </c>
      <c r="H124" s="3471">
        <f t="shared" si="28"/>
        <v>100</v>
      </c>
      <c r="I124" s="3471">
        <f t="shared" si="28"/>
        <v>100</v>
      </c>
      <c r="J124" s="3471">
        <f t="shared" si="28"/>
        <v>100</v>
      </c>
      <c r="K124" s="3471">
        <f t="shared" si="28"/>
        <v>100</v>
      </c>
      <c r="L124" s="3471">
        <f t="shared" si="28"/>
        <v>100</v>
      </c>
      <c r="M124" s="3472">
        <f t="shared" si="28"/>
        <v>100</v>
      </c>
      <c r="N124" s="3464"/>
      <c r="O124" s="3464"/>
      <c r="P124" s="3459"/>
      <c r="Q124" s="3426"/>
      <c r="R124" s="3364"/>
      <c r="S124" s="3364"/>
      <c r="T124" s="3364"/>
      <c r="U124" s="3364"/>
      <c r="V124" s="3364"/>
      <c r="W124" s="3364"/>
      <c r="X124" s="3364"/>
      <c r="Y124" s="3364"/>
      <c r="Z124" s="3364"/>
      <c r="AA124" s="3364"/>
      <c r="AB124" s="3364"/>
      <c r="AC124" s="3364"/>
    </row>
    <row r="125" spans="1:29" s="3337" customFormat="1" ht="15" thickTop="1">
      <c r="A125" s="3534"/>
      <c r="B125" s="3515" t="s">
        <v>3111</v>
      </c>
      <c r="C125" s="3481" t="s">
        <v>3112</v>
      </c>
      <c r="D125" s="3481"/>
      <c r="E125" s="3481"/>
      <c r="F125" s="3481"/>
      <c r="G125" s="3481"/>
      <c r="H125" s="3524"/>
      <c r="I125" s="3524"/>
      <c r="J125" s="3524"/>
      <c r="K125" s="3525"/>
      <c r="L125" s="3526"/>
      <c r="M125" s="3527"/>
      <c r="N125" s="3486"/>
      <c r="O125" s="3486"/>
      <c r="P125" s="3487"/>
      <c r="Q125" s="3488"/>
      <c r="R125" s="3489"/>
      <c r="S125" s="3489"/>
      <c r="T125" s="3489"/>
      <c r="U125" s="3489"/>
      <c r="V125" s="3489"/>
      <c r="W125" s="3489"/>
      <c r="X125" s="3489"/>
      <c r="Y125" s="3489"/>
      <c r="Z125" s="3489"/>
      <c r="AA125" s="3489"/>
      <c r="AB125" s="3489"/>
      <c r="AC125" s="3489"/>
    </row>
    <row r="126" spans="1:29" s="3337" customFormat="1" ht="15.75" thickBot="1">
      <c r="A126" s="3479"/>
      <c r="B126" s="3470"/>
      <c r="C126" s="3471">
        <v>100</v>
      </c>
      <c r="D126" s="3471">
        <f>C126-$K43</f>
        <v>98</v>
      </c>
      <c r="E126" s="3471">
        <f t="shared" ref="E126:M126" si="29">D126-$K43</f>
        <v>96</v>
      </c>
      <c r="F126" s="3471">
        <f t="shared" si="29"/>
        <v>94</v>
      </c>
      <c r="G126" s="3471">
        <f t="shared" si="29"/>
        <v>92</v>
      </c>
      <c r="H126" s="3471">
        <f t="shared" si="29"/>
        <v>90</v>
      </c>
      <c r="I126" s="3471">
        <f t="shared" si="29"/>
        <v>88</v>
      </c>
      <c r="J126" s="3471">
        <f t="shared" si="29"/>
        <v>86</v>
      </c>
      <c r="K126" s="3471">
        <f t="shared" si="29"/>
        <v>84</v>
      </c>
      <c r="L126" s="3471">
        <f t="shared" si="29"/>
        <v>82</v>
      </c>
      <c r="M126" s="3472">
        <f t="shared" si="29"/>
        <v>80</v>
      </c>
      <c r="N126" s="3486"/>
      <c r="O126" s="3486"/>
      <c r="P126" s="3487"/>
      <c r="Q126" s="3488"/>
      <c r="R126" s="3489"/>
      <c r="S126" s="3489"/>
      <c r="T126" s="3489"/>
      <c r="U126" s="3489"/>
      <c r="V126" s="3489"/>
      <c r="W126" s="3489"/>
      <c r="X126" s="3489"/>
      <c r="Y126" s="3489"/>
      <c r="Z126" s="3489"/>
      <c r="AA126" s="3489"/>
      <c r="AB126" s="3489"/>
      <c r="AC126" s="3489"/>
    </row>
    <row r="127" spans="1:29" ht="15" thickTop="1">
      <c r="A127" s="3548"/>
      <c r="B127" s="3465" t="s">
        <v>3050</v>
      </c>
      <c r="C127" s="3482" t="s">
        <v>3113</v>
      </c>
      <c r="D127" s="3480"/>
      <c r="E127" s="3524"/>
      <c r="F127" s="3524"/>
      <c r="G127" s="3524"/>
      <c r="H127" s="3524"/>
      <c r="I127" s="3524"/>
      <c r="J127" s="3524"/>
      <c r="K127" s="3525"/>
      <c r="L127" s="3526"/>
      <c r="M127" s="3527"/>
      <c r="N127" s="3458"/>
      <c r="O127" s="3458"/>
      <c r="P127" s="3459"/>
      <c r="Q127" s="3426"/>
      <c r="R127" s="3364"/>
      <c r="S127" s="3364"/>
      <c r="T127" s="3364"/>
      <c r="U127" s="3364"/>
      <c r="V127" s="3364"/>
      <c r="W127" s="3364"/>
      <c r="X127" s="3364"/>
      <c r="Y127" s="3364"/>
      <c r="Z127" s="3364"/>
      <c r="AA127" s="3364"/>
      <c r="AB127" s="3364"/>
      <c r="AC127" s="3364"/>
    </row>
    <row r="128" spans="1:29" ht="15.75" thickBot="1">
      <c r="A128" s="3460"/>
      <c r="B128" s="3470"/>
      <c r="C128" s="3471">
        <v>100</v>
      </c>
      <c r="D128" s="3471">
        <f t="shared" ref="D128:M128" si="30">C128-$K44</f>
        <v>98</v>
      </c>
      <c r="E128" s="3471">
        <f t="shared" si="30"/>
        <v>96</v>
      </c>
      <c r="F128" s="3471">
        <f t="shared" si="30"/>
        <v>94</v>
      </c>
      <c r="G128" s="3471">
        <f t="shared" si="30"/>
        <v>92</v>
      </c>
      <c r="H128" s="3471">
        <f t="shared" si="30"/>
        <v>90</v>
      </c>
      <c r="I128" s="3471">
        <f t="shared" si="30"/>
        <v>88</v>
      </c>
      <c r="J128" s="3471">
        <f t="shared" si="30"/>
        <v>86</v>
      </c>
      <c r="K128" s="3471">
        <f t="shared" si="30"/>
        <v>84</v>
      </c>
      <c r="L128" s="3471">
        <f t="shared" si="30"/>
        <v>82</v>
      </c>
      <c r="M128" s="3472">
        <f t="shared" si="30"/>
        <v>80</v>
      </c>
      <c r="N128" s="3464"/>
      <c r="O128" s="3464"/>
      <c r="P128" s="3459"/>
      <c r="Q128" s="3426"/>
      <c r="R128" s="3364"/>
      <c r="S128" s="3364"/>
      <c r="T128" s="3364"/>
      <c r="U128" s="3364"/>
      <c r="V128" s="3364"/>
      <c r="W128" s="3364"/>
      <c r="X128" s="3364"/>
      <c r="Y128" s="3364"/>
      <c r="Z128" s="3364"/>
      <c r="AA128" s="3364"/>
      <c r="AB128" s="3364"/>
      <c r="AC128" s="3364"/>
    </row>
    <row r="129" spans="1:29" ht="15" hidden="1" thickTop="1">
      <c r="A129" s="3548"/>
      <c r="B129" s="3465">
        <f>B45</f>
        <v>0</v>
      </c>
      <c r="C129" s="3480"/>
      <c r="D129" s="3480"/>
      <c r="E129" s="3480"/>
      <c r="F129" s="3480"/>
      <c r="G129" s="3480"/>
      <c r="H129" s="3524"/>
      <c r="I129" s="3524"/>
      <c r="J129" s="3524"/>
      <c r="K129" s="3525"/>
      <c r="L129" s="3526"/>
      <c r="M129" s="3527"/>
      <c r="N129" s="3458"/>
      <c r="O129" s="3458"/>
      <c r="P129" s="3459"/>
      <c r="Q129" s="3426"/>
      <c r="R129" s="3364"/>
      <c r="S129" s="3364"/>
      <c r="T129" s="3364"/>
      <c r="U129" s="3364"/>
      <c r="V129" s="3364"/>
      <c r="W129" s="3364"/>
      <c r="X129" s="3364"/>
      <c r="Y129" s="3364"/>
      <c r="Z129" s="3364"/>
      <c r="AA129" s="3364"/>
      <c r="AB129" s="3364"/>
      <c r="AC129" s="3364"/>
    </row>
    <row r="130" spans="1:29" ht="16.5" hidden="1" thickTop="1" thickBot="1">
      <c r="A130" s="3460"/>
      <c r="B130" s="3470"/>
      <c r="C130" s="3490"/>
      <c r="D130" s="3490"/>
      <c r="E130" s="3490"/>
      <c r="F130" s="3490"/>
      <c r="G130" s="3462"/>
      <c r="H130" s="3462"/>
      <c r="I130" s="3462"/>
      <c r="J130" s="3462"/>
      <c r="K130" s="3462"/>
      <c r="L130" s="3462"/>
      <c r="M130" s="3463"/>
      <c r="N130" s="3464"/>
      <c r="O130" s="3464"/>
      <c r="P130" s="3459"/>
      <c r="Q130" s="3426"/>
      <c r="R130" s="3364"/>
      <c r="S130" s="3364"/>
      <c r="T130" s="3364"/>
      <c r="U130" s="3364"/>
      <c r="V130" s="3364"/>
      <c r="W130" s="3364"/>
      <c r="X130" s="3364"/>
      <c r="Y130" s="3364"/>
      <c r="Z130" s="3364"/>
      <c r="AA130" s="3364"/>
      <c r="AB130" s="3364"/>
      <c r="AC130" s="3364"/>
    </row>
    <row r="131" spans="1:29" ht="15" hidden="1" thickTop="1">
      <c r="A131" s="3548"/>
      <c r="B131" s="3465">
        <f>B46</f>
        <v>0</v>
      </c>
      <c r="C131" s="3446"/>
      <c r="D131" s="3446"/>
      <c r="E131" s="3446"/>
      <c r="F131" s="3446"/>
      <c r="G131" s="3524"/>
      <c r="H131" s="3524"/>
      <c r="I131" s="3524"/>
      <c r="J131" s="3524"/>
      <c r="K131" s="3525"/>
      <c r="L131" s="3526"/>
      <c r="M131" s="3527"/>
      <c r="N131" s="3458"/>
      <c r="O131" s="3458"/>
      <c r="P131" s="3459"/>
      <c r="Q131" s="3426"/>
      <c r="R131" s="3364"/>
      <c r="S131" s="3364"/>
      <c r="T131" s="3364"/>
      <c r="U131" s="3364"/>
      <c r="V131" s="3364"/>
      <c r="W131" s="3364"/>
      <c r="X131" s="3364"/>
      <c r="Y131" s="3364"/>
      <c r="Z131" s="3364"/>
      <c r="AA131" s="3364"/>
      <c r="AB131" s="3364"/>
      <c r="AC131" s="3364"/>
    </row>
    <row r="132" spans="1:29" ht="16.5" hidden="1" thickTop="1" thickBot="1">
      <c r="A132" s="3460"/>
      <c r="B132" s="3470"/>
      <c r="C132" s="3501"/>
      <c r="D132" s="3501"/>
      <c r="E132" s="3501"/>
      <c r="F132" s="3501"/>
      <c r="G132" s="3462"/>
      <c r="H132" s="3462"/>
      <c r="I132" s="3462"/>
      <c r="J132" s="3462"/>
      <c r="K132" s="3462"/>
      <c r="L132" s="3462"/>
      <c r="M132" s="3463"/>
      <c r="N132" s="3464"/>
      <c r="O132" s="3464"/>
      <c r="P132" s="3459"/>
      <c r="Q132" s="3426"/>
      <c r="R132" s="3364"/>
      <c r="S132" s="3364"/>
      <c r="T132" s="3364"/>
      <c r="U132" s="3364"/>
      <c r="V132" s="3364"/>
      <c r="W132" s="3364"/>
      <c r="X132" s="3364"/>
      <c r="Y132" s="3364"/>
      <c r="Z132" s="3364"/>
      <c r="AA132" s="3364"/>
      <c r="AB132" s="3364"/>
      <c r="AC132" s="3364"/>
    </row>
    <row r="133" spans="1:29" s="3337" customFormat="1" ht="15" hidden="1" thickTop="1">
      <c r="A133" s="3534"/>
      <c r="B133" s="3465">
        <f>B47</f>
        <v>0</v>
      </c>
      <c r="C133" s="3446"/>
      <c r="D133" s="3446"/>
      <c r="E133" s="3446"/>
      <c r="F133" s="3446"/>
      <c r="G133" s="3483"/>
      <c r="H133" s="3483"/>
      <c r="I133" s="3483"/>
      <c r="J133" s="3483"/>
      <c r="K133" s="3483"/>
      <c r="L133" s="3484"/>
      <c r="M133" s="3485"/>
      <c r="N133" s="3486"/>
      <c r="O133" s="3486"/>
      <c r="P133" s="3487"/>
      <c r="Q133" s="3488"/>
      <c r="R133" s="3489"/>
      <c r="S133" s="3489"/>
      <c r="T133" s="3489"/>
      <c r="U133" s="3489"/>
      <c r="V133" s="3489"/>
      <c r="W133" s="3489"/>
      <c r="X133" s="3489"/>
      <c r="Y133" s="3489"/>
      <c r="Z133" s="3489"/>
      <c r="AA133" s="3489"/>
      <c r="AB133" s="3489"/>
      <c r="AC133" s="3489"/>
    </row>
    <row r="134" spans="1:29" s="3337" customFormat="1" ht="16.5" hidden="1" thickTop="1" thickBot="1">
      <c r="A134" s="3499"/>
      <c r="B134" s="3550"/>
      <c r="C134" s="3501"/>
      <c r="D134" s="3501"/>
      <c r="E134" s="3501"/>
      <c r="F134" s="3501"/>
      <c r="G134" s="3532"/>
      <c r="H134" s="3532"/>
      <c r="I134" s="3532"/>
      <c r="J134" s="3532"/>
      <c r="K134" s="3532"/>
      <c r="L134" s="3532"/>
      <c r="M134" s="3533"/>
      <c r="N134" s="3486"/>
      <c r="O134" s="3486"/>
      <c r="P134" s="3487"/>
      <c r="Q134" s="3488"/>
      <c r="R134" s="3489"/>
      <c r="S134" s="3489"/>
      <c r="T134" s="3489"/>
      <c r="U134" s="3489"/>
      <c r="V134" s="3489"/>
      <c r="W134" s="3489"/>
      <c r="X134" s="3489"/>
      <c r="Y134" s="3489"/>
      <c r="Z134" s="3489"/>
      <c r="AA134" s="3489"/>
      <c r="AB134" s="3489"/>
      <c r="AC134" s="3489"/>
    </row>
    <row r="135" spans="1:29" s="3554" customFormat="1" ht="15" thickTop="1">
      <c r="A135" s="3551"/>
      <c r="B135" s="3551"/>
      <c r="C135" s="3551"/>
      <c r="D135" s="3551"/>
      <c r="E135" s="3551"/>
      <c r="F135" s="3551"/>
      <c r="G135" s="3551"/>
      <c r="H135" s="3551"/>
      <c r="I135" s="3551"/>
      <c r="J135" s="3551"/>
      <c r="K135" s="3552"/>
      <c r="L135" s="3553"/>
      <c r="M135" s="3551"/>
      <c r="N135" s="3551"/>
      <c r="O135" s="3551"/>
      <c r="P135" s="3551"/>
      <c r="Q135" s="3551"/>
      <c r="R135" s="3551"/>
      <c r="S135" s="3551"/>
      <c r="T135" s="3551"/>
      <c r="U135" s="3551"/>
      <c r="V135" s="3551"/>
      <c r="W135" s="3551"/>
      <c r="X135" s="3551"/>
      <c r="Y135" s="3551"/>
      <c r="Z135" s="3551"/>
      <c r="AA135" s="3551"/>
      <c r="AB135" s="3551"/>
      <c r="AC135" s="3551"/>
    </row>
    <row r="136" spans="1:29" s="3554" customFormat="1">
      <c r="A136" s="3551"/>
      <c r="B136" s="3551"/>
      <c r="C136" s="3551"/>
      <c r="D136" s="3551"/>
      <c r="E136" s="3551"/>
      <c r="F136" s="3551"/>
      <c r="G136" s="3551"/>
      <c r="H136" s="3551"/>
      <c r="I136" s="3551"/>
      <c r="J136" s="3551"/>
      <c r="K136" s="3552"/>
      <c r="L136" s="3553"/>
      <c r="M136" s="3551"/>
      <c r="N136" s="3551"/>
      <c r="O136" s="3551"/>
      <c r="P136" s="3551"/>
      <c r="Q136" s="3551"/>
      <c r="R136" s="3551"/>
      <c r="S136" s="3551"/>
      <c r="T136" s="3551"/>
      <c r="U136" s="3551"/>
      <c r="V136" s="3551"/>
      <c r="W136" s="3551"/>
      <c r="X136" s="3551"/>
      <c r="Y136" s="3551"/>
      <c r="Z136" s="3551"/>
      <c r="AA136" s="3551"/>
      <c r="AB136" s="3551"/>
      <c r="AC136" s="3551"/>
    </row>
    <row r="137" spans="1:29" s="3554" customFormat="1">
      <c r="A137" s="3551"/>
      <c r="B137" s="3551"/>
      <c r="C137" s="3551"/>
      <c r="D137" s="3551"/>
      <c r="E137" s="3551"/>
      <c r="F137" s="3551"/>
      <c r="G137" s="3551"/>
      <c r="H137" s="3551"/>
      <c r="I137" s="3551"/>
      <c r="J137" s="3551"/>
      <c r="K137" s="3552"/>
      <c r="L137" s="3553"/>
      <c r="M137" s="3551"/>
      <c r="N137" s="3551"/>
      <c r="O137" s="3551"/>
      <c r="P137" s="3551"/>
      <c r="Q137" s="3551"/>
      <c r="R137" s="3551"/>
      <c r="S137" s="3551"/>
      <c r="T137" s="3551"/>
      <c r="U137" s="3551"/>
      <c r="V137" s="3551"/>
      <c r="W137" s="3551"/>
      <c r="X137" s="3551"/>
      <c r="Y137" s="3551"/>
      <c r="Z137" s="3551"/>
      <c r="AA137" s="3551"/>
      <c r="AB137" s="3551"/>
      <c r="AC137" s="3551"/>
    </row>
    <row r="138" spans="1:29" s="3554" customFormat="1">
      <c r="A138" s="3551"/>
      <c r="B138" s="3551"/>
      <c r="C138" s="3551"/>
      <c r="D138" s="3551"/>
      <c r="E138" s="3551"/>
      <c r="F138" s="3551"/>
      <c r="G138" s="3551"/>
      <c r="H138" s="3551"/>
      <c r="I138" s="3551"/>
      <c r="J138" s="3551"/>
      <c r="K138" s="3552"/>
      <c r="L138" s="3553"/>
      <c r="M138" s="3551"/>
      <c r="N138" s="3551"/>
      <c r="O138" s="3551"/>
      <c r="P138" s="3551"/>
      <c r="Q138" s="3551"/>
      <c r="R138" s="3551"/>
      <c r="S138" s="3551"/>
      <c r="T138" s="3551"/>
      <c r="U138" s="3551"/>
      <c r="V138" s="3551"/>
      <c r="W138" s="3551"/>
      <c r="X138" s="3551"/>
      <c r="Y138" s="3551"/>
      <c r="Z138" s="3551"/>
      <c r="AA138" s="3551"/>
      <c r="AB138" s="3551"/>
      <c r="AC138" s="3551"/>
    </row>
    <row r="139" spans="1:29" s="3554" customFormat="1">
      <c r="A139" s="3551"/>
      <c r="B139" s="3551"/>
      <c r="C139" s="3551"/>
      <c r="D139" s="3551"/>
      <c r="E139" s="3551"/>
      <c r="F139" s="3551"/>
      <c r="G139" s="3551"/>
      <c r="H139" s="3551"/>
      <c r="I139" s="3551"/>
      <c r="J139" s="3551"/>
      <c r="K139" s="3552"/>
      <c r="L139" s="3553"/>
      <c r="M139" s="3551"/>
      <c r="N139" s="3551"/>
      <c r="O139" s="3551"/>
      <c r="P139" s="3551"/>
      <c r="Q139" s="3551"/>
      <c r="R139" s="3551"/>
      <c r="S139" s="3551"/>
      <c r="T139" s="3551"/>
      <c r="U139" s="3551"/>
      <c r="V139" s="3551"/>
      <c r="W139" s="3551"/>
      <c r="X139" s="3551"/>
      <c r="Y139" s="3551"/>
      <c r="Z139" s="3551"/>
      <c r="AA139" s="3551"/>
      <c r="AB139" s="3551"/>
      <c r="AC139" s="3551"/>
    </row>
    <row r="140" spans="1:29" s="3554" customFormat="1">
      <c r="A140" s="3551"/>
      <c r="B140" s="3551"/>
      <c r="C140" s="3551"/>
      <c r="D140" s="3551"/>
      <c r="E140" s="3551"/>
      <c r="F140" s="3551"/>
      <c r="G140" s="3551"/>
      <c r="H140" s="3551"/>
      <c r="I140" s="3551"/>
      <c r="J140" s="3551"/>
      <c r="K140" s="3552"/>
      <c r="L140" s="3553"/>
      <c r="M140" s="3551"/>
      <c r="N140" s="3551"/>
      <c r="O140" s="3551"/>
      <c r="P140" s="3551"/>
      <c r="Q140" s="3551"/>
      <c r="R140" s="3551"/>
      <c r="S140" s="3551"/>
      <c r="T140" s="3551"/>
      <c r="U140" s="3551"/>
      <c r="V140" s="3551"/>
      <c r="W140" s="3551"/>
      <c r="X140" s="3551"/>
      <c r="Y140" s="3551"/>
      <c r="Z140" s="3551"/>
      <c r="AA140" s="3551"/>
      <c r="AB140" s="3551"/>
      <c r="AC140" s="3551"/>
    </row>
    <row r="141" spans="1:29" s="3554" customFormat="1">
      <c r="A141" s="3551"/>
      <c r="B141" s="3551"/>
      <c r="C141" s="3551"/>
      <c r="D141" s="3551"/>
      <c r="E141" s="3551"/>
      <c r="F141" s="3551"/>
      <c r="G141" s="3551"/>
      <c r="H141" s="3551"/>
      <c r="I141" s="3551"/>
      <c r="J141" s="3551"/>
      <c r="K141" s="3552"/>
      <c r="L141" s="3553"/>
      <c r="M141" s="3551"/>
      <c r="N141" s="3551"/>
      <c r="O141" s="3551"/>
      <c r="P141" s="3551"/>
      <c r="Q141" s="3551"/>
      <c r="R141" s="3551"/>
      <c r="S141" s="3551"/>
      <c r="T141" s="3551"/>
      <c r="U141" s="3551"/>
      <c r="V141" s="3551"/>
      <c r="W141" s="3551"/>
      <c r="X141" s="3551"/>
      <c r="Y141" s="3551"/>
      <c r="Z141" s="3551"/>
      <c r="AA141" s="3551"/>
      <c r="AB141" s="3551"/>
      <c r="AC141" s="3551"/>
    </row>
    <row r="142" spans="1:29" s="3554" customFormat="1">
      <c r="A142" s="3551"/>
      <c r="B142" s="3551"/>
      <c r="C142" s="3551"/>
      <c r="D142" s="3551"/>
      <c r="E142" s="3551"/>
      <c r="F142" s="3551"/>
      <c r="G142" s="3551"/>
      <c r="H142" s="3551"/>
      <c r="I142" s="3551"/>
      <c r="J142" s="3551"/>
      <c r="K142" s="3552"/>
      <c r="L142" s="3553"/>
      <c r="M142" s="3551"/>
      <c r="N142" s="3551"/>
      <c r="O142" s="3551"/>
      <c r="P142" s="3551"/>
      <c r="Q142" s="3551"/>
      <c r="R142" s="3551"/>
      <c r="S142" s="3551"/>
      <c r="T142" s="3551"/>
      <c r="U142" s="3551"/>
      <c r="V142" s="3551"/>
      <c r="W142" s="3551"/>
      <c r="X142" s="3551"/>
      <c r="Y142" s="3551"/>
      <c r="Z142" s="3551"/>
      <c r="AA142" s="3551"/>
      <c r="AB142" s="3551"/>
      <c r="AC142" s="3551"/>
    </row>
    <row r="143" spans="1:29" s="3554" customFormat="1">
      <c r="A143" s="3551"/>
      <c r="B143" s="3551"/>
      <c r="C143" s="3551"/>
      <c r="D143" s="3551"/>
      <c r="E143" s="3551"/>
      <c r="F143" s="3551"/>
      <c r="G143" s="3551"/>
      <c r="H143" s="3551"/>
      <c r="I143" s="3551"/>
      <c r="J143" s="3551"/>
      <c r="K143" s="3552"/>
      <c r="L143" s="3553"/>
      <c r="M143" s="3551"/>
      <c r="N143" s="3551"/>
      <c r="O143" s="3551"/>
      <c r="P143" s="3551"/>
      <c r="Q143" s="3551"/>
      <c r="R143" s="3551"/>
      <c r="S143" s="3551"/>
      <c r="T143" s="3551"/>
      <c r="U143" s="3551"/>
      <c r="V143" s="3551"/>
      <c r="W143" s="3551"/>
      <c r="X143" s="3551"/>
      <c r="Y143" s="3551"/>
      <c r="Z143" s="3551"/>
      <c r="AA143" s="3551"/>
      <c r="AB143" s="3551"/>
      <c r="AC143" s="3551"/>
    </row>
    <row r="144" spans="1:29" s="3554" customFormat="1">
      <c r="A144" s="3551"/>
      <c r="B144" s="3551"/>
      <c r="C144" s="3551"/>
      <c r="D144" s="3551"/>
      <c r="E144" s="3551"/>
      <c r="F144" s="3551"/>
      <c r="G144" s="3551"/>
      <c r="H144" s="3551"/>
      <c r="I144" s="3551"/>
      <c r="J144" s="3551"/>
      <c r="K144" s="3552"/>
      <c r="L144" s="3553"/>
      <c r="M144" s="3551"/>
      <c r="N144" s="3551"/>
      <c r="O144" s="3551"/>
      <c r="P144" s="3551"/>
      <c r="Q144" s="3551"/>
      <c r="R144" s="3551"/>
      <c r="S144" s="3551"/>
      <c r="T144" s="3551"/>
      <c r="U144" s="3551"/>
      <c r="V144" s="3551"/>
      <c r="W144" s="3551"/>
      <c r="X144" s="3551"/>
      <c r="Y144" s="3551"/>
      <c r="Z144" s="3551"/>
      <c r="AA144" s="3551"/>
      <c r="AB144" s="3551"/>
      <c r="AC144" s="3551"/>
    </row>
    <row r="145" spans="1:29" s="3554" customFormat="1">
      <c r="A145" s="3551"/>
      <c r="B145" s="3551"/>
      <c r="C145" s="3551"/>
      <c r="D145" s="3551"/>
      <c r="E145" s="3551"/>
      <c r="F145" s="3551"/>
      <c r="G145" s="3551"/>
      <c r="H145" s="3551"/>
      <c r="I145" s="3551"/>
      <c r="J145" s="3551"/>
      <c r="K145" s="3552"/>
      <c r="L145" s="3553"/>
      <c r="M145" s="3551"/>
      <c r="N145" s="3551"/>
      <c r="O145" s="3551"/>
      <c r="P145" s="3551"/>
      <c r="Q145" s="3551"/>
      <c r="R145" s="3551"/>
      <c r="S145" s="3551"/>
      <c r="T145" s="3551"/>
      <c r="U145" s="3551"/>
      <c r="V145" s="3551"/>
      <c r="W145" s="3551"/>
      <c r="X145" s="3551"/>
      <c r="Y145" s="3551"/>
      <c r="Z145" s="3551"/>
      <c r="AA145" s="3551"/>
      <c r="AB145" s="3551"/>
      <c r="AC145" s="3551"/>
    </row>
    <row r="146" spans="1:29" s="3554" customFormat="1">
      <c r="A146" s="3551"/>
      <c r="B146" s="3551"/>
      <c r="C146" s="3551"/>
      <c r="D146" s="3551"/>
      <c r="E146" s="3551"/>
      <c r="F146" s="3551"/>
      <c r="G146" s="3551"/>
      <c r="H146" s="3551"/>
      <c r="I146" s="3551"/>
      <c r="J146" s="3551"/>
      <c r="K146" s="3552"/>
      <c r="L146" s="3553"/>
      <c r="M146" s="3551"/>
      <c r="N146" s="3551"/>
      <c r="O146" s="3551"/>
      <c r="P146" s="3551"/>
      <c r="Q146" s="3551"/>
      <c r="R146" s="3551"/>
      <c r="S146" s="3551"/>
      <c r="T146" s="3551"/>
      <c r="U146" s="3551"/>
      <c r="V146" s="3551"/>
      <c r="W146" s="3551"/>
      <c r="X146" s="3551"/>
      <c r="Y146" s="3551"/>
      <c r="Z146" s="3551"/>
      <c r="AA146" s="3551"/>
      <c r="AB146" s="3551"/>
      <c r="AC146" s="3551"/>
    </row>
    <row r="147" spans="1:29" s="3554" customFormat="1">
      <c r="A147" s="3551"/>
      <c r="B147" s="3551"/>
      <c r="C147" s="3551"/>
      <c r="D147" s="3551"/>
      <c r="E147" s="3551"/>
      <c r="F147" s="3551"/>
      <c r="G147" s="3551"/>
      <c r="H147" s="3551"/>
      <c r="I147" s="3551"/>
      <c r="J147" s="3551"/>
      <c r="K147" s="3552"/>
      <c r="L147" s="3553"/>
      <c r="M147" s="3551"/>
      <c r="N147" s="3551"/>
      <c r="O147" s="3551"/>
      <c r="P147" s="3551"/>
      <c r="Q147" s="3551"/>
      <c r="R147" s="3551"/>
      <c r="S147" s="3551"/>
      <c r="T147" s="3551"/>
      <c r="U147" s="3551"/>
      <c r="V147" s="3551"/>
      <c r="W147" s="3551"/>
      <c r="X147" s="3551"/>
      <c r="Y147" s="3551"/>
      <c r="Z147" s="3551"/>
      <c r="AA147" s="3551"/>
      <c r="AB147" s="3551"/>
      <c r="AC147" s="3551"/>
    </row>
    <row r="148" spans="1:29" s="3554" customFormat="1">
      <c r="A148" s="3551"/>
      <c r="B148" s="3551"/>
      <c r="C148" s="3551"/>
      <c r="D148" s="3551"/>
      <c r="E148" s="3551"/>
      <c r="F148" s="3551"/>
      <c r="G148" s="3551"/>
      <c r="H148" s="3551"/>
      <c r="I148" s="3551"/>
      <c r="J148" s="3551"/>
      <c r="K148" s="3552"/>
      <c r="L148" s="3553"/>
      <c r="M148" s="3551"/>
      <c r="N148" s="3551"/>
      <c r="O148" s="3551"/>
      <c r="P148" s="3551"/>
      <c r="Q148" s="3551"/>
      <c r="R148" s="3551"/>
      <c r="S148" s="3551"/>
      <c r="T148" s="3551"/>
      <c r="U148" s="3551"/>
      <c r="V148" s="3551"/>
      <c r="W148" s="3551"/>
      <c r="X148" s="3551"/>
      <c r="Y148" s="3551"/>
      <c r="Z148" s="3551"/>
      <c r="AA148" s="3551"/>
      <c r="AB148" s="3551"/>
      <c r="AC148" s="3551"/>
    </row>
    <row r="149" spans="1:29" s="3554" customFormat="1">
      <c r="A149" s="3551"/>
      <c r="B149" s="3551"/>
      <c r="C149" s="3551"/>
      <c r="D149" s="3551"/>
      <c r="E149" s="3551"/>
      <c r="F149" s="3551"/>
      <c r="G149" s="3551"/>
      <c r="H149" s="3551"/>
      <c r="I149" s="3551"/>
      <c r="J149" s="3551"/>
      <c r="K149" s="3552"/>
      <c r="L149" s="3553"/>
      <c r="M149" s="3551"/>
      <c r="N149" s="3551"/>
      <c r="O149" s="3551"/>
      <c r="P149" s="3551"/>
      <c r="Q149" s="3551"/>
      <c r="R149" s="3551"/>
      <c r="S149" s="3551"/>
      <c r="T149" s="3551"/>
      <c r="U149" s="3551"/>
      <c r="V149" s="3551"/>
      <c r="W149" s="3551"/>
      <c r="X149" s="3551"/>
      <c r="Y149" s="3551"/>
      <c r="Z149" s="3551"/>
      <c r="AA149" s="3551"/>
      <c r="AB149" s="3551"/>
      <c r="AC149" s="3551"/>
    </row>
    <row r="150" spans="1:29" s="3554" customFormat="1">
      <c r="A150" s="3551"/>
      <c r="B150" s="3551"/>
      <c r="C150" s="3551"/>
      <c r="D150" s="3551"/>
      <c r="E150" s="3551"/>
      <c r="F150" s="3551"/>
      <c r="G150" s="3551"/>
      <c r="H150" s="3551"/>
      <c r="I150" s="3551"/>
      <c r="J150" s="3551"/>
      <c r="K150" s="3552"/>
      <c r="L150" s="3553"/>
      <c r="M150" s="3551"/>
      <c r="N150" s="3551"/>
      <c r="O150" s="3551"/>
      <c r="P150" s="3551"/>
      <c r="Q150" s="3551"/>
      <c r="R150" s="3551"/>
      <c r="S150" s="3551"/>
      <c r="T150" s="3551"/>
      <c r="U150" s="3551"/>
      <c r="V150" s="3551"/>
      <c r="W150" s="3551"/>
      <c r="X150" s="3551"/>
      <c r="Y150" s="3551"/>
      <c r="Z150" s="3551"/>
      <c r="AA150" s="3551"/>
      <c r="AB150" s="3551"/>
      <c r="AC150" s="3551"/>
    </row>
    <row r="151" spans="1:29" s="3554" customFormat="1">
      <c r="A151" s="3551"/>
      <c r="B151" s="3551"/>
      <c r="C151" s="3551"/>
      <c r="D151" s="3551"/>
      <c r="E151" s="3551"/>
      <c r="F151" s="3551"/>
      <c r="G151" s="3551"/>
      <c r="H151" s="3551"/>
      <c r="I151" s="3551"/>
      <c r="J151" s="3551"/>
      <c r="K151" s="3552"/>
      <c r="L151" s="3553"/>
      <c r="M151" s="3551"/>
      <c r="N151" s="3551"/>
      <c r="O151" s="3551"/>
      <c r="P151" s="3551"/>
      <c r="Q151" s="3551"/>
      <c r="R151" s="3551"/>
      <c r="S151" s="3551"/>
      <c r="T151" s="3551"/>
      <c r="U151" s="3551"/>
      <c r="V151" s="3551"/>
      <c r="W151" s="3551"/>
      <c r="X151" s="3551"/>
      <c r="Y151" s="3551"/>
      <c r="Z151" s="3551"/>
      <c r="AA151" s="3551"/>
      <c r="AB151" s="3551"/>
      <c r="AC151" s="3551"/>
    </row>
    <row r="152" spans="1:29" s="3554" customFormat="1">
      <c r="A152" s="3551"/>
      <c r="B152" s="3551"/>
      <c r="C152" s="3551"/>
      <c r="D152" s="3551"/>
      <c r="E152" s="3551"/>
      <c r="F152" s="3551"/>
      <c r="G152" s="3551"/>
      <c r="H152" s="3551"/>
      <c r="I152" s="3551"/>
      <c r="J152" s="3551"/>
      <c r="K152" s="3552"/>
      <c r="L152" s="3553"/>
      <c r="M152" s="3551"/>
      <c r="N152" s="3551"/>
      <c r="O152" s="3551"/>
      <c r="P152" s="3551"/>
      <c r="Q152" s="3551"/>
      <c r="R152" s="3551"/>
      <c r="S152" s="3551"/>
      <c r="T152" s="3551"/>
      <c r="U152" s="3551"/>
      <c r="V152" s="3551"/>
      <c r="W152" s="3551"/>
      <c r="X152" s="3551"/>
      <c r="Y152" s="3551"/>
      <c r="Z152" s="3551"/>
      <c r="AA152" s="3551"/>
      <c r="AB152" s="3551"/>
      <c r="AC152" s="3551"/>
    </row>
    <row r="153" spans="1:29" s="3554" customFormat="1">
      <c r="A153" s="3551"/>
      <c r="B153" s="3551"/>
      <c r="C153" s="3551"/>
      <c r="D153" s="3551"/>
      <c r="E153" s="3551"/>
      <c r="F153" s="3551"/>
      <c r="G153" s="3551"/>
      <c r="H153" s="3551"/>
      <c r="I153" s="3551"/>
      <c r="J153" s="3551"/>
      <c r="K153" s="3552"/>
      <c r="L153" s="3553"/>
      <c r="M153" s="3551"/>
      <c r="N153" s="3551"/>
      <c r="O153" s="3551"/>
      <c r="P153" s="3551"/>
      <c r="Q153" s="3551"/>
      <c r="R153" s="3551"/>
      <c r="S153" s="3551"/>
      <c r="T153" s="3551"/>
      <c r="U153" s="3551"/>
      <c r="V153" s="3551"/>
      <c r="W153" s="3551"/>
      <c r="X153" s="3551"/>
      <c r="Y153" s="3551"/>
      <c r="Z153" s="3551"/>
      <c r="AA153" s="3551"/>
      <c r="AB153" s="3551"/>
      <c r="AC153" s="3551"/>
    </row>
    <row r="154" spans="1:29" s="3554" customFormat="1">
      <c r="A154" s="3551"/>
      <c r="B154" s="3551"/>
      <c r="C154" s="3551"/>
      <c r="D154" s="3551"/>
      <c r="E154" s="3551"/>
      <c r="F154" s="3551"/>
      <c r="G154" s="3551"/>
      <c r="H154" s="3551"/>
      <c r="I154" s="3551"/>
      <c r="J154" s="3551"/>
      <c r="K154" s="3552"/>
      <c r="L154" s="3553"/>
      <c r="M154" s="3551"/>
      <c r="N154" s="3551"/>
      <c r="O154" s="3551"/>
      <c r="P154" s="3551"/>
      <c r="Q154" s="3551"/>
      <c r="R154" s="3551"/>
      <c r="S154" s="3551"/>
      <c r="T154" s="3551"/>
      <c r="U154" s="3551"/>
      <c r="V154" s="3551"/>
      <c r="W154" s="3551"/>
      <c r="X154" s="3551"/>
      <c r="Y154" s="3551"/>
      <c r="Z154" s="3551"/>
      <c r="AA154" s="3551"/>
      <c r="AB154" s="3551"/>
      <c r="AC154" s="3551"/>
    </row>
    <row r="155" spans="1:29" s="3554" customFormat="1">
      <c r="A155" s="3551"/>
      <c r="B155" s="3551"/>
      <c r="C155" s="3551"/>
      <c r="D155" s="3551"/>
      <c r="E155" s="3551"/>
      <c r="F155" s="3551"/>
      <c r="G155" s="3551"/>
      <c r="H155" s="3551"/>
      <c r="I155" s="3551"/>
      <c r="J155" s="3551"/>
      <c r="K155" s="3552"/>
      <c r="L155" s="3553"/>
      <c r="M155" s="3551"/>
      <c r="N155" s="3551"/>
      <c r="O155" s="3551"/>
      <c r="P155" s="3551"/>
      <c r="Q155" s="3551"/>
      <c r="R155" s="3551"/>
      <c r="S155" s="3551"/>
      <c r="T155" s="3551"/>
      <c r="U155" s="3551"/>
      <c r="V155" s="3551"/>
      <c r="W155" s="3551"/>
      <c r="X155" s="3551"/>
      <c r="Y155" s="3551"/>
      <c r="Z155" s="3551"/>
      <c r="AA155" s="3551"/>
      <c r="AB155" s="3551"/>
      <c r="AC155" s="3551"/>
    </row>
    <row r="156" spans="1:29" s="3554" customFormat="1">
      <c r="A156" s="3551"/>
      <c r="B156" s="3551"/>
      <c r="C156" s="3551"/>
      <c r="D156" s="3551"/>
      <c r="E156" s="3551"/>
      <c r="F156" s="3551"/>
      <c r="G156" s="3551"/>
      <c r="H156" s="3551"/>
      <c r="I156" s="3551"/>
      <c r="J156" s="3551"/>
      <c r="K156" s="3552"/>
      <c r="L156" s="3553"/>
      <c r="M156" s="3551"/>
      <c r="N156" s="3551"/>
      <c r="O156" s="3551"/>
      <c r="P156" s="3551"/>
      <c r="Q156" s="3551"/>
      <c r="R156" s="3551"/>
      <c r="S156" s="3551"/>
      <c r="T156" s="3551"/>
      <c r="U156" s="3551"/>
      <c r="V156" s="3551"/>
      <c r="W156" s="3551"/>
      <c r="X156" s="3551"/>
      <c r="Y156" s="3551"/>
      <c r="Z156" s="3551"/>
      <c r="AA156" s="3551"/>
      <c r="AB156" s="3551"/>
      <c r="AC156" s="3551"/>
    </row>
    <row r="157" spans="1:29" s="3554" customFormat="1">
      <c r="A157" s="3551"/>
      <c r="B157" s="3551"/>
      <c r="C157" s="3551"/>
      <c r="D157" s="3551"/>
      <c r="E157" s="3551"/>
      <c r="F157" s="3551"/>
      <c r="G157" s="3551"/>
      <c r="H157" s="3551"/>
      <c r="I157" s="3551"/>
      <c r="J157" s="3551"/>
      <c r="K157" s="3552"/>
      <c r="L157" s="3553"/>
      <c r="M157" s="3551"/>
      <c r="N157" s="3551"/>
      <c r="O157" s="3551"/>
      <c r="P157" s="3551"/>
      <c r="Q157" s="3551"/>
      <c r="R157" s="3551"/>
      <c r="S157" s="3551"/>
      <c r="T157" s="3551"/>
      <c r="U157" s="3551"/>
      <c r="V157" s="3551"/>
      <c r="W157" s="3551"/>
      <c r="X157" s="3551"/>
      <c r="Y157" s="3551"/>
      <c r="Z157" s="3551"/>
      <c r="AA157" s="3551"/>
      <c r="AB157" s="3551"/>
      <c r="AC157" s="3551"/>
    </row>
    <row r="158" spans="1:29" s="3554" customFormat="1">
      <c r="A158" s="3551"/>
      <c r="B158" s="3551"/>
      <c r="C158" s="3551"/>
      <c r="D158" s="3551"/>
      <c r="E158" s="3551"/>
      <c r="F158" s="3551"/>
      <c r="G158" s="3551"/>
      <c r="H158" s="3551"/>
      <c r="I158" s="3551"/>
      <c r="J158" s="3551"/>
      <c r="K158" s="3552"/>
      <c r="L158" s="3553"/>
      <c r="M158" s="3551"/>
      <c r="N158" s="3551"/>
      <c r="O158" s="3551"/>
      <c r="P158" s="3551"/>
      <c r="Q158" s="3551"/>
      <c r="R158" s="3551"/>
      <c r="S158" s="3551"/>
      <c r="T158" s="3551"/>
      <c r="U158" s="3551"/>
      <c r="V158" s="3551"/>
      <c r="W158" s="3551"/>
      <c r="X158" s="3551"/>
      <c r="Y158" s="3551"/>
      <c r="Z158" s="3551"/>
      <c r="AA158" s="3551"/>
      <c r="AB158" s="3551"/>
      <c r="AC158" s="3551"/>
    </row>
    <row r="159" spans="1:29" s="3554" customFormat="1">
      <c r="A159" s="3551"/>
      <c r="B159" s="3551"/>
      <c r="C159" s="3551"/>
      <c r="D159" s="3551"/>
      <c r="E159" s="3551"/>
      <c r="F159" s="3551"/>
      <c r="G159" s="3551"/>
      <c r="H159" s="3551"/>
      <c r="I159" s="3551"/>
      <c r="J159" s="3551"/>
      <c r="K159" s="3552"/>
      <c r="L159" s="3553"/>
      <c r="M159" s="3551"/>
      <c r="N159" s="3551"/>
      <c r="O159" s="3551"/>
      <c r="P159" s="3551"/>
      <c r="Q159" s="3551"/>
      <c r="R159" s="3551"/>
      <c r="S159" s="3551"/>
      <c r="T159" s="3551"/>
      <c r="U159" s="3551"/>
      <c r="V159" s="3551"/>
      <c r="W159" s="3551"/>
      <c r="X159" s="3551"/>
      <c r="Y159" s="3551"/>
      <c r="Z159" s="3551"/>
      <c r="AA159" s="3551"/>
      <c r="AB159" s="3551"/>
      <c r="AC159" s="3551"/>
    </row>
    <row r="160" spans="1:29" s="3554" customFormat="1">
      <c r="A160" s="3551"/>
      <c r="B160" s="3551"/>
      <c r="C160" s="3551"/>
      <c r="D160" s="3551"/>
      <c r="E160" s="3551"/>
      <c r="F160" s="3551"/>
      <c r="G160" s="3551"/>
      <c r="H160" s="3551"/>
      <c r="I160" s="3551"/>
      <c r="J160" s="3551"/>
      <c r="K160" s="3552"/>
      <c r="L160" s="3553"/>
      <c r="M160" s="3551"/>
      <c r="N160" s="3551"/>
      <c r="O160" s="3551"/>
      <c r="P160" s="3551"/>
      <c r="Q160" s="3551"/>
      <c r="R160" s="3551"/>
      <c r="S160" s="3551"/>
      <c r="T160" s="3551"/>
      <c r="U160" s="3551"/>
      <c r="V160" s="3551"/>
      <c r="W160" s="3551"/>
      <c r="X160" s="3551"/>
      <c r="Y160" s="3551"/>
      <c r="Z160" s="3551"/>
      <c r="AA160" s="3551"/>
      <c r="AB160" s="3551"/>
      <c r="AC160" s="3551"/>
    </row>
    <row r="161" spans="1:29" s="3554" customFormat="1">
      <c r="A161" s="3551"/>
      <c r="B161" s="3551"/>
      <c r="C161" s="3551"/>
      <c r="D161" s="3551"/>
      <c r="E161" s="3551"/>
      <c r="F161" s="3551"/>
      <c r="G161" s="3551"/>
      <c r="H161" s="3551"/>
      <c r="I161" s="3551"/>
      <c r="J161" s="3551"/>
      <c r="K161" s="3552"/>
      <c r="L161" s="3553"/>
      <c r="M161" s="3551"/>
      <c r="N161" s="3551"/>
      <c r="O161" s="3551"/>
      <c r="P161" s="3551"/>
      <c r="Q161" s="3551"/>
      <c r="R161" s="3551"/>
      <c r="S161" s="3551"/>
      <c r="T161" s="3551"/>
      <c r="U161" s="3551"/>
      <c r="V161" s="3551"/>
      <c r="W161" s="3551"/>
      <c r="X161" s="3551"/>
      <c r="Y161" s="3551"/>
      <c r="Z161" s="3551"/>
      <c r="AA161" s="3551"/>
      <c r="AB161" s="3551"/>
      <c r="AC161" s="3551"/>
    </row>
    <row r="162" spans="1:29" s="3554" customFormat="1">
      <c r="A162" s="3551"/>
      <c r="B162" s="3551"/>
      <c r="C162" s="3551"/>
      <c r="D162" s="3551"/>
      <c r="E162" s="3551"/>
      <c r="F162" s="3551"/>
      <c r="G162" s="3551"/>
      <c r="H162" s="3551"/>
      <c r="I162" s="3551"/>
      <c r="J162" s="3551"/>
      <c r="K162" s="3552"/>
      <c r="L162" s="3553"/>
      <c r="M162" s="3551"/>
      <c r="N162" s="3551"/>
      <c r="O162" s="3551"/>
      <c r="P162" s="3551"/>
      <c r="Q162" s="3551"/>
      <c r="R162" s="3551"/>
      <c r="S162" s="3551"/>
      <c r="T162" s="3551"/>
      <c r="U162" s="3551"/>
      <c r="V162" s="3551"/>
      <c r="W162" s="3551"/>
      <c r="X162" s="3551"/>
      <c r="Y162" s="3551"/>
      <c r="Z162" s="3551"/>
      <c r="AA162" s="3551"/>
      <c r="AB162" s="3551"/>
      <c r="AC162" s="3551"/>
    </row>
    <row r="163" spans="1:29" s="3554" customFormat="1">
      <c r="A163" s="3551"/>
      <c r="B163" s="3551"/>
      <c r="C163" s="3551"/>
      <c r="D163" s="3551"/>
      <c r="E163" s="3551"/>
      <c r="F163" s="3551"/>
      <c r="G163" s="3551"/>
      <c r="H163" s="3551"/>
      <c r="I163" s="3551"/>
      <c r="J163" s="3551"/>
      <c r="K163" s="3552"/>
      <c r="L163" s="3553"/>
      <c r="M163" s="3551"/>
      <c r="N163" s="3551"/>
      <c r="O163" s="3551"/>
      <c r="P163" s="3551"/>
      <c r="Q163" s="3551"/>
      <c r="R163" s="3551"/>
      <c r="S163" s="3551"/>
      <c r="T163" s="3551"/>
      <c r="U163" s="3551"/>
      <c r="V163" s="3551"/>
      <c r="W163" s="3551"/>
      <c r="X163" s="3551"/>
      <c r="Y163" s="3551"/>
      <c r="Z163" s="3551"/>
      <c r="AA163" s="3551"/>
      <c r="AB163" s="3551"/>
      <c r="AC163" s="3551"/>
    </row>
    <row r="164" spans="1:29" s="3554" customFormat="1">
      <c r="A164" s="3551"/>
      <c r="B164" s="3551"/>
      <c r="C164" s="3551"/>
      <c r="D164" s="3551"/>
      <c r="E164" s="3551"/>
      <c r="F164" s="3551"/>
      <c r="G164" s="3551"/>
      <c r="H164" s="3551"/>
      <c r="I164" s="3551"/>
      <c r="J164" s="3551"/>
      <c r="K164" s="3552"/>
      <c r="L164" s="3553"/>
      <c r="M164" s="3551"/>
      <c r="N164" s="3551"/>
      <c r="O164" s="3551"/>
      <c r="P164" s="3551"/>
      <c r="Q164" s="3551"/>
      <c r="R164" s="3551"/>
      <c r="S164" s="3551"/>
      <c r="T164" s="3551"/>
      <c r="U164" s="3551"/>
      <c r="V164" s="3551"/>
      <c r="W164" s="3551"/>
      <c r="X164" s="3551"/>
      <c r="Y164" s="3551"/>
      <c r="Z164" s="3551"/>
      <c r="AA164" s="3551"/>
      <c r="AB164" s="3551"/>
      <c r="AC164" s="3551"/>
    </row>
    <row r="165" spans="1:29" s="3554" customFormat="1">
      <c r="A165" s="3551"/>
      <c r="B165" s="3551"/>
      <c r="C165" s="3551"/>
      <c r="D165" s="3551"/>
      <c r="E165" s="3551"/>
      <c r="F165" s="3551"/>
      <c r="G165" s="3551"/>
      <c r="H165" s="3551"/>
      <c r="I165" s="3551"/>
      <c r="J165" s="3551"/>
      <c r="K165" s="3552"/>
      <c r="L165" s="3553"/>
      <c r="M165" s="3551"/>
      <c r="N165" s="3551"/>
      <c r="O165" s="3551"/>
      <c r="P165" s="3551"/>
      <c r="Q165" s="3551"/>
      <c r="R165" s="3551"/>
      <c r="S165" s="3551"/>
      <c r="T165" s="3551"/>
      <c r="U165" s="3551"/>
      <c r="V165" s="3551"/>
      <c r="W165" s="3551"/>
      <c r="X165" s="3551"/>
      <c r="Y165" s="3551"/>
      <c r="Z165" s="3551"/>
      <c r="AA165" s="3551"/>
      <c r="AB165" s="3551"/>
      <c r="AC165" s="3551"/>
    </row>
    <row r="166" spans="1:29" s="3554" customFormat="1">
      <c r="A166" s="3551"/>
      <c r="B166" s="3551"/>
      <c r="C166" s="3551"/>
      <c r="D166" s="3551"/>
      <c r="E166" s="3551"/>
      <c r="F166" s="3551"/>
      <c r="G166" s="3551"/>
      <c r="H166" s="3551"/>
      <c r="I166" s="3551"/>
      <c r="J166" s="3551"/>
      <c r="K166" s="3552"/>
      <c r="L166" s="3553"/>
      <c r="M166" s="3551"/>
      <c r="N166" s="3551"/>
      <c r="O166" s="3551"/>
      <c r="P166" s="3551"/>
      <c r="Q166" s="3551"/>
      <c r="R166" s="3551"/>
      <c r="S166" s="3551"/>
      <c r="T166" s="3551"/>
      <c r="U166" s="3551"/>
      <c r="V166" s="3551"/>
      <c r="W166" s="3551"/>
      <c r="X166" s="3551"/>
      <c r="Y166" s="3551"/>
      <c r="Z166" s="3551"/>
      <c r="AA166" s="3551"/>
      <c r="AB166" s="3551"/>
      <c r="AC166" s="3551"/>
    </row>
    <row r="167" spans="1:29" s="3554" customFormat="1">
      <c r="A167" s="3551"/>
      <c r="B167" s="3551"/>
      <c r="C167" s="3551"/>
      <c r="D167" s="3551"/>
      <c r="E167" s="3551"/>
      <c r="F167" s="3551"/>
      <c r="G167" s="3551"/>
      <c r="H167" s="3551"/>
      <c r="I167" s="3551"/>
      <c r="J167" s="3551"/>
      <c r="K167" s="3552"/>
      <c r="L167" s="3553"/>
      <c r="M167" s="3551"/>
      <c r="N167" s="3551"/>
      <c r="O167" s="3551"/>
      <c r="P167" s="3551"/>
      <c r="Q167" s="3551"/>
      <c r="R167" s="3551"/>
      <c r="S167" s="3551"/>
      <c r="T167" s="3551"/>
      <c r="U167" s="3551"/>
      <c r="V167" s="3551"/>
      <c r="W167" s="3551"/>
      <c r="X167" s="3551"/>
      <c r="Y167" s="3551"/>
      <c r="Z167" s="3551"/>
      <c r="AA167" s="3551"/>
      <c r="AB167" s="3551"/>
      <c r="AC167" s="3551"/>
    </row>
    <row r="168" spans="1:29" s="3554" customFormat="1">
      <c r="A168" s="3551"/>
      <c r="B168" s="3551"/>
      <c r="C168" s="3551"/>
      <c r="D168" s="3551"/>
      <c r="E168" s="3551"/>
      <c r="F168" s="3551"/>
      <c r="G168" s="3551"/>
      <c r="H168" s="3551"/>
      <c r="I168" s="3551"/>
      <c r="J168" s="3551"/>
      <c r="K168" s="3552"/>
      <c r="L168" s="3553"/>
      <c r="M168" s="3551"/>
      <c r="N168" s="3551"/>
      <c r="O168" s="3551"/>
      <c r="P168" s="3551"/>
      <c r="Q168" s="3551"/>
      <c r="R168" s="3551"/>
      <c r="S168" s="3551"/>
      <c r="T168" s="3551"/>
      <c r="U168" s="3551"/>
      <c r="V168" s="3551"/>
      <c r="W168" s="3551"/>
      <c r="X168" s="3551"/>
      <c r="Y168" s="3551"/>
      <c r="Z168" s="3551"/>
      <c r="AA168" s="3551"/>
      <c r="AB168" s="3551"/>
      <c r="AC168" s="3551"/>
    </row>
    <row r="169" spans="1:29" s="3554" customFormat="1">
      <c r="A169" s="3551"/>
      <c r="B169" s="3551"/>
      <c r="C169" s="3551"/>
      <c r="D169" s="3551"/>
      <c r="E169" s="3551"/>
      <c r="F169" s="3551"/>
      <c r="G169" s="3551"/>
      <c r="H169" s="3551"/>
      <c r="I169" s="3551"/>
      <c r="J169" s="3551"/>
      <c r="K169" s="3552"/>
      <c r="L169" s="3553"/>
      <c r="M169" s="3551"/>
      <c r="N169" s="3551"/>
      <c r="O169" s="3551"/>
      <c r="P169" s="3551"/>
      <c r="Q169" s="3551"/>
      <c r="R169" s="3551"/>
      <c r="S169" s="3551"/>
      <c r="T169" s="3551"/>
      <c r="U169" s="3551"/>
      <c r="V169" s="3551"/>
      <c r="W169" s="3551"/>
      <c r="X169" s="3551"/>
      <c r="Y169" s="3551"/>
      <c r="Z169" s="3551"/>
      <c r="AA169" s="3551"/>
      <c r="AB169" s="3551"/>
      <c r="AC169" s="3551"/>
    </row>
    <row r="170" spans="1:29" s="3554" customFormat="1">
      <c r="A170" s="3551"/>
      <c r="B170" s="3551"/>
      <c r="C170" s="3551"/>
      <c r="D170" s="3551"/>
      <c r="E170" s="3551"/>
      <c r="F170" s="3551"/>
      <c r="G170" s="3551"/>
      <c r="H170" s="3551"/>
      <c r="I170" s="3551"/>
      <c r="J170" s="3551"/>
      <c r="K170" s="3552"/>
      <c r="L170" s="3553"/>
      <c r="M170" s="3551"/>
      <c r="N170" s="3551"/>
      <c r="O170" s="3551"/>
      <c r="P170" s="3551"/>
      <c r="Q170" s="3551"/>
      <c r="R170" s="3551"/>
      <c r="S170" s="3551"/>
      <c r="T170" s="3551"/>
      <c r="U170" s="3551"/>
      <c r="V170" s="3551"/>
      <c r="W170" s="3551"/>
      <c r="X170" s="3551"/>
      <c r="Y170" s="3551"/>
      <c r="Z170" s="3551"/>
      <c r="AA170" s="3551"/>
      <c r="AB170" s="3551"/>
      <c r="AC170" s="3551"/>
    </row>
    <row r="171" spans="1:29" s="3554" customFormat="1">
      <c r="A171" s="3551"/>
      <c r="B171" s="3551"/>
      <c r="C171" s="3551"/>
      <c r="D171" s="3551"/>
      <c r="E171" s="3551"/>
      <c r="F171" s="3551"/>
      <c r="G171" s="3551"/>
      <c r="H171" s="3551"/>
      <c r="I171" s="3551"/>
      <c r="J171" s="3551"/>
      <c r="K171" s="3552"/>
      <c r="L171" s="3553"/>
      <c r="M171" s="3551"/>
      <c r="N171" s="3551"/>
      <c r="O171" s="3551"/>
      <c r="P171" s="3551"/>
      <c r="Q171" s="3551"/>
      <c r="R171" s="3551"/>
      <c r="S171" s="3551"/>
      <c r="T171" s="3551"/>
      <c r="U171" s="3551"/>
      <c r="V171" s="3551"/>
      <c r="W171" s="3551"/>
      <c r="X171" s="3551"/>
      <c r="Y171" s="3551"/>
      <c r="Z171" s="3551"/>
      <c r="AA171" s="3551"/>
      <c r="AB171" s="3551"/>
      <c r="AC171" s="3551"/>
    </row>
    <row r="172" spans="1:29" s="3554" customFormat="1">
      <c r="A172" s="3551"/>
      <c r="B172" s="3551"/>
      <c r="C172" s="3551"/>
      <c r="D172" s="3551"/>
      <c r="E172" s="3551"/>
      <c r="F172" s="3551"/>
      <c r="G172" s="3551"/>
      <c r="H172" s="3551"/>
      <c r="I172" s="3551"/>
      <c r="J172" s="3551"/>
      <c r="K172" s="3552"/>
      <c r="L172" s="3553"/>
      <c r="M172" s="3551"/>
      <c r="N172" s="3551"/>
      <c r="O172" s="3551"/>
      <c r="P172" s="3551"/>
      <c r="Q172" s="3551"/>
      <c r="R172" s="3551"/>
      <c r="S172" s="3551"/>
      <c r="T172" s="3551"/>
      <c r="U172" s="3551"/>
      <c r="V172" s="3551"/>
      <c r="W172" s="3551"/>
      <c r="X172" s="3551"/>
      <c r="Y172" s="3551"/>
      <c r="Z172" s="3551"/>
      <c r="AA172" s="3551"/>
      <c r="AB172" s="3551"/>
      <c r="AC172" s="3551"/>
    </row>
    <row r="173" spans="1:29" s="3554" customFormat="1">
      <c r="A173" s="3551"/>
      <c r="B173" s="3551"/>
      <c r="C173" s="3551"/>
      <c r="D173" s="3551"/>
      <c r="E173" s="3551"/>
      <c r="F173" s="3551"/>
      <c r="G173" s="3551"/>
      <c r="H173" s="3551"/>
      <c r="I173" s="3551"/>
      <c r="J173" s="3551"/>
      <c r="K173" s="3552"/>
      <c r="L173" s="3553"/>
      <c r="M173" s="3551"/>
      <c r="N173" s="3551"/>
      <c r="O173" s="3551"/>
      <c r="P173" s="3551"/>
      <c r="Q173" s="3551"/>
      <c r="R173" s="3551"/>
      <c r="S173" s="3551"/>
      <c r="T173" s="3551"/>
      <c r="U173" s="3551"/>
      <c r="V173" s="3551"/>
      <c r="W173" s="3551"/>
      <c r="X173" s="3551"/>
      <c r="Y173" s="3551"/>
      <c r="Z173" s="3551"/>
      <c r="AA173" s="3551"/>
      <c r="AB173" s="3551"/>
      <c r="AC173" s="3551"/>
    </row>
    <row r="174" spans="1:29" s="3554" customFormat="1">
      <c r="A174" s="3551"/>
      <c r="B174" s="3551"/>
      <c r="C174" s="3551"/>
      <c r="D174" s="3551"/>
      <c r="E174" s="3551"/>
      <c r="F174" s="3551"/>
      <c r="G174" s="3551"/>
      <c r="H174" s="3551"/>
      <c r="I174" s="3551"/>
      <c r="J174" s="3551"/>
      <c r="K174" s="3552"/>
      <c r="L174" s="3553"/>
      <c r="M174" s="3551"/>
      <c r="N174" s="3551"/>
      <c r="O174" s="3551"/>
      <c r="P174" s="3551"/>
      <c r="Q174" s="3551"/>
      <c r="R174" s="3551"/>
      <c r="S174" s="3551"/>
      <c r="T174" s="3551"/>
      <c r="U174" s="3551"/>
      <c r="V174" s="3551"/>
      <c r="W174" s="3551"/>
      <c r="X174" s="3551"/>
      <c r="Y174" s="3551"/>
      <c r="Z174" s="3551"/>
      <c r="AA174" s="3551"/>
      <c r="AB174" s="3551"/>
      <c r="AC174" s="3551"/>
    </row>
    <row r="175" spans="1:29" s="3554" customFormat="1">
      <c r="A175" s="3551"/>
      <c r="B175" s="3551"/>
      <c r="C175" s="3551"/>
      <c r="D175" s="3551"/>
      <c r="E175" s="3551"/>
      <c r="F175" s="3551"/>
      <c r="G175" s="3551"/>
      <c r="H175" s="3551"/>
      <c r="I175" s="3551"/>
      <c r="J175" s="3551"/>
      <c r="K175" s="3552"/>
      <c r="L175" s="3553"/>
      <c r="M175" s="3551"/>
      <c r="N175" s="3551"/>
      <c r="O175" s="3551"/>
      <c r="P175" s="3551"/>
      <c r="Q175" s="3551"/>
      <c r="R175" s="3551"/>
      <c r="S175" s="3551"/>
      <c r="T175" s="3551"/>
      <c r="U175" s="3551"/>
      <c r="V175" s="3551"/>
      <c r="W175" s="3551"/>
      <c r="X175" s="3551"/>
      <c r="Y175" s="3551"/>
      <c r="Z175" s="3551"/>
      <c r="AA175" s="3551"/>
      <c r="AB175" s="3551"/>
      <c r="AC175" s="3551"/>
    </row>
    <row r="176" spans="1:29" s="3554" customFormat="1">
      <c r="A176" s="3551"/>
      <c r="B176" s="3551"/>
      <c r="C176" s="3551"/>
      <c r="D176" s="3551"/>
      <c r="E176" s="3551"/>
      <c r="F176" s="3551"/>
      <c r="G176" s="3551"/>
      <c r="H176" s="3551"/>
      <c r="I176" s="3551"/>
      <c r="J176" s="3551"/>
      <c r="K176" s="3552"/>
      <c r="L176" s="3553"/>
      <c r="M176" s="3551"/>
      <c r="N176" s="3551"/>
      <c r="O176" s="3551"/>
      <c r="P176" s="3551"/>
      <c r="Q176" s="3551"/>
      <c r="R176" s="3551"/>
      <c r="S176" s="3551"/>
      <c r="T176" s="3551"/>
      <c r="U176" s="3551"/>
      <c r="V176" s="3551"/>
      <c r="W176" s="3551"/>
      <c r="X176" s="3551"/>
      <c r="Y176" s="3551"/>
      <c r="Z176" s="3551"/>
      <c r="AA176" s="3551"/>
      <c r="AB176" s="3551"/>
      <c r="AC176" s="3551"/>
    </row>
    <row r="177" spans="1:29" s="3554" customFormat="1">
      <c r="A177" s="3551"/>
      <c r="B177" s="3551"/>
      <c r="C177" s="3551"/>
      <c r="D177" s="3551"/>
      <c r="E177" s="3551"/>
      <c r="F177" s="3551"/>
      <c r="G177" s="3551"/>
      <c r="H177" s="3551"/>
      <c r="I177" s="3551"/>
      <c r="J177" s="3551"/>
      <c r="K177" s="3552"/>
      <c r="L177" s="3553"/>
      <c r="M177" s="3551"/>
      <c r="N177" s="3551"/>
      <c r="O177" s="3551"/>
      <c r="P177" s="3551"/>
      <c r="Q177" s="3551"/>
      <c r="R177" s="3551"/>
      <c r="S177" s="3551"/>
      <c r="T177" s="3551"/>
      <c r="U177" s="3551"/>
      <c r="V177" s="3551"/>
      <c r="W177" s="3551"/>
      <c r="X177" s="3551"/>
      <c r="Y177" s="3551"/>
      <c r="Z177" s="3551"/>
      <c r="AA177" s="3551"/>
      <c r="AB177" s="3551"/>
      <c r="AC177" s="3551"/>
    </row>
    <row r="178" spans="1:29" s="3554" customFormat="1">
      <c r="A178" s="3551"/>
      <c r="B178" s="3551"/>
      <c r="C178" s="3551"/>
      <c r="D178" s="3551"/>
      <c r="E178" s="3551"/>
      <c r="F178" s="3551"/>
      <c r="G178" s="3551"/>
      <c r="H178" s="3551"/>
      <c r="I178" s="3551"/>
      <c r="J178" s="3551"/>
      <c r="K178" s="3552"/>
      <c r="L178" s="3553"/>
      <c r="M178" s="3551"/>
      <c r="N178" s="3551"/>
      <c r="O178" s="3551"/>
      <c r="P178" s="3551"/>
      <c r="Q178" s="3551"/>
      <c r="R178" s="3551"/>
      <c r="S178" s="3551"/>
      <c r="T178" s="3551"/>
      <c r="U178" s="3551"/>
      <c r="V178" s="3551"/>
      <c r="W178" s="3551"/>
      <c r="X178" s="3551"/>
      <c r="Y178" s="3551"/>
      <c r="Z178" s="3551"/>
      <c r="AA178" s="3551"/>
      <c r="AB178" s="3551"/>
      <c r="AC178" s="3551"/>
    </row>
    <row r="179" spans="1:29" s="3554" customFormat="1">
      <c r="A179" s="3551"/>
      <c r="B179" s="3551"/>
      <c r="C179" s="3551"/>
      <c r="D179" s="3551"/>
      <c r="E179" s="3551"/>
      <c r="F179" s="3551"/>
      <c r="G179" s="3551"/>
      <c r="H179" s="3551"/>
      <c r="I179" s="3551"/>
      <c r="J179" s="3551"/>
      <c r="K179" s="3552"/>
      <c r="L179" s="3553"/>
      <c r="M179" s="3551"/>
      <c r="N179" s="3551"/>
      <c r="O179" s="3551"/>
      <c r="P179" s="3551"/>
      <c r="Q179" s="3551"/>
      <c r="R179" s="3551"/>
      <c r="S179" s="3551"/>
      <c r="T179" s="3551"/>
      <c r="U179" s="3551"/>
      <c r="V179" s="3551"/>
      <c r="W179" s="3551"/>
      <c r="X179" s="3551"/>
      <c r="Y179" s="3551"/>
      <c r="Z179" s="3551"/>
      <c r="AA179" s="3551"/>
      <c r="AB179" s="3551"/>
      <c r="AC179" s="3551"/>
    </row>
    <row r="180" spans="1:29" s="3554" customFormat="1">
      <c r="A180" s="3551"/>
      <c r="B180" s="3551"/>
      <c r="C180" s="3551"/>
      <c r="D180" s="3551"/>
      <c r="E180" s="3551"/>
      <c r="F180" s="3551"/>
      <c r="G180" s="3551"/>
      <c r="H180" s="3551"/>
      <c r="I180" s="3551"/>
      <c r="J180" s="3551"/>
      <c r="K180" s="3552"/>
      <c r="L180" s="3553"/>
      <c r="M180" s="3551"/>
      <c r="N180" s="3551"/>
      <c r="O180" s="3551"/>
      <c r="P180" s="3551"/>
      <c r="Q180" s="3551"/>
      <c r="R180" s="3551"/>
      <c r="S180" s="3551"/>
      <c r="T180" s="3551"/>
      <c r="U180" s="3551"/>
      <c r="V180" s="3551"/>
      <c r="W180" s="3551"/>
      <c r="X180" s="3551"/>
      <c r="Y180" s="3551"/>
      <c r="Z180" s="3551"/>
      <c r="AA180" s="3551"/>
      <c r="AB180" s="3551"/>
      <c r="AC180" s="3551"/>
    </row>
    <row r="181" spans="1:29" s="3554" customFormat="1">
      <c r="A181" s="3551"/>
      <c r="B181" s="3551"/>
      <c r="C181" s="3551"/>
      <c r="D181" s="3551"/>
      <c r="E181" s="3551"/>
      <c r="F181" s="3551"/>
      <c r="G181" s="3551"/>
      <c r="H181" s="3551"/>
      <c r="I181" s="3551"/>
      <c r="J181" s="3551"/>
      <c r="K181" s="3552"/>
      <c r="L181" s="3553"/>
      <c r="M181" s="3551"/>
      <c r="N181" s="3551"/>
      <c r="O181" s="3551"/>
      <c r="P181" s="3551"/>
      <c r="Q181" s="3551"/>
      <c r="R181" s="3551"/>
      <c r="S181" s="3551"/>
      <c r="T181" s="3551"/>
      <c r="U181" s="3551"/>
      <c r="V181" s="3551"/>
      <c r="W181" s="3551"/>
      <c r="X181" s="3551"/>
      <c r="Y181" s="3551"/>
      <c r="Z181" s="3551"/>
      <c r="AA181" s="3551"/>
      <c r="AB181" s="3551"/>
      <c r="AC181" s="3551"/>
    </row>
    <row r="182" spans="1:29" s="3554" customFormat="1">
      <c r="A182" s="3551"/>
      <c r="B182" s="3551"/>
      <c r="C182" s="3551"/>
      <c r="D182" s="3551"/>
      <c r="E182" s="3551"/>
      <c r="F182" s="3551"/>
      <c r="G182" s="3551"/>
      <c r="H182" s="3551"/>
      <c r="I182" s="3551"/>
      <c r="J182" s="3551"/>
      <c r="K182" s="3552"/>
      <c r="L182" s="3553"/>
      <c r="M182" s="3551"/>
      <c r="N182" s="3551"/>
      <c r="O182" s="3551"/>
      <c r="P182" s="3551"/>
      <c r="Q182" s="3551"/>
      <c r="R182" s="3551"/>
      <c r="S182" s="3551"/>
      <c r="T182" s="3551"/>
      <c r="U182" s="3551"/>
      <c r="V182" s="3551"/>
      <c r="W182" s="3551"/>
      <c r="X182" s="3551"/>
      <c r="Y182" s="3551"/>
      <c r="Z182" s="3551"/>
      <c r="AA182" s="3551"/>
      <c r="AB182" s="3551"/>
      <c r="AC182" s="3551"/>
    </row>
    <row r="183" spans="1:29" s="3554" customFormat="1">
      <c r="A183" s="3551"/>
      <c r="B183" s="3551"/>
      <c r="C183" s="3551"/>
      <c r="D183" s="3551"/>
      <c r="E183" s="3551"/>
      <c r="F183" s="3551"/>
      <c r="G183" s="3551"/>
      <c r="H183" s="3551"/>
      <c r="I183" s="3551"/>
      <c r="J183" s="3551"/>
      <c r="K183" s="3552"/>
      <c r="L183" s="3553"/>
      <c r="M183" s="3551"/>
      <c r="N183" s="3551"/>
      <c r="O183" s="3551"/>
      <c r="P183" s="3551"/>
      <c r="Q183" s="3551"/>
      <c r="R183" s="3551"/>
      <c r="S183" s="3551"/>
      <c r="T183" s="3551"/>
      <c r="U183" s="3551"/>
      <c r="V183" s="3551"/>
      <c r="W183" s="3551"/>
      <c r="X183" s="3551"/>
      <c r="Y183" s="3551"/>
      <c r="Z183" s="3551"/>
      <c r="AA183" s="3551"/>
      <c r="AB183" s="3551"/>
      <c r="AC183" s="3551"/>
    </row>
    <row r="184" spans="1:29" s="3554" customFormat="1">
      <c r="A184" s="3551"/>
      <c r="B184" s="3551"/>
      <c r="C184" s="3551"/>
      <c r="D184" s="3551"/>
      <c r="E184" s="3551"/>
      <c r="F184" s="3551"/>
      <c r="G184" s="3551"/>
      <c r="H184" s="3551"/>
      <c r="I184" s="3551"/>
      <c r="J184" s="3551"/>
      <c r="K184" s="3552"/>
      <c r="L184" s="3553"/>
      <c r="M184" s="3551"/>
      <c r="N184" s="3551"/>
      <c r="O184" s="3551"/>
      <c r="P184" s="3551"/>
      <c r="Q184" s="3551"/>
      <c r="R184" s="3551"/>
      <c r="S184" s="3551"/>
      <c r="T184" s="3551"/>
      <c r="U184" s="3551"/>
      <c r="V184" s="3551"/>
      <c r="W184" s="3551"/>
      <c r="X184" s="3551"/>
      <c r="Y184" s="3551"/>
      <c r="Z184" s="3551"/>
      <c r="AA184" s="3551"/>
      <c r="AB184" s="3551"/>
      <c r="AC184" s="3551"/>
    </row>
    <row r="185" spans="1:29" s="3554" customFormat="1">
      <c r="A185" s="3551"/>
      <c r="B185" s="3551"/>
      <c r="C185" s="3551"/>
      <c r="D185" s="3551"/>
      <c r="E185" s="3551"/>
      <c r="F185" s="3551"/>
      <c r="G185" s="3551"/>
      <c r="H185" s="3551"/>
      <c r="I185" s="3551"/>
      <c r="J185" s="3551"/>
      <c r="K185" s="3552"/>
      <c r="L185" s="3553"/>
      <c r="M185" s="3551"/>
      <c r="N185" s="3551"/>
      <c r="O185" s="3551"/>
      <c r="P185" s="3551"/>
      <c r="Q185" s="3551"/>
      <c r="R185" s="3551"/>
      <c r="S185" s="3551"/>
      <c r="T185" s="3551"/>
      <c r="U185" s="3551"/>
      <c r="V185" s="3551"/>
      <c r="W185" s="3551"/>
      <c r="X185" s="3551"/>
      <c r="Y185" s="3551"/>
      <c r="Z185" s="3551"/>
      <c r="AA185" s="3551"/>
      <c r="AB185" s="3551"/>
      <c r="AC185" s="3551"/>
    </row>
    <row r="186" spans="1:29" s="3554" customFormat="1">
      <c r="A186" s="3551"/>
      <c r="B186" s="3551"/>
      <c r="C186" s="3551"/>
      <c r="D186" s="3551"/>
      <c r="E186" s="3551"/>
      <c r="F186" s="3551"/>
      <c r="G186" s="3551"/>
      <c r="H186" s="3551"/>
      <c r="I186" s="3551"/>
      <c r="J186" s="3551"/>
      <c r="K186" s="3552"/>
      <c r="L186" s="3553"/>
      <c r="M186" s="3551"/>
      <c r="N186" s="3551"/>
      <c r="O186" s="3551"/>
      <c r="P186" s="3551"/>
      <c r="Q186" s="3551"/>
      <c r="R186" s="3551"/>
      <c r="S186" s="3551"/>
      <c r="T186" s="3551"/>
      <c r="U186" s="3551"/>
      <c r="V186" s="3551"/>
      <c r="W186" s="3551"/>
      <c r="X186" s="3551"/>
      <c r="Y186" s="3551"/>
      <c r="Z186" s="3551"/>
      <c r="AA186" s="3551"/>
      <c r="AB186" s="3551"/>
      <c r="AC186" s="3551"/>
    </row>
    <row r="187" spans="1:29" s="3554" customFormat="1">
      <c r="A187" s="3551"/>
      <c r="B187" s="3551"/>
      <c r="C187" s="3551"/>
      <c r="D187" s="3551"/>
      <c r="E187" s="3551"/>
      <c r="F187" s="3551"/>
      <c r="G187" s="3551"/>
      <c r="H187" s="3551"/>
      <c r="I187" s="3551"/>
      <c r="J187" s="3551"/>
      <c r="K187" s="3552"/>
      <c r="L187" s="3553"/>
      <c r="M187" s="3551"/>
      <c r="N187" s="3551"/>
      <c r="O187" s="3551"/>
      <c r="P187" s="3551"/>
      <c r="Q187" s="3551"/>
      <c r="R187" s="3551"/>
      <c r="S187" s="3551"/>
      <c r="T187" s="3551"/>
      <c r="U187" s="3551"/>
      <c r="V187" s="3551"/>
      <c r="W187" s="3551"/>
      <c r="X187" s="3551"/>
      <c r="Y187" s="3551"/>
      <c r="Z187" s="3551"/>
      <c r="AA187" s="3551"/>
      <c r="AB187" s="3551"/>
      <c r="AC187" s="3551"/>
    </row>
    <row r="188" spans="1:29" s="3554" customFormat="1">
      <c r="A188" s="3551"/>
      <c r="B188" s="3551"/>
      <c r="C188" s="3551"/>
      <c r="D188" s="3551"/>
      <c r="E188" s="3551"/>
      <c r="F188" s="3551"/>
      <c r="G188" s="3551"/>
      <c r="H188" s="3551"/>
      <c r="I188" s="3551"/>
      <c r="J188" s="3551"/>
      <c r="K188" s="3552"/>
      <c r="L188" s="3553"/>
      <c r="M188" s="3551"/>
      <c r="N188" s="3551"/>
      <c r="O188" s="3551"/>
      <c r="P188" s="3551"/>
      <c r="Q188" s="3551"/>
      <c r="R188" s="3551"/>
      <c r="S188" s="3551"/>
      <c r="T188" s="3551"/>
      <c r="U188" s="3551"/>
      <c r="V188" s="3551"/>
      <c r="W188" s="3551"/>
      <c r="X188" s="3551"/>
      <c r="Y188" s="3551"/>
      <c r="Z188" s="3551"/>
      <c r="AA188" s="3551"/>
      <c r="AB188" s="3551"/>
      <c r="AC188" s="3551"/>
    </row>
    <row r="189" spans="1:29" s="3554" customFormat="1">
      <c r="A189" s="3551"/>
      <c r="B189" s="3551"/>
      <c r="C189" s="3551"/>
      <c r="D189" s="3551"/>
      <c r="E189" s="3551"/>
      <c r="F189" s="3551"/>
      <c r="G189" s="3551"/>
      <c r="H189" s="3551"/>
      <c r="I189" s="3551"/>
      <c r="J189" s="3551"/>
      <c r="K189" s="3552"/>
      <c r="L189" s="3553"/>
      <c r="M189" s="3551"/>
      <c r="N189" s="3551"/>
      <c r="O189" s="3551"/>
      <c r="P189" s="3551"/>
      <c r="Q189" s="3551"/>
      <c r="R189" s="3551"/>
      <c r="S189" s="3551"/>
      <c r="T189" s="3551"/>
      <c r="U189" s="3551"/>
      <c r="V189" s="3551"/>
      <c r="W189" s="3551"/>
      <c r="X189" s="3551"/>
      <c r="Y189" s="3551"/>
      <c r="Z189" s="3551"/>
      <c r="AA189" s="3551"/>
      <c r="AB189" s="3551"/>
      <c r="AC189" s="3551"/>
    </row>
    <row r="190" spans="1:29" s="3554" customFormat="1">
      <c r="A190" s="3551"/>
      <c r="B190" s="3551"/>
      <c r="C190" s="3551"/>
      <c r="D190" s="3551"/>
      <c r="E190" s="3551"/>
      <c r="F190" s="3551"/>
      <c r="G190" s="3551"/>
      <c r="H190" s="3551"/>
      <c r="I190" s="3551"/>
      <c r="J190" s="3551"/>
      <c r="K190" s="3552"/>
      <c r="L190" s="3553"/>
      <c r="M190" s="3551"/>
      <c r="N190" s="3551"/>
      <c r="O190" s="3551"/>
      <c r="P190" s="3551"/>
      <c r="Q190" s="3551"/>
      <c r="R190" s="3551"/>
      <c r="S190" s="3551"/>
      <c r="T190" s="3551"/>
      <c r="U190" s="3551"/>
      <c r="V190" s="3551"/>
      <c r="W190" s="3551"/>
      <c r="X190" s="3551"/>
      <c r="Y190" s="3551"/>
      <c r="Z190" s="3551"/>
      <c r="AA190" s="3551"/>
      <c r="AB190" s="3551"/>
      <c r="AC190" s="3551"/>
    </row>
    <row r="191" spans="1:29" s="3554" customFormat="1">
      <c r="A191" s="3551"/>
      <c r="B191" s="3551"/>
      <c r="C191" s="3551"/>
      <c r="D191" s="3551"/>
      <c r="E191" s="3551"/>
      <c r="F191" s="3551"/>
      <c r="G191" s="3551"/>
      <c r="H191" s="3551"/>
      <c r="I191" s="3551"/>
      <c r="J191" s="3551"/>
      <c r="K191" s="3552"/>
      <c r="L191" s="3553"/>
      <c r="M191" s="3551"/>
      <c r="N191" s="3551"/>
      <c r="O191" s="3551"/>
      <c r="P191" s="3551"/>
      <c r="Q191" s="3551"/>
      <c r="R191" s="3551"/>
      <c r="S191" s="3551"/>
      <c r="T191" s="3551"/>
      <c r="U191" s="3551"/>
      <c r="V191" s="3551"/>
      <c r="W191" s="3551"/>
      <c r="X191" s="3551"/>
      <c r="Y191" s="3551"/>
      <c r="Z191" s="3551"/>
      <c r="AA191" s="3551"/>
      <c r="AB191" s="3551"/>
      <c r="AC191" s="3551"/>
    </row>
    <row r="192" spans="1:29" s="3554" customFormat="1">
      <c r="A192" s="3551"/>
      <c r="B192" s="3551"/>
      <c r="C192" s="3551"/>
      <c r="D192" s="3551"/>
      <c r="E192" s="3551"/>
      <c r="F192" s="3551"/>
      <c r="G192" s="3551"/>
      <c r="H192" s="3551"/>
      <c r="I192" s="3551"/>
      <c r="J192" s="3551"/>
      <c r="K192" s="3552"/>
      <c r="L192" s="3553"/>
      <c r="M192" s="3551"/>
      <c r="N192" s="3551"/>
      <c r="O192" s="3551"/>
      <c r="P192" s="3551"/>
      <c r="Q192" s="3551"/>
      <c r="R192" s="3551"/>
      <c r="S192" s="3551"/>
      <c r="T192" s="3551"/>
      <c r="U192" s="3551"/>
      <c r="V192" s="3551"/>
      <c r="W192" s="3551"/>
      <c r="X192" s="3551"/>
      <c r="Y192" s="3551"/>
      <c r="Z192" s="3551"/>
      <c r="AA192" s="3551"/>
      <c r="AB192" s="3551"/>
      <c r="AC192" s="3551"/>
    </row>
    <row r="193" spans="1:29" s="3554" customFormat="1">
      <c r="A193" s="3551"/>
      <c r="B193" s="3551"/>
      <c r="C193" s="3551"/>
      <c r="D193" s="3551"/>
      <c r="E193" s="3551"/>
      <c r="F193" s="3551"/>
      <c r="G193" s="3551"/>
      <c r="H193" s="3551"/>
      <c r="I193" s="3551"/>
      <c r="J193" s="3551"/>
      <c r="K193" s="3552"/>
      <c r="L193" s="3553"/>
      <c r="M193" s="3551"/>
      <c r="N193" s="3551"/>
      <c r="O193" s="3551"/>
      <c r="P193" s="3551"/>
      <c r="Q193" s="3551"/>
      <c r="R193" s="3551"/>
      <c r="S193" s="3551"/>
      <c r="T193" s="3551"/>
      <c r="U193" s="3551"/>
      <c r="V193" s="3551"/>
      <c r="W193" s="3551"/>
      <c r="X193" s="3551"/>
      <c r="Y193" s="3551"/>
      <c r="Z193" s="3551"/>
      <c r="AA193" s="3551"/>
      <c r="AB193" s="3551"/>
      <c r="AC193" s="3551"/>
    </row>
    <row r="194" spans="1:29" s="3554" customFormat="1">
      <c r="A194" s="3551"/>
      <c r="B194" s="3551"/>
      <c r="C194" s="3551"/>
      <c r="D194" s="3551"/>
      <c r="E194" s="3551"/>
      <c r="F194" s="3551"/>
      <c r="G194" s="3551"/>
      <c r="H194" s="3551"/>
      <c r="I194" s="3551"/>
      <c r="J194" s="3551"/>
      <c r="K194" s="3552"/>
      <c r="L194" s="3553"/>
      <c r="M194" s="3551"/>
      <c r="N194" s="3551"/>
      <c r="O194" s="3551"/>
      <c r="P194" s="3551"/>
      <c r="Q194" s="3551"/>
      <c r="R194" s="3551"/>
      <c r="S194" s="3551"/>
      <c r="T194" s="3551"/>
      <c r="U194" s="3551"/>
      <c r="V194" s="3551"/>
      <c r="W194" s="3551"/>
      <c r="X194" s="3551"/>
      <c r="Y194" s="3551"/>
      <c r="Z194" s="3551"/>
      <c r="AA194" s="3551"/>
      <c r="AB194" s="3551"/>
      <c r="AC194" s="3551"/>
    </row>
    <row r="195" spans="1:29" s="3554" customFormat="1">
      <c r="A195" s="3551"/>
      <c r="B195" s="3551"/>
      <c r="C195" s="3551"/>
      <c r="D195" s="3551"/>
      <c r="E195" s="3551"/>
      <c r="F195" s="3551"/>
      <c r="G195" s="3551"/>
      <c r="H195" s="3551"/>
      <c r="I195" s="3551"/>
      <c r="J195" s="3551"/>
      <c r="K195" s="3552"/>
      <c r="L195" s="3553"/>
      <c r="M195" s="3551"/>
      <c r="N195" s="3551"/>
      <c r="O195" s="3551"/>
      <c r="P195" s="3551"/>
      <c r="Q195" s="3551"/>
      <c r="R195" s="3551"/>
      <c r="S195" s="3551"/>
      <c r="T195" s="3551"/>
      <c r="U195" s="3551"/>
      <c r="V195" s="3551"/>
      <c r="W195" s="3551"/>
      <c r="X195" s="3551"/>
      <c r="Y195" s="3551"/>
      <c r="Z195" s="3551"/>
      <c r="AA195" s="3551"/>
      <c r="AB195" s="3551"/>
      <c r="AC195" s="3551"/>
    </row>
    <row r="196" spans="1:29" s="3554" customFormat="1">
      <c r="A196" s="3551"/>
      <c r="B196" s="3551"/>
      <c r="C196" s="3551"/>
      <c r="D196" s="3551"/>
      <c r="E196" s="3551"/>
      <c r="F196" s="3551"/>
      <c r="G196" s="3551"/>
      <c r="H196" s="3551"/>
      <c r="I196" s="3551"/>
      <c r="J196" s="3551"/>
      <c r="K196" s="3552"/>
      <c r="L196" s="3553"/>
      <c r="M196" s="3551"/>
      <c r="N196" s="3551"/>
      <c r="O196" s="3551"/>
      <c r="P196" s="3551"/>
      <c r="Q196" s="3551"/>
      <c r="R196" s="3551"/>
      <c r="S196" s="3551"/>
      <c r="T196" s="3551"/>
      <c r="U196" s="3551"/>
      <c r="V196" s="3551"/>
      <c r="W196" s="3551"/>
      <c r="X196" s="3551"/>
      <c r="Y196" s="3551"/>
      <c r="Z196" s="3551"/>
      <c r="AA196" s="3551"/>
      <c r="AB196" s="3551"/>
      <c r="AC196" s="3551"/>
    </row>
    <row r="197" spans="1:29" s="3554" customFormat="1">
      <c r="A197" s="3551"/>
      <c r="B197" s="3551"/>
      <c r="C197" s="3551"/>
      <c r="D197" s="3551"/>
      <c r="E197" s="3551"/>
      <c r="F197" s="3551"/>
      <c r="G197" s="3551"/>
      <c r="H197" s="3551"/>
      <c r="I197" s="3551"/>
      <c r="J197" s="3551"/>
      <c r="K197" s="3552"/>
      <c r="L197" s="3553"/>
      <c r="M197" s="3551"/>
      <c r="N197" s="3551"/>
      <c r="O197" s="3551"/>
      <c r="P197" s="3551"/>
      <c r="Q197" s="3551"/>
      <c r="R197" s="3551"/>
      <c r="S197" s="3551"/>
      <c r="T197" s="3551"/>
      <c r="U197" s="3551"/>
      <c r="V197" s="3551"/>
      <c r="W197" s="3551"/>
      <c r="X197" s="3551"/>
      <c r="Y197" s="3551"/>
      <c r="Z197" s="3551"/>
      <c r="AA197" s="3551"/>
      <c r="AB197" s="3551"/>
      <c r="AC197" s="3551"/>
    </row>
    <row r="198" spans="1:29" s="3554" customFormat="1">
      <c r="A198" s="3551"/>
      <c r="B198" s="3551"/>
      <c r="C198" s="3551"/>
      <c r="D198" s="3551"/>
      <c r="E198" s="3551"/>
      <c r="F198" s="3551"/>
      <c r="G198" s="3551"/>
      <c r="H198" s="3551"/>
      <c r="I198" s="3551"/>
      <c r="J198" s="3551"/>
      <c r="K198" s="3552"/>
      <c r="L198" s="3553"/>
      <c r="M198" s="3551"/>
      <c r="N198" s="3551"/>
      <c r="O198" s="3551"/>
      <c r="P198" s="3551"/>
      <c r="Q198" s="3551"/>
      <c r="R198" s="3551"/>
      <c r="S198" s="3551"/>
      <c r="T198" s="3551"/>
      <c r="U198" s="3551"/>
      <c r="V198" s="3551"/>
      <c r="W198" s="3551"/>
      <c r="X198" s="3551"/>
      <c r="Y198" s="3551"/>
      <c r="Z198" s="3551"/>
      <c r="AA198" s="3551"/>
      <c r="AB198" s="3551"/>
      <c r="AC198" s="3551"/>
    </row>
    <row r="199" spans="1:29" s="3554" customFormat="1">
      <c r="A199" s="3551"/>
      <c r="B199" s="3551"/>
      <c r="C199" s="3551"/>
      <c r="D199" s="3551"/>
      <c r="E199" s="3551"/>
      <c r="F199" s="3551"/>
      <c r="G199" s="3551"/>
      <c r="H199" s="3551"/>
      <c r="I199" s="3551"/>
      <c r="J199" s="3551"/>
      <c r="K199" s="3552"/>
      <c r="L199" s="3553"/>
      <c r="M199" s="3551"/>
      <c r="N199" s="3551"/>
      <c r="O199" s="3551"/>
      <c r="P199" s="3551"/>
      <c r="Q199" s="3551"/>
      <c r="R199" s="3551"/>
      <c r="S199" s="3551"/>
      <c r="T199" s="3551"/>
      <c r="U199" s="3551"/>
      <c r="V199" s="3551"/>
      <c r="W199" s="3551"/>
      <c r="X199" s="3551"/>
      <c r="Y199" s="3551"/>
      <c r="Z199" s="3551"/>
      <c r="AA199" s="3551"/>
      <c r="AB199" s="3551"/>
      <c r="AC199" s="3551"/>
    </row>
    <row r="200" spans="1:29" s="3554" customFormat="1">
      <c r="A200" s="3551"/>
      <c r="B200" s="3551"/>
      <c r="C200" s="3551"/>
      <c r="D200" s="3551"/>
      <c r="E200" s="3551"/>
      <c r="F200" s="3551"/>
      <c r="G200" s="3551"/>
      <c r="H200" s="3551"/>
      <c r="I200" s="3551"/>
      <c r="J200" s="3551"/>
      <c r="K200" s="3552"/>
      <c r="L200" s="3553"/>
      <c r="M200" s="3551"/>
      <c r="N200" s="3551"/>
      <c r="O200" s="3551"/>
      <c r="P200" s="3551"/>
      <c r="Q200" s="3551"/>
      <c r="R200" s="3551"/>
      <c r="S200" s="3551"/>
      <c r="T200" s="3551"/>
      <c r="U200" s="3551"/>
      <c r="V200" s="3551"/>
      <c r="W200" s="3551"/>
      <c r="X200" s="3551"/>
      <c r="Y200" s="3551"/>
      <c r="Z200" s="3551"/>
      <c r="AA200" s="3551"/>
      <c r="AB200" s="3551"/>
      <c r="AC200" s="3551"/>
    </row>
    <row r="201" spans="1:29" s="3554" customFormat="1">
      <c r="A201" s="3551"/>
      <c r="B201" s="3551"/>
      <c r="C201" s="3551"/>
      <c r="D201" s="3551"/>
      <c r="E201" s="3551"/>
      <c r="F201" s="3551"/>
      <c r="G201" s="3551"/>
      <c r="H201" s="3551"/>
      <c r="I201" s="3551"/>
      <c r="J201" s="3551"/>
      <c r="K201" s="3552"/>
      <c r="L201" s="3553"/>
      <c r="M201" s="3551"/>
      <c r="N201" s="3551"/>
      <c r="O201" s="3551"/>
      <c r="P201" s="3551"/>
      <c r="Q201" s="3551"/>
      <c r="R201" s="3551"/>
      <c r="S201" s="3551"/>
      <c r="T201" s="3551"/>
      <c r="U201" s="3551"/>
      <c r="V201" s="3551"/>
      <c r="W201" s="3551"/>
      <c r="X201" s="3551"/>
      <c r="Y201" s="3551"/>
      <c r="Z201" s="3551"/>
      <c r="AA201" s="3551"/>
      <c r="AB201" s="3551"/>
      <c r="AC201" s="3551"/>
    </row>
    <row r="202" spans="1:29" s="3554" customFormat="1">
      <c r="A202" s="3551"/>
      <c r="B202" s="3551"/>
      <c r="C202" s="3551"/>
      <c r="D202" s="3551"/>
      <c r="E202" s="3551"/>
      <c r="F202" s="3551"/>
      <c r="G202" s="3551"/>
      <c r="H202" s="3551"/>
      <c r="I202" s="3551"/>
      <c r="J202" s="3551"/>
      <c r="K202" s="3552"/>
      <c r="L202" s="3553"/>
      <c r="M202" s="3551"/>
      <c r="N202" s="3551"/>
      <c r="O202" s="3551"/>
      <c r="P202" s="3551"/>
      <c r="Q202" s="3551"/>
      <c r="R202" s="3551"/>
      <c r="S202" s="3551"/>
      <c r="T202" s="3551"/>
      <c r="U202" s="3551"/>
      <c r="V202" s="3551"/>
      <c r="W202" s="3551"/>
      <c r="X202" s="3551"/>
      <c r="Y202" s="3551"/>
      <c r="Z202" s="3551"/>
      <c r="AA202" s="3551"/>
      <c r="AB202" s="3551"/>
      <c r="AC202" s="3551"/>
    </row>
    <row r="203" spans="1:29" s="3554" customFormat="1">
      <c r="A203" s="3551"/>
      <c r="B203" s="3551"/>
      <c r="C203" s="3551"/>
      <c r="D203" s="3551"/>
      <c r="E203" s="3551"/>
      <c r="F203" s="3551"/>
      <c r="G203" s="3551"/>
      <c r="H203" s="3551"/>
      <c r="I203" s="3551"/>
      <c r="J203" s="3551"/>
      <c r="K203" s="3552"/>
      <c r="L203" s="3553"/>
      <c r="M203" s="3551"/>
      <c r="N203" s="3551"/>
      <c r="O203" s="3551"/>
      <c r="P203" s="3551"/>
      <c r="Q203" s="3551"/>
      <c r="R203" s="3551"/>
      <c r="S203" s="3551"/>
      <c r="T203" s="3551"/>
      <c r="U203" s="3551"/>
      <c r="V203" s="3551"/>
      <c r="W203" s="3551"/>
      <c r="X203" s="3551"/>
      <c r="Y203" s="3551"/>
      <c r="Z203" s="3551"/>
      <c r="AA203" s="3551"/>
      <c r="AB203" s="3551"/>
      <c r="AC203" s="3551"/>
    </row>
    <row r="204" spans="1:29" s="3554" customFormat="1">
      <c r="A204" s="3551"/>
      <c r="B204" s="3551"/>
      <c r="C204" s="3551"/>
      <c r="D204" s="3551"/>
      <c r="E204" s="3551"/>
      <c r="F204" s="3551"/>
      <c r="G204" s="3551"/>
      <c r="H204" s="3551"/>
      <c r="I204" s="3551"/>
      <c r="J204" s="3551"/>
      <c r="K204" s="3552"/>
      <c r="L204" s="3553"/>
      <c r="M204" s="3551"/>
      <c r="N204" s="3551"/>
      <c r="O204" s="3551"/>
      <c r="P204" s="3551"/>
      <c r="Q204" s="3551"/>
      <c r="R204" s="3551"/>
      <c r="S204" s="3551"/>
      <c r="T204" s="3551"/>
      <c r="U204" s="3551"/>
      <c r="V204" s="3551"/>
      <c r="W204" s="3551"/>
      <c r="X204" s="3551"/>
      <c r="Y204" s="3551"/>
      <c r="Z204" s="3551"/>
      <c r="AA204" s="3551"/>
      <c r="AB204" s="3551"/>
      <c r="AC204" s="3551"/>
    </row>
    <row r="205" spans="1:29" s="3554" customFormat="1">
      <c r="A205" s="3551"/>
      <c r="B205" s="3551"/>
      <c r="C205" s="3551"/>
      <c r="D205" s="3551"/>
      <c r="E205" s="3551"/>
      <c r="F205" s="3551"/>
      <c r="G205" s="3551"/>
      <c r="H205" s="3551"/>
      <c r="I205" s="3551"/>
      <c r="J205" s="3551"/>
      <c r="K205" s="3552"/>
      <c r="L205" s="3553"/>
      <c r="M205" s="3551"/>
      <c r="N205" s="3551"/>
      <c r="O205" s="3551"/>
      <c r="P205" s="3551"/>
      <c r="Q205" s="3551"/>
      <c r="R205" s="3551"/>
      <c r="S205" s="3551"/>
      <c r="T205" s="3551"/>
      <c r="U205" s="3551"/>
      <c r="V205" s="3551"/>
      <c r="W205" s="3551"/>
      <c r="X205" s="3551"/>
      <c r="Y205" s="3551"/>
      <c r="Z205" s="3551"/>
      <c r="AA205" s="3551"/>
      <c r="AB205" s="3551"/>
      <c r="AC205" s="3551"/>
    </row>
    <row r="206" spans="1:29" s="3554" customFormat="1">
      <c r="A206" s="3551"/>
      <c r="B206" s="3551"/>
      <c r="C206" s="3551"/>
      <c r="D206" s="3551"/>
      <c r="E206" s="3551"/>
      <c r="F206" s="3551"/>
      <c r="G206" s="3551"/>
      <c r="H206" s="3551"/>
      <c r="I206" s="3551"/>
      <c r="J206" s="3551"/>
      <c r="K206" s="3552"/>
      <c r="L206" s="3553"/>
      <c r="M206" s="3551"/>
      <c r="N206" s="3551"/>
      <c r="O206" s="3551"/>
      <c r="P206" s="3551"/>
      <c r="Q206" s="3551"/>
      <c r="R206" s="3551"/>
      <c r="S206" s="3551"/>
      <c r="T206" s="3551"/>
      <c r="U206" s="3551"/>
      <c r="V206" s="3551"/>
      <c r="W206" s="3551"/>
      <c r="X206" s="3551"/>
      <c r="Y206" s="3551"/>
      <c r="Z206" s="3551"/>
      <c r="AA206" s="3551"/>
      <c r="AB206" s="3551"/>
      <c r="AC206" s="3551"/>
    </row>
    <row r="207" spans="1:29" s="3554" customFormat="1">
      <c r="A207" s="3551"/>
      <c r="B207" s="3551"/>
      <c r="C207" s="3551"/>
      <c r="D207" s="3551"/>
      <c r="E207" s="3551"/>
      <c r="F207" s="3551"/>
      <c r="G207" s="3551"/>
      <c r="H207" s="3551"/>
      <c r="I207" s="3551"/>
      <c r="J207" s="3551"/>
      <c r="K207" s="3552"/>
      <c r="L207" s="3553"/>
      <c r="M207" s="3551"/>
      <c r="N207" s="3551"/>
      <c r="O207" s="3551"/>
      <c r="P207" s="3551"/>
      <c r="Q207" s="3551"/>
      <c r="R207" s="3551"/>
      <c r="S207" s="3551"/>
      <c r="T207" s="3551"/>
      <c r="U207" s="3551"/>
      <c r="V207" s="3551"/>
      <c r="W207" s="3551"/>
      <c r="X207" s="3551"/>
      <c r="Y207" s="3551"/>
      <c r="Z207" s="3551"/>
      <c r="AA207" s="3551"/>
      <c r="AB207" s="3551"/>
      <c r="AC207" s="3551"/>
    </row>
    <row r="208" spans="1:29" s="3554" customFormat="1">
      <c r="A208" s="3551"/>
      <c r="B208" s="3551"/>
      <c r="C208" s="3551"/>
      <c r="D208" s="3551"/>
      <c r="E208" s="3551"/>
      <c r="F208" s="3551"/>
      <c r="G208" s="3551"/>
      <c r="H208" s="3551"/>
      <c r="I208" s="3551"/>
      <c r="J208" s="3551"/>
      <c r="K208" s="3552"/>
      <c r="L208" s="3553"/>
      <c r="M208" s="3551"/>
      <c r="N208" s="3551"/>
      <c r="O208" s="3551"/>
      <c r="P208" s="3551"/>
      <c r="Q208" s="3551"/>
      <c r="R208" s="3551"/>
      <c r="S208" s="3551"/>
      <c r="T208" s="3551"/>
      <c r="U208" s="3551"/>
      <c r="V208" s="3551"/>
      <c r="W208" s="3551"/>
      <c r="X208" s="3551"/>
      <c r="Y208" s="3551"/>
      <c r="Z208" s="3551"/>
      <c r="AA208" s="3551"/>
      <c r="AB208" s="3551"/>
      <c r="AC208" s="3551"/>
    </row>
    <row r="209" spans="1:29" s="3554" customFormat="1">
      <c r="A209" s="3551"/>
      <c r="B209" s="3551"/>
      <c r="C209" s="3551"/>
      <c r="D209" s="3551"/>
      <c r="E209" s="3551"/>
      <c r="F209" s="3551"/>
      <c r="G209" s="3551"/>
      <c r="H209" s="3551"/>
      <c r="I209" s="3551"/>
      <c r="J209" s="3551"/>
      <c r="K209" s="3552"/>
      <c r="L209" s="3553"/>
      <c r="M209" s="3551"/>
      <c r="N209" s="3551"/>
      <c r="O209" s="3551"/>
      <c r="P209" s="3551"/>
      <c r="Q209" s="3551"/>
      <c r="R209" s="3551"/>
      <c r="S209" s="3551"/>
      <c r="T209" s="3551"/>
      <c r="U209" s="3551"/>
      <c r="V209" s="3551"/>
      <c r="W209" s="3551"/>
      <c r="X209" s="3551"/>
      <c r="Y209" s="3551"/>
      <c r="Z209" s="3551"/>
      <c r="AA209" s="3551"/>
      <c r="AB209" s="3551"/>
      <c r="AC209" s="3551"/>
    </row>
    <row r="210" spans="1:29" s="3554" customFormat="1">
      <c r="A210" s="3551"/>
      <c r="B210" s="3551"/>
      <c r="C210" s="3551"/>
      <c r="D210" s="3551"/>
      <c r="E210" s="3551"/>
      <c r="F210" s="3551"/>
      <c r="G210" s="3551"/>
      <c r="H210" s="3551"/>
      <c r="I210" s="3551"/>
      <c r="J210" s="3551"/>
      <c r="K210" s="3552"/>
      <c r="L210" s="3553"/>
      <c r="M210" s="3551"/>
      <c r="N210" s="3551"/>
      <c r="O210" s="3551"/>
      <c r="P210" s="3551"/>
      <c r="Q210" s="3551"/>
      <c r="R210" s="3551"/>
      <c r="S210" s="3551"/>
      <c r="T210" s="3551"/>
      <c r="U210" s="3551"/>
      <c r="V210" s="3551"/>
      <c r="W210" s="3551"/>
      <c r="X210" s="3551"/>
      <c r="Y210" s="3551"/>
      <c r="Z210" s="3551"/>
      <c r="AA210" s="3551"/>
      <c r="AB210" s="3551"/>
      <c r="AC210" s="3551"/>
    </row>
    <row r="211" spans="1:29" s="3554" customFormat="1">
      <c r="A211" s="3551"/>
      <c r="B211" s="3551"/>
      <c r="C211" s="3551"/>
      <c r="D211" s="3551"/>
      <c r="E211" s="3551"/>
      <c r="F211" s="3551"/>
      <c r="G211" s="3551"/>
      <c r="H211" s="3551"/>
      <c r="I211" s="3551"/>
      <c r="J211" s="3551"/>
      <c r="K211" s="3552"/>
      <c r="L211" s="3553"/>
      <c r="M211" s="3551"/>
      <c r="N211" s="3551"/>
      <c r="O211" s="3551"/>
      <c r="P211" s="3551"/>
      <c r="Q211" s="3551"/>
      <c r="R211" s="3551"/>
      <c r="S211" s="3551"/>
      <c r="T211" s="3551"/>
      <c r="U211" s="3551"/>
      <c r="V211" s="3551"/>
      <c r="W211" s="3551"/>
      <c r="X211" s="3551"/>
      <c r="Y211" s="3551"/>
      <c r="Z211" s="3551"/>
      <c r="AA211" s="3551"/>
      <c r="AB211" s="3551"/>
      <c r="AC211" s="3551"/>
    </row>
    <row r="212" spans="1:29" s="3554" customFormat="1">
      <c r="A212" s="3551"/>
      <c r="B212" s="3551"/>
      <c r="C212" s="3551"/>
      <c r="D212" s="3551"/>
      <c r="E212" s="3551"/>
      <c r="F212" s="3551"/>
      <c r="G212" s="3551"/>
      <c r="H212" s="3551"/>
      <c r="I212" s="3551"/>
      <c r="J212" s="3551"/>
      <c r="K212" s="3552"/>
      <c r="L212" s="3553"/>
      <c r="M212" s="3551"/>
      <c r="N212" s="3551"/>
      <c r="O212" s="3551"/>
      <c r="P212" s="3551"/>
      <c r="Q212" s="3551"/>
      <c r="R212" s="3551"/>
      <c r="S212" s="3551"/>
      <c r="T212" s="3551"/>
      <c r="U212" s="3551"/>
      <c r="V212" s="3551"/>
      <c r="W212" s="3551"/>
      <c r="X212" s="3551"/>
      <c r="Y212" s="3551"/>
      <c r="Z212" s="3551"/>
      <c r="AA212" s="3551"/>
      <c r="AB212" s="3551"/>
      <c r="AC212" s="3551"/>
    </row>
    <row r="213" spans="1:29" s="3554" customFormat="1">
      <c r="A213" s="3551"/>
      <c r="B213" s="3551"/>
      <c r="C213" s="3551"/>
      <c r="D213" s="3551"/>
      <c r="E213" s="3551"/>
      <c r="F213" s="3551"/>
      <c r="G213" s="3551"/>
      <c r="H213" s="3551"/>
      <c r="I213" s="3551"/>
      <c r="J213" s="3551"/>
      <c r="K213" s="3552"/>
      <c r="L213" s="3553"/>
      <c r="M213" s="3551"/>
      <c r="N213" s="3551"/>
      <c r="O213" s="3551"/>
      <c r="P213" s="3551"/>
      <c r="Q213" s="3551"/>
      <c r="R213" s="3551"/>
      <c r="S213" s="3551"/>
      <c r="T213" s="3551"/>
      <c r="U213" s="3551"/>
      <c r="V213" s="3551"/>
      <c r="W213" s="3551"/>
      <c r="X213" s="3551"/>
      <c r="Y213" s="3551"/>
      <c r="Z213" s="3551"/>
      <c r="AA213" s="3551"/>
      <c r="AB213" s="3551"/>
      <c r="AC213" s="3551"/>
    </row>
    <row r="214" spans="1:29" s="3554" customFormat="1">
      <c r="A214" s="3551"/>
      <c r="B214" s="3551"/>
      <c r="C214" s="3551"/>
      <c r="D214" s="3551"/>
      <c r="E214" s="3551"/>
      <c r="F214" s="3551"/>
      <c r="G214" s="3551"/>
      <c r="H214" s="3551"/>
      <c r="I214" s="3551"/>
      <c r="J214" s="3551"/>
      <c r="K214" s="3552"/>
      <c r="L214" s="3553"/>
      <c r="M214" s="3551"/>
      <c r="N214" s="3551"/>
      <c r="O214" s="3551"/>
      <c r="P214" s="3551"/>
      <c r="Q214" s="3551"/>
      <c r="R214" s="3551"/>
      <c r="S214" s="3551"/>
      <c r="T214" s="3551"/>
      <c r="U214" s="3551"/>
      <c r="V214" s="3551"/>
      <c r="W214" s="3551"/>
      <c r="X214" s="3551"/>
      <c r="Y214" s="3551"/>
      <c r="Z214" s="3551"/>
      <c r="AA214" s="3551"/>
      <c r="AB214" s="3551"/>
      <c r="AC214" s="3551"/>
    </row>
    <row r="215" spans="1:29" s="3554" customFormat="1">
      <c r="A215" s="3551"/>
      <c r="B215" s="3551"/>
      <c r="C215" s="3551"/>
      <c r="D215" s="3551"/>
      <c r="E215" s="3551"/>
      <c r="F215" s="3551"/>
      <c r="G215" s="3551"/>
      <c r="H215" s="3551"/>
      <c r="I215" s="3551"/>
      <c r="J215" s="3551"/>
      <c r="K215" s="3552"/>
      <c r="L215" s="3553"/>
      <c r="M215" s="3551"/>
      <c r="N215" s="3551"/>
      <c r="O215" s="3551"/>
      <c r="P215" s="3551"/>
      <c r="Q215" s="3551"/>
      <c r="R215" s="3551"/>
      <c r="S215" s="3551"/>
      <c r="T215" s="3551"/>
      <c r="U215" s="3551"/>
      <c r="V215" s="3551"/>
      <c r="W215" s="3551"/>
      <c r="X215" s="3551"/>
      <c r="Y215" s="3551"/>
      <c r="Z215" s="3551"/>
      <c r="AA215" s="3551"/>
      <c r="AB215" s="3551"/>
      <c r="AC215" s="3551"/>
    </row>
    <row r="216" spans="1:29" s="3554" customFormat="1">
      <c r="A216" s="3551"/>
      <c r="B216" s="3551"/>
      <c r="C216" s="3551"/>
      <c r="D216" s="3551"/>
      <c r="E216" s="3551"/>
      <c r="F216" s="3551"/>
      <c r="G216" s="3551"/>
      <c r="H216" s="3551"/>
      <c r="I216" s="3551"/>
      <c r="J216" s="3551"/>
      <c r="K216" s="3552"/>
      <c r="L216" s="3553"/>
      <c r="M216" s="3551"/>
      <c r="N216" s="3551"/>
      <c r="O216" s="3551"/>
      <c r="P216" s="3551"/>
      <c r="Q216" s="3551"/>
      <c r="R216" s="3551"/>
      <c r="S216" s="3551"/>
      <c r="T216" s="3551"/>
      <c r="U216" s="3551"/>
      <c r="V216" s="3551"/>
      <c r="W216" s="3551"/>
      <c r="X216" s="3551"/>
      <c r="Y216" s="3551"/>
      <c r="Z216" s="3551"/>
      <c r="AA216" s="3551"/>
      <c r="AB216" s="3551"/>
      <c r="AC216" s="3551"/>
    </row>
    <row r="217" spans="1:29" s="3554" customFormat="1">
      <c r="A217" s="3551"/>
      <c r="B217" s="3551"/>
      <c r="C217" s="3551"/>
      <c r="D217" s="3551"/>
      <c r="E217" s="3551"/>
      <c r="F217" s="3551"/>
      <c r="G217" s="3551"/>
      <c r="H217" s="3551"/>
      <c r="I217" s="3551"/>
      <c r="J217" s="3551"/>
      <c r="K217" s="3552"/>
      <c r="L217" s="3553"/>
      <c r="M217" s="3551"/>
      <c r="N217" s="3551"/>
      <c r="O217" s="3551"/>
      <c r="P217" s="3551"/>
      <c r="Q217" s="3551"/>
      <c r="R217" s="3551"/>
      <c r="S217" s="3551"/>
      <c r="T217" s="3551"/>
      <c r="U217" s="3551"/>
      <c r="V217" s="3551"/>
      <c r="W217" s="3551"/>
      <c r="X217" s="3551"/>
      <c r="Y217" s="3551"/>
      <c r="Z217" s="3551"/>
      <c r="AA217" s="3551"/>
      <c r="AB217" s="3551"/>
      <c r="AC217" s="3551"/>
    </row>
    <row r="218" spans="1:29" s="3554" customFormat="1">
      <c r="A218" s="3551"/>
      <c r="B218" s="3551"/>
      <c r="C218" s="3551"/>
      <c r="D218" s="3551"/>
      <c r="E218" s="3551"/>
      <c r="F218" s="3551"/>
      <c r="G218" s="3551"/>
      <c r="H218" s="3551"/>
      <c r="I218" s="3551"/>
      <c r="J218" s="3551"/>
      <c r="K218" s="3552"/>
      <c r="L218" s="3553"/>
      <c r="M218" s="3551"/>
      <c r="N218" s="3551"/>
      <c r="O218" s="3551"/>
      <c r="P218" s="3551"/>
      <c r="Q218" s="3551"/>
      <c r="R218" s="3551"/>
      <c r="S218" s="3551"/>
      <c r="T218" s="3551"/>
      <c r="U218" s="3551"/>
      <c r="V218" s="3551"/>
      <c r="W218" s="3551"/>
      <c r="X218" s="3551"/>
      <c r="Y218" s="3551"/>
      <c r="Z218" s="3551"/>
      <c r="AA218" s="3551"/>
      <c r="AB218" s="3551"/>
      <c r="AC218" s="3551"/>
    </row>
    <row r="219" spans="1:29" s="3554" customFormat="1">
      <c r="A219" s="3551"/>
      <c r="B219" s="3551"/>
      <c r="C219" s="3551"/>
      <c r="D219" s="3551"/>
      <c r="E219" s="3551"/>
      <c r="F219" s="3551"/>
      <c r="G219" s="3551"/>
      <c r="H219" s="3551"/>
      <c r="I219" s="3551"/>
      <c r="J219" s="3551"/>
      <c r="K219" s="3552"/>
      <c r="L219" s="3553"/>
      <c r="M219" s="3551"/>
      <c r="N219" s="3551"/>
      <c r="O219" s="3551"/>
      <c r="P219" s="3551"/>
      <c r="Q219" s="3551"/>
      <c r="R219" s="3551"/>
      <c r="S219" s="3551"/>
      <c r="T219" s="3551"/>
      <c r="U219" s="3551"/>
      <c r="V219" s="3551"/>
      <c r="W219" s="3551"/>
      <c r="X219" s="3551"/>
      <c r="Y219" s="3551"/>
      <c r="Z219" s="3551"/>
      <c r="AA219" s="3551"/>
      <c r="AB219" s="3551"/>
      <c r="AC219" s="3551"/>
    </row>
    <row r="220" spans="1:29" s="3554" customFormat="1">
      <c r="A220" s="3551"/>
      <c r="B220" s="3551"/>
      <c r="C220" s="3551"/>
      <c r="D220" s="3551"/>
      <c r="E220" s="3551"/>
      <c r="F220" s="3551"/>
      <c r="G220" s="3551"/>
      <c r="H220" s="3551"/>
      <c r="I220" s="3551"/>
      <c r="J220" s="3551"/>
      <c r="K220" s="3552"/>
      <c r="L220" s="3553"/>
      <c r="M220" s="3551"/>
      <c r="N220" s="3551"/>
      <c r="O220" s="3551"/>
      <c r="P220" s="3551"/>
      <c r="Q220" s="3551"/>
      <c r="R220" s="3551"/>
      <c r="S220" s="3551"/>
      <c r="T220" s="3551"/>
      <c r="U220" s="3551"/>
      <c r="V220" s="3551"/>
      <c r="W220" s="3551"/>
      <c r="X220" s="3551"/>
      <c r="Y220" s="3551"/>
      <c r="Z220" s="3551"/>
      <c r="AA220" s="3551"/>
      <c r="AB220" s="3551"/>
      <c r="AC220" s="3551"/>
    </row>
    <row r="221" spans="1:29" s="3554" customFormat="1">
      <c r="A221" s="3551"/>
      <c r="B221" s="3551"/>
      <c r="C221" s="3551"/>
      <c r="D221" s="3551"/>
      <c r="E221" s="3551"/>
      <c r="F221" s="3551"/>
      <c r="G221" s="3551"/>
      <c r="H221" s="3551"/>
      <c r="I221" s="3551"/>
      <c r="J221" s="3551"/>
      <c r="K221" s="3552"/>
      <c r="L221" s="3553"/>
      <c r="M221" s="3551"/>
      <c r="N221" s="3551"/>
      <c r="O221" s="3551"/>
      <c r="P221" s="3551"/>
      <c r="Q221" s="3551"/>
      <c r="R221" s="3551"/>
      <c r="S221" s="3551"/>
      <c r="T221" s="3551"/>
      <c r="U221" s="3551"/>
      <c r="V221" s="3551"/>
      <c r="W221" s="3551"/>
      <c r="X221" s="3551"/>
      <c r="Y221" s="3551"/>
      <c r="Z221" s="3551"/>
      <c r="AA221" s="3551"/>
      <c r="AB221" s="3551"/>
      <c r="AC221" s="3551"/>
    </row>
    <row r="222" spans="1:29" s="3554" customFormat="1">
      <c r="A222" s="3551"/>
      <c r="B222" s="3551"/>
      <c r="C222" s="3551"/>
      <c r="D222" s="3551"/>
      <c r="E222" s="3551"/>
      <c r="F222" s="3551"/>
      <c r="G222" s="3551"/>
      <c r="H222" s="3551"/>
      <c r="I222" s="3551"/>
      <c r="J222" s="3551"/>
      <c r="K222" s="3552"/>
      <c r="L222" s="3553"/>
      <c r="M222" s="3551"/>
      <c r="N222" s="3551"/>
      <c r="O222" s="3551"/>
      <c r="P222" s="3551"/>
      <c r="Q222" s="3551"/>
      <c r="R222" s="3551"/>
      <c r="S222" s="3551"/>
      <c r="T222" s="3551"/>
      <c r="U222" s="3551"/>
      <c r="V222" s="3551"/>
      <c r="W222" s="3551"/>
      <c r="X222" s="3551"/>
      <c r="Y222" s="3551"/>
      <c r="Z222" s="3551"/>
      <c r="AA222" s="3551"/>
      <c r="AB222" s="3551"/>
      <c r="AC222" s="3551"/>
    </row>
    <row r="223" spans="1:29" s="3554" customFormat="1">
      <c r="A223" s="3551"/>
      <c r="B223" s="3551"/>
      <c r="C223" s="3551"/>
      <c r="D223" s="3551"/>
      <c r="E223" s="3551"/>
      <c r="F223" s="3551"/>
      <c r="G223" s="3551"/>
      <c r="H223" s="3551"/>
      <c r="I223" s="3551"/>
      <c r="J223" s="3551"/>
      <c r="K223" s="3552"/>
      <c r="L223" s="3553"/>
      <c r="M223" s="3551"/>
      <c r="N223" s="3551"/>
      <c r="O223" s="3551"/>
      <c r="P223" s="3551"/>
      <c r="Q223" s="3551"/>
      <c r="R223" s="3551"/>
      <c r="S223" s="3551"/>
      <c r="T223" s="3551"/>
      <c r="U223" s="3551"/>
      <c r="V223" s="3551"/>
      <c r="W223" s="3551"/>
      <c r="X223" s="3551"/>
      <c r="Y223" s="3551"/>
      <c r="Z223" s="3551"/>
      <c r="AA223" s="3551"/>
      <c r="AB223" s="3551"/>
      <c r="AC223" s="3551"/>
    </row>
    <row r="224" spans="1:29" s="3554" customFormat="1">
      <c r="A224" s="3551"/>
      <c r="B224" s="3551"/>
      <c r="C224" s="3551"/>
      <c r="D224" s="3551"/>
      <c r="E224" s="3551"/>
      <c r="F224" s="3551"/>
      <c r="G224" s="3551"/>
      <c r="H224" s="3551"/>
      <c r="I224" s="3551"/>
      <c r="J224" s="3551"/>
      <c r="K224" s="3552"/>
      <c r="L224" s="3553"/>
      <c r="M224" s="3551"/>
      <c r="N224" s="3551"/>
      <c r="O224" s="3551"/>
      <c r="P224" s="3551"/>
      <c r="Q224" s="3551"/>
      <c r="R224" s="3551"/>
      <c r="S224" s="3551"/>
      <c r="T224" s="3551"/>
      <c r="U224" s="3551"/>
      <c r="V224" s="3551"/>
      <c r="W224" s="3551"/>
      <c r="X224" s="3551"/>
      <c r="Y224" s="3551"/>
      <c r="Z224" s="3551"/>
      <c r="AA224" s="3551"/>
      <c r="AB224" s="3551"/>
      <c r="AC224" s="3551"/>
    </row>
    <row r="225" spans="1:29" s="3554" customFormat="1">
      <c r="A225" s="3551"/>
      <c r="B225" s="3551"/>
      <c r="C225" s="3551"/>
      <c r="D225" s="3551"/>
      <c r="E225" s="3551"/>
      <c r="F225" s="3551"/>
      <c r="G225" s="3551"/>
      <c r="H225" s="3551"/>
      <c r="I225" s="3551"/>
      <c r="J225" s="3551"/>
      <c r="K225" s="3552"/>
      <c r="L225" s="3553"/>
      <c r="M225" s="3551"/>
      <c r="N225" s="3551"/>
      <c r="O225" s="3551"/>
      <c r="P225" s="3551"/>
      <c r="Q225" s="3551"/>
      <c r="R225" s="3551"/>
      <c r="S225" s="3551"/>
      <c r="T225" s="3551"/>
      <c r="U225" s="3551"/>
      <c r="V225" s="3551"/>
      <c r="W225" s="3551"/>
      <c r="X225" s="3551"/>
      <c r="Y225" s="3551"/>
      <c r="Z225" s="3551"/>
      <c r="AA225" s="3551"/>
      <c r="AB225" s="3551"/>
      <c r="AC225" s="3551"/>
    </row>
    <row r="226" spans="1:29" s="3554" customFormat="1">
      <c r="A226" s="3551"/>
      <c r="B226" s="3551"/>
      <c r="C226" s="3551"/>
      <c r="D226" s="3551"/>
      <c r="E226" s="3551"/>
      <c r="F226" s="3551"/>
      <c r="G226" s="3551"/>
      <c r="H226" s="3551"/>
      <c r="I226" s="3551"/>
      <c r="J226" s="3551"/>
      <c r="K226" s="3552"/>
      <c r="L226" s="3553"/>
      <c r="M226" s="3551"/>
      <c r="N226" s="3551"/>
      <c r="O226" s="3551"/>
      <c r="P226" s="3551"/>
      <c r="Q226" s="3551"/>
      <c r="R226" s="3551"/>
      <c r="S226" s="3551"/>
      <c r="T226" s="3551"/>
      <c r="U226" s="3551"/>
      <c r="V226" s="3551"/>
      <c r="W226" s="3551"/>
      <c r="X226" s="3551"/>
      <c r="Y226" s="3551"/>
      <c r="Z226" s="3551"/>
      <c r="AA226" s="3551"/>
      <c r="AB226" s="3551"/>
      <c r="AC226" s="3551"/>
    </row>
    <row r="227" spans="1:29" s="3554" customFormat="1">
      <c r="A227" s="3551"/>
      <c r="B227" s="3551"/>
      <c r="C227" s="3551"/>
      <c r="D227" s="3551"/>
      <c r="E227" s="3551"/>
      <c r="F227" s="3551"/>
      <c r="G227" s="3551"/>
      <c r="H227" s="3551"/>
      <c r="I227" s="3551"/>
      <c r="J227" s="3551"/>
      <c r="K227" s="3552"/>
      <c r="L227" s="3553"/>
      <c r="M227" s="3551"/>
      <c r="N227" s="3551"/>
      <c r="O227" s="3551"/>
      <c r="P227" s="3551"/>
      <c r="Q227" s="3551"/>
      <c r="R227" s="3551"/>
      <c r="S227" s="3551"/>
      <c r="T227" s="3551"/>
      <c r="U227" s="3551"/>
      <c r="V227" s="3551"/>
      <c r="W227" s="3551"/>
      <c r="X227" s="3551"/>
      <c r="Y227" s="3551"/>
      <c r="Z227" s="3551"/>
      <c r="AA227" s="3551"/>
      <c r="AB227" s="3551"/>
      <c r="AC227" s="3551"/>
    </row>
    <row r="228" spans="1:29" s="3554" customFormat="1">
      <c r="A228" s="3551"/>
      <c r="B228" s="3551"/>
      <c r="C228" s="3551"/>
      <c r="D228" s="3551"/>
      <c r="E228" s="3551"/>
      <c r="F228" s="3551"/>
      <c r="G228" s="3551"/>
      <c r="H228" s="3551"/>
      <c r="I228" s="3551"/>
      <c r="J228" s="3551"/>
      <c r="K228" s="3552"/>
      <c r="L228" s="3553"/>
      <c r="M228" s="3551"/>
      <c r="N228" s="3551"/>
      <c r="O228" s="3551"/>
      <c r="P228" s="3551"/>
      <c r="Q228" s="3551"/>
      <c r="R228" s="3551"/>
      <c r="S228" s="3551"/>
      <c r="T228" s="3551"/>
      <c r="U228" s="3551"/>
      <c r="V228" s="3551"/>
      <c r="W228" s="3551"/>
      <c r="X228" s="3551"/>
      <c r="Y228" s="3551"/>
      <c r="Z228" s="3551"/>
      <c r="AA228" s="3551"/>
      <c r="AB228" s="3551"/>
      <c r="AC228" s="3551"/>
    </row>
    <row r="229" spans="1:29" s="3554" customFormat="1">
      <c r="A229" s="3551"/>
      <c r="B229" s="3551"/>
      <c r="C229" s="3551"/>
      <c r="D229" s="3551"/>
      <c r="E229" s="3551"/>
      <c r="F229" s="3551"/>
      <c r="G229" s="3551"/>
      <c r="H229" s="3551"/>
      <c r="I229" s="3551"/>
      <c r="J229" s="3551"/>
      <c r="K229" s="3552"/>
      <c r="L229" s="3553"/>
      <c r="M229" s="3551"/>
      <c r="N229" s="3551"/>
      <c r="O229" s="3551"/>
      <c r="P229" s="3551"/>
      <c r="Q229" s="3551"/>
      <c r="R229" s="3551"/>
      <c r="S229" s="3551"/>
      <c r="T229" s="3551"/>
      <c r="U229" s="3551"/>
      <c r="V229" s="3551"/>
      <c r="W229" s="3551"/>
      <c r="X229" s="3551"/>
      <c r="Y229" s="3551"/>
      <c r="Z229" s="3551"/>
      <c r="AA229" s="3551"/>
      <c r="AB229" s="3551"/>
      <c r="AC229" s="3551"/>
    </row>
    <row r="230" spans="1:29" s="3554" customFormat="1">
      <c r="A230" s="3551"/>
      <c r="B230" s="3551"/>
      <c r="C230" s="3551"/>
      <c r="D230" s="3551"/>
      <c r="E230" s="3551"/>
      <c r="F230" s="3551"/>
      <c r="G230" s="3551"/>
      <c r="H230" s="3551"/>
      <c r="I230" s="3551"/>
      <c r="J230" s="3551"/>
      <c r="K230" s="3552"/>
      <c r="L230" s="3553"/>
      <c r="M230" s="3551"/>
      <c r="N230" s="3551"/>
      <c r="O230" s="3551"/>
      <c r="P230" s="3551"/>
      <c r="Q230" s="3551"/>
      <c r="R230" s="3551"/>
      <c r="S230" s="3551"/>
      <c r="T230" s="3551"/>
      <c r="U230" s="3551"/>
      <c r="V230" s="3551"/>
      <c r="W230" s="3551"/>
      <c r="X230" s="3551"/>
      <c r="Y230" s="3551"/>
      <c r="Z230" s="3551"/>
      <c r="AA230" s="3551"/>
      <c r="AB230" s="3551"/>
      <c r="AC230" s="3551"/>
    </row>
    <row r="231" spans="1:29" s="3554" customFormat="1">
      <c r="A231" s="3551"/>
      <c r="B231" s="3551"/>
      <c r="C231" s="3551"/>
      <c r="D231" s="3551"/>
      <c r="E231" s="3551"/>
      <c r="F231" s="3551"/>
      <c r="G231" s="3551"/>
      <c r="H231" s="3551"/>
      <c r="I231" s="3551"/>
      <c r="J231" s="3551"/>
      <c r="K231" s="3552"/>
      <c r="L231" s="3553"/>
      <c r="M231" s="3551"/>
      <c r="N231" s="3551"/>
      <c r="O231" s="3551"/>
      <c r="P231" s="3551"/>
      <c r="Q231" s="3551"/>
      <c r="R231" s="3551"/>
      <c r="S231" s="3551"/>
      <c r="T231" s="3551"/>
      <c r="U231" s="3551"/>
      <c r="V231" s="3551"/>
      <c r="W231" s="3551"/>
      <c r="X231" s="3551"/>
      <c r="Y231" s="3551"/>
      <c r="Z231" s="3551"/>
      <c r="AA231" s="3551"/>
      <c r="AB231" s="3551"/>
      <c r="AC231" s="3551"/>
    </row>
    <row r="232" spans="1:29" s="3554" customFormat="1">
      <c r="A232" s="3551"/>
      <c r="B232" s="3551"/>
      <c r="C232" s="3551"/>
      <c r="D232" s="3551"/>
      <c r="E232" s="3551"/>
      <c r="F232" s="3551"/>
      <c r="G232" s="3551"/>
      <c r="H232" s="3551"/>
      <c r="I232" s="3551"/>
      <c r="J232" s="3551"/>
      <c r="K232" s="3552"/>
      <c r="L232" s="3553"/>
      <c r="M232" s="3551"/>
      <c r="N232" s="3551"/>
      <c r="O232" s="3551"/>
      <c r="P232" s="3551"/>
      <c r="Q232" s="3551"/>
      <c r="R232" s="3551"/>
      <c r="S232" s="3551"/>
      <c r="T232" s="3551"/>
      <c r="U232" s="3551"/>
      <c r="V232" s="3551"/>
      <c r="W232" s="3551"/>
      <c r="X232" s="3551"/>
      <c r="Y232" s="3551"/>
      <c r="Z232" s="3551"/>
      <c r="AA232" s="3551"/>
      <c r="AB232" s="3551"/>
      <c r="AC232" s="3551"/>
    </row>
    <row r="233" spans="1:29" s="3554" customFormat="1">
      <c r="A233" s="3551"/>
      <c r="B233" s="3551"/>
      <c r="C233" s="3551"/>
      <c r="D233" s="3551"/>
      <c r="E233" s="3551"/>
      <c r="F233" s="3551"/>
      <c r="G233" s="3551"/>
      <c r="H233" s="3551"/>
      <c r="I233" s="3551"/>
      <c r="J233" s="3551"/>
      <c r="K233" s="3552"/>
      <c r="L233" s="3553"/>
      <c r="M233" s="3551"/>
      <c r="N233" s="3551"/>
      <c r="O233" s="3551"/>
      <c r="P233" s="3551"/>
      <c r="Q233" s="3551"/>
      <c r="R233" s="3551"/>
      <c r="S233" s="3551"/>
      <c r="T233" s="3551"/>
      <c r="U233" s="3551"/>
      <c r="V233" s="3551"/>
      <c r="W233" s="3551"/>
      <c r="X233" s="3551"/>
      <c r="Y233" s="3551"/>
      <c r="Z233" s="3551"/>
      <c r="AA233" s="3551"/>
      <c r="AB233" s="3551"/>
      <c r="AC233" s="3551"/>
    </row>
    <row r="234" spans="1:29" s="3554" customFormat="1">
      <c r="A234" s="3551"/>
      <c r="B234" s="3551"/>
      <c r="C234" s="3551"/>
      <c r="D234" s="3551"/>
      <c r="E234" s="3551"/>
      <c r="F234" s="3551"/>
      <c r="G234" s="3551"/>
      <c r="H234" s="3551"/>
      <c r="I234" s="3551"/>
      <c r="J234" s="3551"/>
      <c r="K234" s="3552"/>
      <c r="L234" s="3553"/>
      <c r="M234" s="3551"/>
      <c r="N234" s="3551"/>
      <c r="O234" s="3551"/>
      <c r="P234" s="3551"/>
      <c r="Q234" s="3551"/>
      <c r="R234" s="3551"/>
      <c r="S234" s="3551"/>
      <c r="T234" s="3551"/>
      <c r="U234" s="3551"/>
      <c r="V234" s="3551"/>
      <c r="W234" s="3551"/>
      <c r="X234" s="3551"/>
      <c r="Y234" s="3551"/>
      <c r="Z234" s="3551"/>
      <c r="AA234" s="3551"/>
      <c r="AB234" s="3551"/>
      <c r="AC234" s="3551"/>
    </row>
    <row r="235" spans="1:29" s="3554" customFormat="1">
      <c r="A235" s="3551"/>
      <c r="B235" s="3551"/>
      <c r="C235" s="3551"/>
      <c r="D235" s="3551"/>
      <c r="E235" s="3551"/>
      <c r="F235" s="3551"/>
      <c r="G235" s="3551"/>
      <c r="H235" s="3551"/>
      <c r="I235" s="3551"/>
      <c r="J235" s="3551"/>
      <c r="K235" s="3552"/>
      <c r="L235" s="3553"/>
      <c r="M235" s="3551"/>
      <c r="N235" s="3551"/>
      <c r="O235" s="3551"/>
      <c r="P235" s="3551"/>
      <c r="Q235" s="3551"/>
      <c r="R235" s="3551"/>
      <c r="S235" s="3551"/>
      <c r="T235" s="3551"/>
      <c r="U235" s="3551"/>
      <c r="V235" s="3551"/>
      <c r="W235" s="3551"/>
      <c r="X235" s="3551"/>
      <c r="Y235" s="3551"/>
      <c r="Z235" s="3551"/>
      <c r="AA235" s="3551"/>
      <c r="AB235" s="3551"/>
      <c r="AC235" s="3551"/>
    </row>
    <row r="236" spans="1:29" s="3554" customFormat="1">
      <c r="A236" s="3551"/>
      <c r="B236" s="3551"/>
      <c r="C236" s="3551"/>
      <c r="D236" s="3551"/>
      <c r="E236" s="3551"/>
      <c r="F236" s="3551"/>
      <c r="G236" s="3551"/>
      <c r="H236" s="3551"/>
      <c r="I236" s="3551"/>
      <c r="J236" s="3551"/>
      <c r="K236" s="3552"/>
      <c r="L236" s="3553"/>
      <c r="M236" s="3551"/>
      <c r="N236" s="3551"/>
      <c r="O236" s="3551"/>
      <c r="P236" s="3551"/>
      <c r="Q236" s="3551"/>
      <c r="R236" s="3551"/>
      <c r="S236" s="3551"/>
      <c r="T236" s="3551"/>
      <c r="U236" s="3551"/>
      <c r="V236" s="3551"/>
      <c r="W236" s="3551"/>
      <c r="X236" s="3551"/>
      <c r="Y236" s="3551"/>
      <c r="Z236" s="3551"/>
      <c r="AA236" s="3551"/>
      <c r="AB236" s="3551"/>
      <c r="AC236" s="3551"/>
    </row>
    <row r="237" spans="1:29" s="3554" customFormat="1">
      <c r="A237" s="3551"/>
      <c r="B237" s="3551"/>
      <c r="C237" s="3551"/>
      <c r="D237" s="3551"/>
      <c r="E237" s="3551"/>
      <c r="F237" s="3551"/>
      <c r="G237" s="3551"/>
      <c r="H237" s="3551"/>
      <c r="I237" s="3551"/>
      <c r="J237" s="3551"/>
      <c r="K237" s="3552"/>
      <c r="L237" s="3553"/>
      <c r="M237" s="3551"/>
      <c r="N237" s="3551"/>
      <c r="O237" s="3551"/>
      <c r="P237" s="3551"/>
      <c r="Q237" s="3551"/>
      <c r="R237" s="3551"/>
      <c r="S237" s="3551"/>
      <c r="T237" s="3551"/>
      <c r="U237" s="3551"/>
      <c r="V237" s="3551"/>
      <c r="W237" s="3551"/>
      <c r="X237" s="3551"/>
      <c r="Y237" s="3551"/>
      <c r="Z237" s="3551"/>
      <c r="AA237" s="3551"/>
      <c r="AB237" s="3551"/>
      <c r="AC237" s="3551"/>
    </row>
    <row r="238" spans="1:29" s="3554" customFormat="1">
      <c r="A238" s="3551"/>
      <c r="B238" s="3551"/>
      <c r="C238" s="3551"/>
      <c r="D238" s="3551"/>
      <c r="E238" s="3551"/>
      <c r="F238" s="3551"/>
      <c r="G238" s="3551"/>
      <c r="H238" s="3551"/>
      <c r="I238" s="3551"/>
      <c r="J238" s="3551"/>
      <c r="K238" s="3552"/>
      <c r="L238" s="3553"/>
      <c r="M238" s="3551"/>
      <c r="N238" s="3551"/>
      <c r="O238" s="3551"/>
      <c r="P238" s="3551"/>
      <c r="Q238" s="3551"/>
      <c r="R238" s="3551"/>
      <c r="S238" s="3551"/>
      <c r="T238" s="3551"/>
      <c r="U238" s="3551"/>
      <c r="V238" s="3551"/>
      <c r="W238" s="3551"/>
      <c r="X238" s="3551"/>
      <c r="Y238" s="3551"/>
      <c r="Z238" s="3551"/>
      <c r="AA238" s="3551"/>
      <c r="AB238" s="3551"/>
      <c r="AC238" s="3551"/>
    </row>
    <row r="239" spans="1:29" s="3554" customFormat="1">
      <c r="A239" s="3551"/>
      <c r="B239" s="3551"/>
      <c r="C239" s="3551"/>
      <c r="D239" s="3551"/>
      <c r="E239" s="3551"/>
      <c r="F239" s="3551"/>
      <c r="G239" s="3551"/>
      <c r="H239" s="3551"/>
      <c r="I239" s="3551"/>
      <c r="J239" s="3551"/>
      <c r="K239" s="3552"/>
      <c r="L239" s="3553"/>
      <c r="M239" s="3551"/>
      <c r="N239" s="3551"/>
      <c r="O239" s="3551"/>
      <c r="P239" s="3551"/>
      <c r="Q239" s="3551"/>
      <c r="R239" s="3551"/>
      <c r="S239" s="3551"/>
      <c r="T239" s="3551"/>
      <c r="U239" s="3551"/>
      <c r="V239" s="3551"/>
      <c r="W239" s="3551"/>
      <c r="X239" s="3551"/>
      <c r="Y239" s="3551"/>
      <c r="Z239" s="3551"/>
      <c r="AA239" s="3551"/>
      <c r="AB239" s="3551"/>
      <c r="AC239" s="3551"/>
    </row>
    <row r="240" spans="1:29" s="3554" customFormat="1">
      <c r="A240" s="3551"/>
      <c r="B240" s="3551"/>
      <c r="C240" s="3551"/>
      <c r="D240" s="3551"/>
      <c r="E240" s="3551"/>
      <c r="F240" s="3551"/>
      <c r="G240" s="3551"/>
      <c r="H240" s="3551"/>
      <c r="I240" s="3551"/>
      <c r="J240" s="3551"/>
      <c r="K240" s="3552"/>
      <c r="L240" s="3553"/>
      <c r="M240" s="3551"/>
      <c r="N240" s="3551"/>
      <c r="O240" s="3551"/>
      <c r="P240" s="3551"/>
      <c r="Q240" s="3551"/>
      <c r="R240" s="3551"/>
      <c r="S240" s="3551"/>
      <c r="T240" s="3551"/>
      <c r="U240" s="3551"/>
      <c r="V240" s="3551"/>
      <c r="W240" s="3551"/>
      <c r="X240" s="3551"/>
      <c r="Y240" s="3551"/>
      <c r="Z240" s="3551"/>
      <c r="AA240" s="3551"/>
      <c r="AB240" s="3551"/>
      <c r="AC240" s="3551"/>
    </row>
    <row r="241" spans="1:29" s="3554" customFormat="1">
      <c r="A241" s="3551"/>
      <c r="B241" s="3551"/>
      <c r="C241" s="3551"/>
      <c r="D241" s="3551"/>
      <c r="E241" s="3551"/>
      <c r="F241" s="3551"/>
      <c r="G241" s="3551"/>
      <c r="H241" s="3551"/>
      <c r="I241" s="3551"/>
      <c r="J241" s="3551"/>
      <c r="K241" s="3552"/>
      <c r="L241" s="3553"/>
      <c r="M241" s="3551"/>
      <c r="N241" s="3551"/>
      <c r="O241" s="3551"/>
      <c r="P241" s="3551"/>
      <c r="Q241" s="3551"/>
      <c r="R241" s="3551"/>
      <c r="S241" s="3551"/>
      <c r="T241" s="3551"/>
      <c r="U241" s="3551"/>
      <c r="V241" s="3551"/>
      <c r="W241" s="3551"/>
      <c r="X241" s="3551"/>
      <c r="Y241" s="3551"/>
      <c r="Z241" s="3551"/>
      <c r="AA241" s="3551"/>
      <c r="AB241" s="3551"/>
      <c r="AC241" s="3551"/>
    </row>
    <row r="242" spans="1:29" s="3554" customFormat="1">
      <c r="A242" s="3551"/>
      <c r="B242" s="3551"/>
      <c r="C242" s="3551"/>
      <c r="D242" s="3551"/>
      <c r="E242" s="3551"/>
      <c r="F242" s="3551"/>
      <c r="G242" s="3551"/>
      <c r="H242" s="3551"/>
      <c r="I242" s="3551"/>
      <c r="J242" s="3551"/>
      <c r="K242" s="3552"/>
      <c r="L242" s="3553"/>
      <c r="M242" s="3551"/>
      <c r="N242" s="3551"/>
      <c r="O242" s="3551"/>
      <c r="P242" s="3551"/>
      <c r="Q242" s="3551"/>
      <c r="R242" s="3551"/>
      <c r="S242" s="3551"/>
      <c r="T242" s="3551"/>
      <c r="U242" s="3551"/>
      <c r="V242" s="3551"/>
      <c r="W242" s="3551"/>
      <c r="X242" s="3551"/>
      <c r="Y242" s="3551"/>
      <c r="Z242" s="3551"/>
      <c r="AA242" s="3551"/>
      <c r="AB242" s="3551"/>
      <c r="AC242" s="3551"/>
    </row>
    <row r="243" spans="1:29" s="3554" customFormat="1">
      <c r="A243" s="3551"/>
      <c r="B243" s="3551"/>
      <c r="C243" s="3551"/>
      <c r="D243" s="3551"/>
      <c r="E243" s="3551"/>
      <c r="F243" s="3551"/>
      <c r="G243" s="3551"/>
      <c r="H243" s="3551"/>
      <c r="I243" s="3551"/>
      <c r="J243" s="3551"/>
      <c r="K243" s="3552"/>
      <c r="L243" s="3553"/>
      <c r="M243" s="3551"/>
      <c r="N243" s="3551"/>
      <c r="O243" s="3551"/>
      <c r="P243" s="3551"/>
      <c r="Q243" s="3551"/>
      <c r="R243" s="3551"/>
      <c r="S243" s="3551"/>
      <c r="T243" s="3551"/>
      <c r="U243" s="3551"/>
      <c r="V243" s="3551"/>
      <c r="W243" s="3551"/>
      <c r="X243" s="3551"/>
      <c r="Y243" s="3551"/>
      <c r="Z243" s="3551"/>
      <c r="AA243" s="3551"/>
      <c r="AB243" s="3551"/>
      <c r="AC243" s="3551"/>
    </row>
    <row r="244" spans="1:29" s="3554" customFormat="1">
      <c r="A244" s="3551"/>
      <c r="B244" s="3551"/>
      <c r="C244" s="3551"/>
      <c r="D244" s="3551"/>
      <c r="E244" s="3551"/>
      <c r="F244" s="3551"/>
      <c r="G244" s="3551"/>
      <c r="H244" s="3551"/>
      <c r="I244" s="3551"/>
      <c r="J244" s="3551"/>
      <c r="K244" s="3552"/>
      <c r="L244" s="3553"/>
      <c r="M244" s="3551"/>
      <c r="N244" s="3551"/>
      <c r="O244" s="3551"/>
      <c r="P244" s="3551"/>
      <c r="Q244" s="3551"/>
      <c r="R244" s="3551"/>
      <c r="S244" s="3551"/>
      <c r="T244" s="3551"/>
      <c r="U244" s="3551"/>
      <c r="V244" s="3551"/>
      <c r="W244" s="3551"/>
      <c r="X244" s="3551"/>
      <c r="Y244" s="3551"/>
      <c r="Z244" s="3551"/>
      <c r="AA244" s="3551"/>
      <c r="AB244" s="3551"/>
      <c r="AC244" s="3551"/>
    </row>
    <row r="245" spans="1:29" s="3554" customFormat="1">
      <c r="A245" s="3551"/>
      <c r="B245" s="3551"/>
      <c r="C245" s="3551"/>
      <c r="D245" s="3551"/>
      <c r="E245" s="3551"/>
      <c r="F245" s="3551"/>
      <c r="G245" s="3551"/>
      <c r="H245" s="3551"/>
      <c r="I245" s="3551"/>
      <c r="J245" s="3551"/>
      <c r="K245" s="3552"/>
      <c r="L245" s="3553"/>
      <c r="M245" s="3551"/>
      <c r="N245" s="3551"/>
      <c r="O245" s="3551"/>
      <c r="P245" s="3551"/>
      <c r="Q245" s="3551"/>
      <c r="R245" s="3551"/>
      <c r="S245" s="3551"/>
      <c r="T245" s="3551"/>
      <c r="U245" s="3551"/>
      <c r="V245" s="3551"/>
      <c r="W245" s="3551"/>
      <c r="X245" s="3551"/>
      <c r="Y245" s="3551"/>
      <c r="Z245" s="3551"/>
      <c r="AA245" s="3551"/>
      <c r="AB245" s="3551"/>
      <c r="AC245" s="3551"/>
    </row>
    <row r="246" spans="1:29" s="3554" customFormat="1">
      <c r="A246" s="3551"/>
      <c r="B246" s="3551"/>
      <c r="C246" s="3551"/>
      <c r="D246" s="3551"/>
      <c r="E246" s="3551"/>
      <c r="F246" s="3551"/>
      <c r="G246" s="3551"/>
      <c r="H246" s="3551"/>
      <c r="I246" s="3551"/>
      <c r="J246" s="3551"/>
      <c r="K246" s="3552"/>
      <c r="L246" s="3553"/>
      <c r="M246" s="3551"/>
      <c r="N246" s="3551"/>
      <c r="O246" s="3551"/>
      <c r="P246" s="3551"/>
      <c r="Q246" s="3551"/>
      <c r="R246" s="3551"/>
      <c r="S246" s="3551"/>
      <c r="T246" s="3551"/>
      <c r="U246" s="3551"/>
      <c r="V246" s="3551"/>
      <c r="W246" s="3551"/>
      <c r="X246" s="3551"/>
      <c r="Y246" s="3551"/>
      <c r="Z246" s="3551"/>
      <c r="AA246" s="3551"/>
      <c r="AB246" s="3551"/>
      <c r="AC246" s="3551"/>
    </row>
    <row r="247" spans="1:29" s="3554" customFormat="1">
      <c r="A247" s="3551"/>
      <c r="B247" s="3551"/>
      <c r="C247" s="3551"/>
      <c r="D247" s="3551"/>
      <c r="E247" s="3551"/>
      <c r="F247" s="3551"/>
      <c r="G247" s="3551"/>
      <c r="H247" s="3551"/>
      <c r="I247" s="3551"/>
      <c r="J247" s="3551"/>
      <c r="K247" s="3552"/>
      <c r="L247" s="3553"/>
      <c r="M247" s="3551"/>
      <c r="N247" s="3551"/>
      <c r="O247" s="3551"/>
      <c r="P247" s="3551"/>
      <c r="Q247" s="3551"/>
      <c r="R247" s="3551"/>
      <c r="S247" s="3551"/>
      <c r="T247" s="3551"/>
      <c r="U247" s="3551"/>
      <c r="V247" s="3551"/>
      <c r="W247" s="3551"/>
      <c r="X247" s="3551"/>
      <c r="Y247" s="3551"/>
      <c r="Z247" s="3551"/>
      <c r="AA247" s="3551"/>
      <c r="AB247" s="3551"/>
      <c r="AC247" s="3551"/>
    </row>
    <row r="248" spans="1:29" s="3554" customFormat="1">
      <c r="A248" s="3551"/>
      <c r="B248" s="3551"/>
      <c r="C248" s="3551"/>
      <c r="D248" s="3551"/>
      <c r="E248" s="3551"/>
      <c r="F248" s="3551"/>
      <c r="G248" s="3551"/>
      <c r="H248" s="3551"/>
      <c r="I248" s="3551"/>
      <c r="J248" s="3551"/>
      <c r="K248" s="3552"/>
      <c r="L248" s="3553"/>
      <c r="M248" s="3551"/>
      <c r="N248" s="3551"/>
      <c r="O248" s="3551"/>
      <c r="P248" s="3551"/>
      <c r="Q248" s="3551"/>
      <c r="R248" s="3551"/>
      <c r="S248" s="3551"/>
      <c r="T248" s="3551"/>
      <c r="U248" s="3551"/>
      <c r="V248" s="3551"/>
      <c r="W248" s="3551"/>
      <c r="X248" s="3551"/>
      <c r="Y248" s="3551"/>
      <c r="Z248" s="3551"/>
      <c r="AA248" s="3551"/>
      <c r="AB248" s="3551"/>
      <c r="AC248" s="3551"/>
    </row>
    <row r="249" spans="1:29" s="3554" customFormat="1">
      <c r="A249" s="3551"/>
      <c r="B249" s="3551"/>
      <c r="C249" s="3551"/>
      <c r="D249" s="3551"/>
      <c r="E249" s="3551"/>
      <c r="F249" s="3551"/>
      <c r="G249" s="3551"/>
      <c r="H249" s="3551"/>
      <c r="I249" s="3551"/>
      <c r="J249" s="3551"/>
      <c r="K249" s="3552"/>
      <c r="L249" s="3553"/>
      <c r="M249" s="3551"/>
      <c r="N249" s="3551"/>
      <c r="O249" s="3551"/>
      <c r="P249" s="3551"/>
      <c r="Q249" s="3551"/>
      <c r="R249" s="3551"/>
      <c r="S249" s="3551"/>
      <c r="T249" s="3551"/>
      <c r="U249" s="3551"/>
      <c r="V249" s="3551"/>
      <c r="W249" s="3551"/>
      <c r="X249" s="3551"/>
      <c r="Y249" s="3551"/>
      <c r="Z249" s="3551"/>
      <c r="AA249" s="3551"/>
      <c r="AB249" s="3551"/>
      <c r="AC249" s="3551"/>
    </row>
    <row r="250" spans="1:29" s="3554" customFormat="1">
      <c r="A250" s="3551"/>
      <c r="B250" s="3551"/>
      <c r="C250" s="3551"/>
      <c r="D250" s="3551"/>
      <c r="E250" s="3551"/>
      <c r="F250" s="3551"/>
      <c r="G250" s="3551"/>
      <c r="H250" s="3551"/>
      <c r="I250" s="3551"/>
      <c r="J250" s="3551"/>
      <c r="K250" s="3552"/>
      <c r="L250" s="3553"/>
      <c r="M250" s="3551"/>
      <c r="N250" s="3551"/>
      <c r="O250" s="3551"/>
      <c r="P250" s="3551"/>
      <c r="Q250" s="3551"/>
      <c r="R250" s="3551"/>
      <c r="S250" s="3551"/>
      <c r="T250" s="3551"/>
      <c r="U250" s="3551"/>
      <c r="V250" s="3551"/>
      <c r="W250" s="3551"/>
      <c r="X250" s="3551"/>
      <c r="Y250" s="3551"/>
      <c r="Z250" s="3551"/>
      <c r="AA250" s="3551"/>
      <c r="AB250" s="3551"/>
      <c r="AC250" s="3551"/>
    </row>
    <row r="251" spans="1:29" s="3554" customFormat="1">
      <c r="A251" s="3551"/>
      <c r="B251" s="3551"/>
      <c r="C251" s="3551"/>
      <c r="D251" s="3551"/>
      <c r="E251" s="3551"/>
      <c r="F251" s="3551"/>
      <c r="G251" s="3551"/>
      <c r="H251" s="3551"/>
      <c r="I251" s="3551"/>
      <c r="J251" s="3551"/>
      <c r="K251" s="3552"/>
      <c r="L251" s="3553"/>
      <c r="M251" s="3551"/>
      <c r="N251" s="3551"/>
      <c r="O251" s="3551"/>
      <c r="P251" s="3551"/>
      <c r="Q251" s="3551"/>
      <c r="R251" s="3551"/>
      <c r="S251" s="3551"/>
      <c r="T251" s="3551"/>
      <c r="U251" s="3551"/>
      <c r="V251" s="3551"/>
      <c r="W251" s="3551"/>
      <c r="X251" s="3551"/>
      <c r="Y251" s="3551"/>
      <c r="Z251" s="3551"/>
      <c r="AA251" s="3551"/>
      <c r="AB251" s="3551"/>
      <c r="AC251" s="3551"/>
    </row>
    <row r="252" spans="1:29" s="3554" customFormat="1">
      <c r="A252" s="3551"/>
      <c r="B252" s="3551"/>
      <c r="C252" s="3551"/>
      <c r="D252" s="3551"/>
      <c r="E252" s="3551"/>
      <c r="F252" s="3551"/>
      <c r="G252" s="3551"/>
      <c r="H252" s="3551"/>
      <c r="I252" s="3551"/>
      <c r="J252" s="3551"/>
      <c r="K252" s="3552"/>
      <c r="L252" s="3553"/>
      <c r="M252" s="3551"/>
      <c r="N252" s="3551"/>
      <c r="O252" s="3551"/>
      <c r="P252" s="3551"/>
      <c r="Q252" s="3551"/>
      <c r="R252" s="3551"/>
      <c r="S252" s="3551"/>
      <c r="T252" s="3551"/>
      <c r="U252" s="3551"/>
      <c r="V252" s="3551"/>
      <c r="W252" s="3551"/>
      <c r="X252" s="3551"/>
      <c r="Y252" s="3551"/>
      <c r="Z252" s="3551"/>
      <c r="AA252" s="3551"/>
      <c r="AB252" s="3551"/>
      <c r="AC252" s="3551"/>
    </row>
    <row r="253" spans="1:29" s="3554" customFormat="1">
      <c r="A253" s="3551"/>
      <c r="B253" s="3551"/>
      <c r="C253" s="3551"/>
      <c r="D253" s="3551"/>
      <c r="E253" s="3551"/>
      <c r="F253" s="3551"/>
      <c r="G253" s="3551"/>
      <c r="H253" s="3551"/>
      <c r="I253" s="3551"/>
      <c r="J253" s="3551"/>
      <c r="K253" s="3552"/>
      <c r="L253" s="3553"/>
      <c r="M253" s="3551"/>
      <c r="N253" s="3551"/>
      <c r="O253" s="3551"/>
      <c r="P253" s="3551"/>
      <c r="Q253" s="3551"/>
      <c r="R253" s="3551"/>
      <c r="S253" s="3551"/>
      <c r="T253" s="3551"/>
      <c r="U253" s="3551"/>
      <c r="V253" s="3551"/>
      <c r="W253" s="3551"/>
      <c r="X253" s="3551"/>
      <c r="Y253" s="3551"/>
      <c r="Z253" s="3551"/>
      <c r="AA253" s="3551"/>
      <c r="AB253" s="3551"/>
      <c r="AC253" s="3551"/>
    </row>
    <row r="254" spans="1:29" s="3554" customFormat="1">
      <c r="A254" s="3551"/>
      <c r="B254" s="3551"/>
      <c r="C254" s="3551"/>
      <c r="D254" s="3551"/>
      <c r="E254" s="3551"/>
      <c r="F254" s="3551"/>
      <c r="G254" s="3551"/>
      <c r="H254" s="3551"/>
      <c r="I254" s="3551"/>
      <c r="J254" s="3551"/>
      <c r="K254" s="3552"/>
      <c r="L254" s="3553"/>
      <c r="M254" s="3551"/>
      <c r="N254" s="3551"/>
      <c r="O254" s="3551"/>
      <c r="P254" s="3551"/>
      <c r="Q254" s="3551"/>
      <c r="R254" s="3551"/>
      <c r="S254" s="3551"/>
      <c r="T254" s="3551"/>
      <c r="U254" s="3551"/>
      <c r="V254" s="3551"/>
      <c r="W254" s="3551"/>
      <c r="X254" s="3551"/>
      <c r="Y254" s="3551"/>
      <c r="Z254" s="3551"/>
      <c r="AA254" s="3551"/>
      <c r="AB254" s="3551"/>
      <c r="AC254" s="3551"/>
    </row>
    <row r="255" spans="1:29" s="3554" customFormat="1">
      <c r="A255" s="3551"/>
      <c r="B255" s="3551"/>
      <c r="C255" s="3551"/>
      <c r="D255" s="3551"/>
      <c r="E255" s="3551"/>
      <c r="F255" s="3551"/>
      <c r="G255" s="3551"/>
      <c r="H255" s="3551"/>
      <c r="I255" s="3551"/>
      <c r="J255" s="3551"/>
      <c r="K255" s="3552"/>
      <c r="L255" s="3553"/>
      <c r="M255" s="3551"/>
      <c r="N255" s="3551"/>
      <c r="O255" s="3551"/>
      <c r="P255" s="3551"/>
      <c r="Q255" s="3551"/>
      <c r="R255" s="3551"/>
      <c r="S255" s="3551"/>
      <c r="T255" s="3551"/>
      <c r="U255" s="3551"/>
      <c r="V255" s="3551"/>
      <c r="W255" s="3551"/>
      <c r="X255" s="3551"/>
      <c r="Y255" s="3551"/>
      <c r="Z255" s="3551"/>
      <c r="AA255" s="3551"/>
      <c r="AB255" s="3551"/>
      <c r="AC255" s="3551"/>
    </row>
    <row r="256" spans="1:29" s="3554" customFormat="1">
      <c r="K256" s="3555"/>
      <c r="L256" s="3556"/>
    </row>
    <row r="257" spans="11:12" s="3554" customFormat="1">
      <c r="K257" s="3555"/>
      <c r="L257" s="3556"/>
    </row>
    <row r="258" spans="11:12" s="3554" customFormat="1">
      <c r="K258" s="3555"/>
      <c r="L258" s="3556"/>
    </row>
    <row r="259" spans="11:12" s="3554" customFormat="1">
      <c r="K259" s="3555"/>
      <c r="L259" s="3556"/>
    </row>
  </sheetData>
  <sheetProtection password="C66D"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3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N21"/>
  <sheetViews>
    <sheetView topLeftCell="C1" workbookViewId="0">
      <selection activeCell="J17" sqref="J17"/>
    </sheetView>
  </sheetViews>
  <sheetFormatPr defaultColWidth="8.875" defaultRowHeight="12.75"/>
  <cols>
    <col min="1" max="1" width="39.125" style="3559" customWidth="1"/>
    <col min="2" max="2" width="6.125" style="3559" customWidth="1"/>
    <col min="3" max="3" width="11.625" style="3559" customWidth="1"/>
    <col min="4" max="4" width="7.875" style="3559" customWidth="1"/>
    <col min="5" max="5" width="11.125" style="3559" customWidth="1"/>
    <col min="6" max="7" width="13.875" style="3559" customWidth="1"/>
    <col min="8" max="8" width="6.125" style="3559" customWidth="1"/>
    <col min="9" max="9" width="9" style="3559" customWidth="1"/>
    <col min="10" max="10" width="34.375" style="3559" customWidth="1"/>
    <col min="11" max="11" width="10.625" style="3559" customWidth="1"/>
    <col min="12" max="12" width="14.375" style="3559" customWidth="1"/>
    <col min="13" max="13" width="6.125" style="3559" customWidth="1"/>
    <col min="14" max="14" width="7.875" style="3559" customWidth="1"/>
    <col min="15" max="256" width="8.875" style="3559"/>
    <col min="257" max="257" width="39.125" style="3559" customWidth="1"/>
    <col min="258" max="258" width="6.125" style="3559" customWidth="1"/>
    <col min="259" max="259" width="11.625" style="3559" customWidth="1"/>
    <col min="260" max="260" width="7.875" style="3559" customWidth="1"/>
    <col min="261" max="261" width="11.125" style="3559" customWidth="1"/>
    <col min="262" max="263" width="13.875" style="3559" customWidth="1"/>
    <col min="264" max="264" width="6.125" style="3559" customWidth="1"/>
    <col min="265" max="265" width="9" style="3559" customWidth="1"/>
    <col min="266" max="266" width="34.375" style="3559" customWidth="1"/>
    <col min="267" max="267" width="10.625" style="3559" customWidth="1"/>
    <col min="268" max="268" width="14.375" style="3559" customWidth="1"/>
    <col min="269" max="269" width="6.125" style="3559" customWidth="1"/>
    <col min="270" max="270" width="7.875" style="3559" customWidth="1"/>
    <col min="271" max="512" width="8.875" style="3559"/>
    <col min="513" max="513" width="39.125" style="3559" customWidth="1"/>
    <col min="514" max="514" width="6.125" style="3559" customWidth="1"/>
    <col min="515" max="515" width="11.625" style="3559" customWidth="1"/>
    <col min="516" max="516" width="7.875" style="3559" customWidth="1"/>
    <col min="517" max="517" width="11.125" style="3559" customWidth="1"/>
    <col min="518" max="519" width="13.875" style="3559" customWidth="1"/>
    <col min="520" max="520" width="6.125" style="3559" customWidth="1"/>
    <col min="521" max="521" width="9" style="3559" customWidth="1"/>
    <col min="522" max="522" width="34.375" style="3559" customWidth="1"/>
    <col min="523" max="523" width="10.625" style="3559" customWidth="1"/>
    <col min="524" max="524" width="14.375" style="3559" customWidth="1"/>
    <col min="525" max="525" width="6.125" style="3559" customWidth="1"/>
    <col min="526" max="526" width="7.875" style="3559" customWidth="1"/>
    <col min="527" max="768" width="8.875" style="3559"/>
    <col min="769" max="769" width="39.125" style="3559" customWidth="1"/>
    <col min="770" max="770" width="6.125" style="3559" customWidth="1"/>
    <col min="771" max="771" width="11.625" style="3559" customWidth="1"/>
    <col min="772" max="772" width="7.875" style="3559" customWidth="1"/>
    <col min="773" max="773" width="11.125" style="3559" customWidth="1"/>
    <col min="774" max="775" width="13.875" style="3559" customWidth="1"/>
    <col min="776" max="776" width="6.125" style="3559" customWidth="1"/>
    <col min="777" max="777" width="9" style="3559" customWidth="1"/>
    <col min="778" max="778" width="34.375" style="3559" customWidth="1"/>
    <col min="779" max="779" width="10.625" style="3559" customWidth="1"/>
    <col min="780" max="780" width="14.375" style="3559" customWidth="1"/>
    <col min="781" max="781" width="6.125" style="3559" customWidth="1"/>
    <col min="782" max="782" width="7.875" style="3559" customWidth="1"/>
    <col min="783" max="1024" width="8.875" style="3559"/>
    <col min="1025" max="1025" width="39.125" style="3559" customWidth="1"/>
    <col min="1026" max="1026" width="6.125" style="3559" customWidth="1"/>
    <col min="1027" max="1027" width="11.625" style="3559" customWidth="1"/>
    <col min="1028" max="1028" width="7.875" style="3559" customWidth="1"/>
    <col min="1029" max="1029" width="11.125" style="3559" customWidth="1"/>
    <col min="1030" max="1031" width="13.875" style="3559" customWidth="1"/>
    <col min="1032" max="1032" width="6.125" style="3559" customWidth="1"/>
    <col min="1033" max="1033" width="9" style="3559" customWidth="1"/>
    <col min="1034" max="1034" width="34.375" style="3559" customWidth="1"/>
    <col min="1035" max="1035" width="10.625" style="3559" customWidth="1"/>
    <col min="1036" max="1036" width="14.375" style="3559" customWidth="1"/>
    <col min="1037" max="1037" width="6.125" style="3559" customWidth="1"/>
    <col min="1038" max="1038" width="7.875" style="3559" customWidth="1"/>
    <col min="1039" max="1280" width="8.875" style="3559"/>
    <col min="1281" max="1281" width="39.125" style="3559" customWidth="1"/>
    <col min="1282" max="1282" width="6.125" style="3559" customWidth="1"/>
    <col min="1283" max="1283" width="11.625" style="3559" customWidth="1"/>
    <col min="1284" max="1284" width="7.875" style="3559" customWidth="1"/>
    <col min="1285" max="1285" width="11.125" style="3559" customWidth="1"/>
    <col min="1286" max="1287" width="13.875" style="3559" customWidth="1"/>
    <col min="1288" max="1288" width="6.125" style="3559" customWidth="1"/>
    <col min="1289" max="1289" width="9" style="3559" customWidth="1"/>
    <col min="1290" max="1290" width="34.375" style="3559" customWidth="1"/>
    <col min="1291" max="1291" width="10.625" style="3559" customWidth="1"/>
    <col min="1292" max="1292" width="14.375" style="3559" customWidth="1"/>
    <col min="1293" max="1293" width="6.125" style="3559" customWidth="1"/>
    <col min="1294" max="1294" width="7.875" style="3559" customWidth="1"/>
    <col min="1295" max="1536" width="8.875" style="3559"/>
    <col min="1537" max="1537" width="39.125" style="3559" customWidth="1"/>
    <col min="1538" max="1538" width="6.125" style="3559" customWidth="1"/>
    <col min="1539" max="1539" width="11.625" style="3559" customWidth="1"/>
    <col min="1540" max="1540" width="7.875" style="3559" customWidth="1"/>
    <col min="1541" max="1541" width="11.125" style="3559" customWidth="1"/>
    <col min="1542" max="1543" width="13.875" style="3559" customWidth="1"/>
    <col min="1544" max="1544" width="6.125" style="3559" customWidth="1"/>
    <col min="1545" max="1545" width="9" style="3559" customWidth="1"/>
    <col min="1546" max="1546" width="34.375" style="3559" customWidth="1"/>
    <col min="1547" max="1547" width="10.625" style="3559" customWidth="1"/>
    <col min="1548" max="1548" width="14.375" style="3559" customWidth="1"/>
    <col min="1549" max="1549" width="6.125" style="3559" customWidth="1"/>
    <col min="1550" max="1550" width="7.875" style="3559" customWidth="1"/>
    <col min="1551" max="1792" width="8.875" style="3559"/>
    <col min="1793" max="1793" width="39.125" style="3559" customWidth="1"/>
    <col min="1794" max="1794" width="6.125" style="3559" customWidth="1"/>
    <col min="1795" max="1795" width="11.625" style="3559" customWidth="1"/>
    <col min="1796" max="1796" width="7.875" style="3559" customWidth="1"/>
    <col min="1797" max="1797" width="11.125" style="3559" customWidth="1"/>
    <col min="1798" max="1799" width="13.875" style="3559" customWidth="1"/>
    <col min="1800" max="1800" width="6.125" style="3559" customWidth="1"/>
    <col min="1801" max="1801" width="9" style="3559" customWidth="1"/>
    <col min="1802" max="1802" width="34.375" style="3559" customWidth="1"/>
    <col min="1803" max="1803" width="10.625" style="3559" customWidth="1"/>
    <col min="1804" max="1804" width="14.375" style="3559" customWidth="1"/>
    <col min="1805" max="1805" width="6.125" style="3559" customWidth="1"/>
    <col min="1806" max="1806" width="7.875" style="3559" customWidth="1"/>
    <col min="1807" max="2048" width="8.875" style="3559"/>
    <col min="2049" max="2049" width="39.125" style="3559" customWidth="1"/>
    <col min="2050" max="2050" width="6.125" style="3559" customWidth="1"/>
    <col min="2051" max="2051" width="11.625" style="3559" customWidth="1"/>
    <col min="2052" max="2052" width="7.875" style="3559" customWidth="1"/>
    <col min="2053" max="2053" width="11.125" style="3559" customWidth="1"/>
    <col min="2054" max="2055" width="13.875" style="3559" customWidth="1"/>
    <col min="2056" max="2056" width="6.125" style="3559" customWidth="1"/>
    <col min="2057" max="2057" width="9" style="3559" customWidth="1"/>
    <col min="2058" max="2058" width="34.375" style="3559" customWidth="1"/>
    <col min="2059" max="2059" width="10.625" style="3559" customWidth="1"/>
    <col min="2060" max="2060" width="14.375" style="3559" customWidth="1"/>
    <col min="2061" max="2061" width="6.125" style="3559" customWidth="1"/>
    <col min="2062" max="2062" width="7.875" style="3559" customWidth="1"/>
    <col min="2063" max="2304" width="8.875" style="3559"/>
    <col min="2305" max="2305" width="39.125" style="3559" customWidth="1"/>
    <col min="2306" max="2306" width="6.125" style="3559" customWidth="1"/>
    <col min="2307" max="2307" width="11.625" style="3559" customWidth="1"/>
    <col min="2308" max="2308" width="7.875" style="3559" customWidth="1"/>
    <col min="2309" max="2309" width="11.125" style="3559" customWidth="1"/>
    <col min="2310" max="2311" width="13.875" style="3559" customWidth="1"/>
    <col min="2312" max="2312" width="6.125" style="3559" customWidth="1"/>
    <col min="2313" max="2313" width="9" style="3559" customWidth="1"/>
    <col min="2314" max="2314" width="34.375" style="3559" customWidth="1"/>
    <col min="2315" max="2315" width="10.625" style="3559" customWidth="1"/>
    <col min="2316" max="2316" width="14.375" style="3559" customWidth="1"/>
    <col min="2317" max="2317" width="6.125" style="3559" customWidth="1"/>
    <col min="2318" max="2318" width="7.875" style="3559" customWidth="1"/>
    <col min="2319" max="2560" width="8.875" style="3559"/>
    <col min="2561" max="2561" width="39.125" style="3559" customWidth="1"/>
    <col min="2562" max="2562" width="6.125" style="3559" customWidth="1"/>
    <col min="2563" max="2563" width="11.625" style="3559" customWidth="1"/>
    <col min="2564" max="2564" width="7.875" style="3559" customWidth="1"/>
    <col min="2565" max="2565" width="11.125" style="3559" customWidth="1"/>
    <col min="2566" max="2567" width="13.875" style="3559" customWidth="1"/>
    <col min="2568" max="2568" width="6.125" style="3559" customWidth="1"/>
    <col min="2569" max="2569" width="9" style="3559" customWidth="1"/>
    <col min="2570" max="2570" width="34.375" style="3559" customWidth="1"/>
    <col min="2571" max="2571" width="10.625" style="3559" customWidth="1"/>
    <col min="2572" max="2572" width="14.375" style="3559" customWidth="1"/>
    <col min="2573" max="2573" width="6.125" style="3559" customWidth="1"/>
    <col min="2574" max="2574" width="7.875" style="3559" customWidth="1"/>
    <col min="2575" max="2816" width="8.875" style="3559"/>
    <col min="2817" max="2817" width="39.125" style="3559" customWidth="1"/>
    <col min="2818" max="2818" width="6.125" style="3559" customWidth="1"/>
    <col min="2819" max="2819" width="11.625" style="3559" customWidth="1"/>
    <col min="2820" max="2820" width="7.875" style="3559" customWidth="1"/>
    <col min="2821" max="2821" width="11.125" style="3559" customWidth="1"/>
    <col min="2822" max="2823" width="13.875" style="3559" customWidth="1"/>
    <col min="2824" max="2824" width="6.125" style="3559" customWidth="1"/>
    <col min="2825" max="2825" width="9" style="3559" customWidth="1"/>
    <col min="2826" max="2826" width="34.375" style="3559" customWidth="1"/>
    <col min="2827" max="2827" width="10.625" style="3559" customWidth="1"/>
    <col min="2828" max="2828" width="14.375" style="3559" customWidth="1"/>
    <col min="2829" max="2829" width="6.125" style="3559" customWidth="1"/>
    <col min="2830" max="2830" width="7.875" style="3559" customWidth="1"/>
    <col min="2831" max="3072" width="8.875" style="3559"/>
    <col min="3073" max="3073" width="39.125" style="3559" customWidth="1"/>
    <col min="3074" max="3074" width="6.125" style="3559" customWidth="1"/>
    <col min="3075" max="3075" width="11.625" style="3559" customWidth="1"/>
    <col min="3076" max="3076" width="7.875" style="3559" customWidth="1"/>
    <col min="3077" max="3077" width="11.125" style="3559" customWidth="1"/>
    <col min="3078" max="3079" width="13.875" style="3559" customWidth="1"/>
    <col min="3080" max="3080" width="6.125" style="3559" customWidth="1"/>
    <col min="3081" max="3081" width="9" style="3559" customWidth="1"/>
    <col min="3082" max="3082" width="34.375" style="3559" customWidth="1"/>
    <col min="3083" max="3083" width="10.625" style="3559" customWidth="1"/>
    <col min="3084" max="3084" width="14.375" style="3559" customWidth="1"/>
    <col min="3085" max="3085" width="6.125" style="3559" customWidth="1"/>
    <col min="3086" max="3086" width="7.875" style="3559" customWidth="1"/>
    <col min="3087" max="3328" width="8.875" style="3559"/>
    <col min="3329" max="3329" width="39.125" style="3559" customWidth="1"/>
    <col min="3330" max="3330" width="6.125" style="3559" customWidth="1"/>
    <col min="3331" max="3331" width="11.625" style="3559" customWidth="1"/>
    <col min="3332" max="3332" width="7.875" style="3559" customWidth="1"/>
    <col min="3333" max="3333" width="11.125" style="3559" customWidth="1"/>
    <col min="3334" max="3335" width="13.875" style="3559" customWidth="1"/>
    <col min="3336" max="3336" width="6.125" style="3559" customWidth="1"/>
    <col min="3337" max="3337" width="9" style="3559" customWidth="1"/>
    <col min="3338" max="3338" width="34.375" style="3559" customWidth="1"/>
    <col min="3339" max="3339" width="10.625" style="3559" customWidth="1"/>
    <col min="3340" max="3340" width="14.375" style="3559" customWidth="1"/>
    <col min="3341" max="3341" width="6.125" style="3559" customWidth="1"/>
    <col min="3342" max="3342" width="7.875" style="3559" customWidth="1"/>
    <col min="3343" max="3584" width="8.875" style="3559"/>
    <col min="3585" max="3585" width="39.125" style="3559" customWidth="1"/>
    <col min="3586" max="3586" width="6.125" style="3559" customWidth="1"/>
    <col min="3587" max="3587" width="11.625" style="3559" customWidth="1"/>
    <col min="3588" max="3588" width="7.875" style="3559" customWidth="1"/>
    <col min="3589" max="3589" width="11.125" style="3559" customWidth="1"/>
    <col min="3590" max="3591" width="13.875" style="3559" customWidth="1"/>
    <col min="3592" max="3592" width="6.125" style="3559" customWidth="1"/>
    <col min="3593" max="3593" width="9" style="3559" customWidth="1"/>
    <col min="3594" max="3594" width="34.375" style="3559" customWidth="1"/>
    <col min="3595" max="3595" width="10.625" style="3559" customWidth="1"/>
    <col min="3596" max="3596" width="14.375" style="3559" customWidth="1"/>
    <col min="3597" max="3597" width="6.125" style="3559" customWidth="1"/>
    <col min="3598" max="3598" width="7.875" style="3559" customWidth="1"/>
    <col min="3599" max="3840" width="8.875" style="3559"/>
    <col min="3841" max="3841" width="39.125" style="3559" customWidth="1"/>
    <col min="3842" max="3842" width="6.125" style="3559" customWidth="1"/>
    <col min="3843" max="3843" width="11.625" style="3559" customWidth="1"/>
    <col min="3844" max="3844" width="7.875" style="3559" customWidth="1"/>
    <col min="3845" max="3845" width="11.125" style="3559" customWidth="1"/>
    <col min="3846" max="3847" width="13.875" style="3559" customWidth="1"/>
    <col min="3848" max="3848" width="6.125" style="3559" customWidth="1"/>
    <col min="3849" max="3849" width="9" style="3559" customWidth="1"/>
    <col min="3850" max="3850" width="34.375" style="3559" customWidth="1"/>
    <col min="3851" max="3851" width="10.625" style="3559" customWidth="1"/>
    <col min="3852" max="3852" width="14.375" style="3559" customWidth="1"/>
    <col min="3853" max="3853" width="6.125" style="3559" customWidth="1"/>
    <col min="3854" max="3854" width="7.875" style="3559" customWidth="1"/>
    <col min="3855" max="4096" width="8.875" style="3559"/>
    <col min="4097" max="4097" width="39.125" style="3559" customWidth="1"/>
    <col min="4098" max="4098" width="6.125" style="3559" customWidth="1"/>
    <col min="4099" max="4099" width="11.625" style="3559" customWidth="1"/>
    <col min="4100" max="4100" width="7.875" style="3559" customWidth="1"/>
    <col min="4101" max="4101" width="11.125" style="3559" customWidth="1"/>
    <col min="4102" max="4103" width="13.875" style="3559" customWidth="1"/>
    <col min="4104" max="4104" width="6.125" style="3559" customWidth="1"/>
    <col min="4105" max="4105" width="9" style="3559" customWidth="1"/>
    <col min="4106" max="4106" width="34.375" style="3559" customWidth="1"/>
    <col min="4107" max="4107" width="10.625" style="3559" customWidth="1"/>
    <col min="4108" max="4108" width="14.375" style="3559" customWidth="1"/>
    <col min="4109" max="4109" width="6.125" style="3559" customWidth="1"/>
    <col min="4110" max="4110" width="7.875" style="3559" customWidth="1"/>
    <col min="4111" max="4352" width="8.875" style="3559"/>
    <col min="4353" max="4353" width="39.125" style="3559" customWidth="1"/>
    <col min="4354" max="4354" width="6.125" style="3559" customWidth="1"/>
    <col min="4355" max="4355" width="11.625" style="3559" customWidth="1"/>
    <col min="4356" max="4356" width="7.875" style="3559" customWidth="1"/>
    <col min="4357" max="4357" width="11.125" style="3559" customWidth="1"/>
    <col min="4358" max="4359" width="13.875" style="3559" customWidth="1"/>
    <col min="4360" max="4360" width="6.125" style="3559" customWidth="1"/>
    <col min="4361" max="4361" width="9" style="3559" customWidth="1"/>
    <col min="4362" max="4362" width="34.375" style="3559" customWidth="1"/>
    <col min="4363" max="4363" width="10.625" style="3559" customWidth="1"/>
    <col min="4364" max="4364" width="14.375" style="3559" customWidth="1"/>
    <col min="4365" max="4365" width="6.125" style="3559" customWidth="1"/>
    <col min="4366" max="4366" width="7.875" style="3559" customWidth="1"/>
    <col min="4367" max="4608" width="8.875" style="3559"/>
    <col min="4609" max="4609" width="39.125" style="3559" customWidth="1"/>
    <col min="4610" max="4610" width="6.125" style="3559" customWidth="1"/>
    <col min="4611" max="4611" width="11.625" style="3559" customWidth="1"/>
    <col min="4612" max="4612" width="7.875" style="3559" customWidth="1"/>
    <col min="4613" max="4613" width="11.125" style="3559" customWidth="1"/>
    <col min="4614" max="4615" width="13.875" style="3559" customWidth="1"/>
    <col min="4616" max="4616" width="6.125" style="3559" customWidth="1"/>
    <col min="4617" max="4617" width="9" style="3559" customWidth="1"/>
    <col min="4618" max="4618" width="34.375" style="3559" customWidth="1"/>
    <col min="4619" max="4619" width="10.625" style="3559" customWidth="1"/>
    <col min="4620" max="4620" width="14.375" style="3559" customWidth="1"/>
    <col min="4621" max="4621" width="6.125" style="3559" customWidth="1"/>
    <col min="4622" max="4622" width="7.875" style="3559" customWidth="1"/>
    <col min="4623" max="4864" width="8.875" style="3559"/>
    <col min="4865" max="4865" width="39.125" style="3559" customWidth="1"/>
    <col min="4866" max="4866" width="6.125" style="3559" customWidth="1"/>
    <col min="4867" max="4867" width="11.625" style="3559" customWidth="1"/>
    <col min="4868" max="4868" width="7.875" style="3559" customWidth="1"/>
    <col min="4869" max="4869" width="11.125" style="3559" customWidth="1"/>
    <col min="4870" max="4871" width="13.875" style="3559" customWidth="1"/>
    <col min="4872" max="4872" width="6.125" style="3559" customWidth="1"/>
    <col min="4873" max="4873" width="9" style="3559" customWidth="1"/>
    <col min="4874" max="4874" width="34.375" style="3559" customWidth="1"/>
    <col min="4875" max="4875" width="10.625" style="3559" customWidth="1"/>
    <col min="4876" max="4876" width="14.375" style="3559" customWidth="1"/>
    <col min="4877" max="4877" width="6.125" style="3559" customWidth="1"/>
    <col min="4878" max="4878" width="7.875" style="3559" customWidth="1"/>
    <col min="4879" max="5120" width="8.875" style="3559"/>
    <col min="5121" max="5121" width="39.125" style="3559" customWidth="1"/>
    <col min="5122" max="5122" width="6.125" style="3559" customWidth="1"/>
    <col min="5123" max="5123" width="11.625" style="3559" customWidth="1"/>
    <col min="5124" max="5124" width="7.875" style="3559" customWidth="1"/>
    <col min="5125" max="5125" width="11.125" style="3559" customWidth="1"/>
    <col min="5126" max="5127" width="13.875" style="3559" customWidth="1"/>
    <col min="5128" max="5128" width="6.125" style="3559" customWidth="1"/>
    <col min="5129" max="5129" width="9" style="3559" customWidth="1"/>
    <col min="5130" max="5130" width="34.375" style="3559" customWidth="1"/>
    <col min="5131" max="5131" width="10.625" style="3559" customWidth="1"/>
    <col min="5132" max="5132" width="14.375" style="3559" customWidth="1"/>
    <col min="5133" max="5133" width="6.125" style="3559" customWidth="1"/>
    <col min="5134" max="5134" width="7.875" style="3559" customWidth="1"/>
    <col min="5135" max="5376" width="8.875" style="3559"/>
    <col min="5377" max="5377" width="39.125" style="3559" customWidth="1"/>
    <col min="5378" max="5378" width="6.125" style="3559" customWidth="1"/>
    <col min="5379" max="5379" width="11.625" style="3559" customWidth="1"/>
    <col min="5380" max="5380" width="7.875" style="3559" customWidth="1"/>
    <col min="5381" max="5381" width="11.125" style="3559" customWidth="1"/>
    <col min="5382" max="5383" width="13.875" style="3559" customWidth="1"/>
    <col min="5384" max="5384" width="6.125" style="3559" customWidth="1"/>
    <col min="5385" max="5385" width="9" style="3559" customWidth="1"/>
    <col min="5386" max="5386" width="34.375" style="3559" customWidth="1"/>
    <col min="5387" max="5387" width="10.625" style="3559" customWidth="1"/>
    <col min="5388" max="5388" width="14.375" style="3559" customWidth="1"/>
    <col min="5389" max="5389" width="6.125" style="3559" customWidth="1"/>
    <col min="5390" max="5390" width="7.875" style="3559" customWidth="1"/>
    <col min="5391" max="5632" width="8.875" style="3559"/>
    <col min="5633" max="5633" width="39.125" style="3559" customWidth="1"/>
    <col min="5634" max="5634" width="6.125" style="3559" customWidth="1"/>
    <col min="5635" max="5635" width="11.625" style="3559" customWidth="1"/>
    <col min="5636" max="5636" width="7.875" style="3559" customWidth="1"/>
    <col min="5637" max="5637" width="11.125" style="3559" customWidth="1"/>
    <col min="5638" max="5639" width="13.875" style="3559" customWidth="1"/>
    <col min="5640" max="5640" width="6.125" style="3559" customWidth="1"/>
    <col min="5641" max="5641" width="9" style="3559" customWidth="1"/>
    <col min="5642" max="5642" width="34.375" style="3559" customWidth="1"/>
    <col min="5643" max="5643" width="10.625" style="3559" customWidth="1"/>
    <col min="5644" max="5644" width="14.375" style="3559" customWidth="1"/>
    <col min="5645" max="5645" width="6.125" style="3559" customWidth="1"/>
    <col min="5646" max="5646" width="7.875" style="3559" customWidth="1"/>
    <col min="5647" max="5888" width="8.875" style="3559"/>
    <col min="5889" max="5889" width="39.125" style="3559" customWidth="1"/>
    <col min="5890" max="5890" width="6.125" style="3559" customWidth="1"/>
    <col min="5891" max="5891" width="11.625" style="3559" customWidth="1"/>
    <col min="5892" max="5892" width="7.875" style="3559" customWidth="1"/>
    <col min="5893" max="5893" width="11.125" style="3559" customWidth="1"/>
    <col min="5894" max="5895" width="13.875" style="3559" customWidth="1"/>
    <col min="5896" max="5896" width="6.125" style="3559" customWidth="1"/>
    <col min="5897" max="5897" width="9" style="3559" customWidth="1"/>
    <col min="5898" max="5898" width="34.375" style="3559" customWidth="1"/>
    <col min="5899" max="5899" width="10.625" style="3559" customWidth="1"/>
    <col min="5900" max="5900" width="14.375" style="3559" customWidth="1"/>
    <col min="5901" max="5901" width="6.125" style="3559" customWidth="1"/>
    <col min="5902" max="5902" width="7.875" style="3559" customWidth="1"/>
    <col min="5903" max="6144" width="8.875" style="3559"/>
    <col min="6145" max="6145" width="39.125" style="3559" customWidth="1"/>
    <col min="6146" max="6146" width="6.125" style="3559" customWidth="1"/>
    <col min="6147" max="6147" width="11.625" style="3559" customWidth="1"/>
    <col min="6148" max="6148" width="7.875" style="3559" customWidth="1"/>
    <col min="6149" max="6149" width="11.125" style="3559" customWidth="1"/>
    <col min="6150" max="6151" width="13.875" style="3559" customWidth="1"/>
    <col min="6152" max="6152" width="6.125" style="3559" customWidth="1"/>
    <col min="6153" max="6153" width="9" style="3559" customWidth="1"/>
    <col min="6154" max="6154" width="34.375" style="3559" customWidth="1"/>
    <col min="6155" max="6155" width="10.625" style="3559" customWidth="1"/>
    <col min="6156" max="6156" width="14.375" style="3559" customWidth="1"/>
    <col min="6157" max="6157" width="6.125" style="3559" customWidth="1"/>
    <col min="6158" max="6158" width="7.875" style="3559" customWidth="1"/>
    <col min="6159" max="6400" width="8.875" style="3559"/>
    <col min="6401" max="6401" width="39.125" style="3559" customWidth="1"/>
    <col min="6402" max="6402" width="6.125" style="3559" customWidth="1"/>
    <col min="6403" max="6403" width="11.625" style="3559" customWidth="1"/>
    <col min="6404" max="6404" width="7.875" style="3559" customWidth="1"/>
    <col min="6405" max="6405" width="11.125" style="3559" customWidth="1"/>
    <col min="6406" max="6407" width="13.875" style="3559" customWidth="1"/>
    <col min="6408" max="6408" width="6.125" style="3559" customWidth="1"/>
    <col min="6409" max="6409" width="9" style="3559" customWidth="1"/>
    <col min="6410" max="6410" width="34.375" style="3559" customWidth="1"/>
    <col min="6411" max="6411" width="10.625" style="3559" customWidth="1"/>
    <col min="6412" max="6412" width="14.375" style="3559" customWidth="1"/>
    <col min="6413" max="6413" width="6.125" style="3559" customWidth="1"/>
    <col min="6414" max="6414" width="7.875" style="3559" customWidth="1"/>
    <col min="6415" max="6656" width="8.875" style="3559"/>
    <col min="6657" max="6657" width="39.125" style="3559" customWidth="1"/>
    <col min="6658" max="6658" width="6.125" style="3559" customWidth="1"/>
    <col min="6659" max="6659" width="11.625" style="3559" customWidth="1"/>
    <col min="6660" max="6660" width="7.875" style="3559" customWidth="1"/>
    <col min="6661" max="6661" width="11.125" style="3559" customWidth="1"/>
    <col min="6662" max="6663" width="13.875" style="3559" customWidth="1"/>
    <col min="6664" max="6664" width="6.125" style="3559" customWidth="1"/>
    <col min="6665" max="6665" width="9" style="3559" customWidth="1"/>
    <col min="6666" max="6666" width="34.375" style="3559" customWidth="1"/>
    <col min="6667" max="6667" width="10.625" style="3559" customWidth="1"/>
    <col min="6668" max="6668" width="14.375" style="3559" customWidth="1"/>
    <col min="6669" max="6669" width="6.125" style="3559" customWidth="1"/>
    <col min="6670" max="6670" width="7.875" style="3559" customWidth="1"/>
    <col min="6671" max="6912" width="8.875" style="3559"/>
    <col min="6913" max="6913" width="39.125" style="3559" customWidth="1"/>
    <col min="6914" max="6914" width="6.125" style="3559" customWidth="1"/>
    <col min="6915" max="6915" width="11.625" style="3559" customWidth="1"/>
    <col min="6916" max="6916" width="7.875" style="3559" customWidth="1"/>
    <col min="6917" max="6917" width="11.125" style="3559" customWidth="1"/>
    <col min="6918" max="6919" width="13.875" style="3559" customWidth="1"/>
    <col min="6920" max="6920" width="6.125" style="3559" customWidth="1"/>
    <col min="6921" max="6921" width="9" style="3559" customWidth="1"/>
    <col min="6922" max="6922" width="34.375" style="3559" customWidth="1"/>
    <col min="6923" max="6923" width="10.625" style="3559" customWidth="1"/>
    <col min="6924" max="6924" width="14.375" style="3559" customWidth="1"/>
    <col min="6925" max="6925" width="6.125" style="3559" customWidth="1"/>
    <col min="6926" max="6926" width="7.875" style="3559" customWidth="1"/>
    <col min="6927" max="7168" width="8.875" style="3559"/>
    <col min="7169" max="7169" width="39.125" style="3559" customWidth="1"/>
    <col min="7170" max="7170" width="6.125" style="3559" customWidth="1"/>
    <col min="7171" max="7171" width="11.625" style="3559" customWidth="1"/>
    <col min="7172" max="7172" width="7.875" style="3559" customWidth="1"/>
    <col min="7173" max="7173" width="11.125" style="3559" customWidth="1"/>
    <col min="7174" max="7175" width="13.875" style="3559" customWidth="1"/>
    <col min="7176" max="7176" width="6.125" style="3559" customWidth="1"/>
    <col min="7177" max="7177" width="9" style="3559" customWidth="1"/>
    <col min="7178" max="7178" width="34.375" style="3559" customWidth="1"/>
    <col min="7179" max="7179" width="10.625" style="3559" customWidth="1"/>
    <col min="7180" max="7180" width="14.375" style="3559" customWidth="1"/>
    <col min="7181" max="7181" width="6.125" style="3559" customWidth="1"/>
    <col min="7182" max="7182" width="7.875" style="3559" customWidth="1"/>
    <col min="7183" max="7424" width="8.875" style="3559"/>
    <col min="7425" max="7425" width="39.125" style="3559" customWidth="1"/>
    <col min="7426" max="7426" width="6.125" style="3559" customWidth="1"/>
    <col min="7427" max="7427" width="11.625" style="3559" customWidth="1"/>
    <col min="7428" max="7428" width="7.875" style="3559" customWidth="1"/>
    <col min="7429" max="7429" width="11.125" style="3559" customWidth="1"/>
    <col min="7430" max="7431" width="13.875" style="3559" customWidth="1"/>
    <col min="7432" max="7432" width="6.125" style="3559" customWidth="1"/>
    <col min="7433" max="7433" width="9" style="3559" customWidth="1"/>
    <col min="7434" max="7434" width="34.375" style="3559" customWidth="1"/>
    <col min="7435" max="7435" width="10.625" style="3559" customWidth="1"/>
    <col min="7436" max="7436" width="14.375" style="3559" customWidth="1"/>
    <col min="7437" max="7437" width="6.125" style="3559" customWidth="1"/>
    <col min="7438" max="7438" width="7.875" style="3559" customWidth="1"/>
    <col min="7439" max="7680" width="8.875" style="3559"/>
    <col min="7681" max="7681" width="39.125" style="3559" customWidth="1"/>
    <col min="7682" max="7682" width="6.125" style="3559" customWidth="1"/>
    <col min="7683" max="7683" width="11.625" style="3559" customWidth="1"/>
    <col min="7684" max="7684" width="7.875" style="3559" customWidth="1"/>
    <col min="7685" max="7685" width="11.125" style="3559" customWidth="1"/>
    <col min="7686" max="7687" width="13.875" style="3559" customWidth="1"/>
    <col min="7688" max="7688" width="6.125" style="3559" customWidth="1"/>
    <col min="7689" max="7689" width="9" style="3559" customWidth="1"/>
    <col min="7690" max="7690" width="34.375" style="3559" customWidth="1"/>
    <col min="7691" max="7691" width="10.625" style="3559" customWidth="1"/>
    <col min="7692" max="7692" width="14.375" style="3559" customWidth="1"/>
    <col min="7693" max="7693" width="6.125" style="3559" customWidth="1"/>
    <col min="7694" max="7694" width="7.875" style="3559" customWidth="1"/>
    <col min="7695" max="7936" width="8.875" style="3559"/>
    <col min="7937" max="7937" width="39.125" style="3559" customWidth="1"/>
    <col min="7938" max="7938" width="6.125" style="3559" customWidth="1"/>
    <col min="7939" max="7939" width="11.625" style="3559" customWidth="1"/>
    <col min="7940" max="7940" width="7.875" style="3559" customWidth="1"/>
    <col min="7941" max="7941" width="11.125" style="3559" customWidth="1"/>
    <col min="7942" max="7943" width="13.875" style="3559" customWidth="1"/>
    <col min="7944" max="7944" width="6.125" style="3559" customWidth="1"/>
    <col min="7945" max="7945" width="9" style="3559" customWidth="1"/>
    <col min="7946" max="7946" width="34.375" style="3559" customWidth="1"/>
    <col min="7947" max="7947" width="10.625" style="3559" customWidth="1"/>
    <col min="7948" max="7948" width="14.375" style="3559" customWidth="1"/>
    <col min="7949" max="7949" width="6.125" style="3559" customWidth="1"/>
    <col min="7950" max="7950" width="7.875" style="3559" customWidth="1"/>
    <col min="7951" max="8192" width="8.875" style="3559"/>
    <col min="8193" max="8193" width="39.125" style="3559" customWidth="1"/>
    <col min="8194" max="8194" width="6.125" style="3559" customWidth="1"/>
    <col min="8195" max="8195" width="11.625" style="3559" customWidth="1"/>
    <col min="8196" max="8196" width="7.875" style="3559" customWidth="1"/>
    <col min="8197" max="8197" width="11.125" style="3559" customWidth="1"/>
    <col min="8198" max="8199" width="13.875" style="3559" customWidth="1"/>
    <col min="8200" max="8200" width="6.125" style="3559" customWidth="1"/>
    <col min="8201" max="8201" width="9" style="3559" customWidth="1"/>
    <col min="8202" max="8202" width="34.375" style="3559" customWidth="1"/>
    <col min="8203" max="8203" width="10.625" style="3559" customWidth="1"/>
    <col min="8204" max="8204" width="14.375" style="3559" customWidth="1"/>
    <col min="8205" max="8205" width="6.125" style="3559" customWidth="1"/>
    <col min="8206" max="8206" width="7.875" style="3559" customWidth="1"/>
    <col min="8207" max="8448" width="8.875" style="3559"/>
    <col min="8449" max="8449" width="39.125" style="3559" customWidth="1"/>
    <col min="8450" max="8450" width="6.125" style="3559" customWidth="1"/>
    <col min="8451" max="8451" width="11.625" style="3559" customWidth="1"/>
    <col min="8452" max="8452" width="7.875" style="3559" customWidth="1"/>
    <col min="8453" max="8453" width="11.125" style="3559" customWidth="1"/>
    <col min="8454" max="8455" width="13.875" style="3559" customWidth="1"/>
    <col min="8456" max="8456" width="6.125" style="3559" customWidth="1"/>
    <col min="8457" max="8457" width="9" style="3559" customWidth="1"/>
    <col min="8458" max="8458" width="34.375" style="3559" customWidth="1"/>
    <col min="8459" max="8459" width="10.625" style="3559" customWidth="1"/>
    <col min="8460" max="8460" width="14.375" style="3559" customWidth="1"/>
    <col min="8461" max="8461" width="6.125" style="3559" customWidth="1"/>
    <col min="8462" max="8462" width="7.875" style="3559" customWidth="1"/>
    <col min="8463" max="8704" width="8.875" style="3559"/>
    <col min="8705" max="8705" width="39.125" style="3559" customWidth="1"/>
    <col min="8706" max="8706" width="6.125" style="3559" customWidth="1"/>
    <col min="8707" max="8707" width="11.625" style="3559" customWidth="1"/>
    <col min="8708" max="8708" width="7.875" style="3559" customWidth="1"/>
    <col min="8709" max="8709" width="11.125" style="3559" customWidth="1"/>
    <col min="8710" max="8711" width="13.875" style="3559" customWidth="1"/>
    <col min="8712" max="8712" width="6.125" style="3559" customWidth="1"/>
    <col min="8713" max="8713" width="9" style="3559" customWidth="1"/>
    <col min="8714" max="8714" width="34.375" style="3559" customWidth="1"/>
    <col min="8715" max="8715" width="10.625" style="3559" customWidth="1"/>
    <col min="8716" max="8716" width="14.375" style="3559" customWidth="1"/>
    <col min="8717" max="8717" width="6.125" style="3559" customWidth="1"/>
    <col min="8718" max="8718" width="7.875" style="3559" customWidth="1"/>
    <col min="8719" max="8960" width="8.875" style="3559"/>
    <col min="8961" max="8961" width="39.125" style="3559" customWidth="1"/>
    <col min="8962" max="8962" width="6.125" style="3559" customWidth="1"/>
    <col min="8963" max="8963" width="11.625" style="3559" customWidth="1"/>
    <col min="8964" max="8964" width="7.875" style="3559" customWidth="1"/>
    <col min="8965" max="8965" width="11.125" style="3559" customWidth="1"/>
    <col min="8966" max="8967" width="13.875" style="3559" customWidth="1"/>
    <col min="8968" max="8968" width="6.125" style="3559" customWidth="1"/>
    <col min="8969" max="8969" width="9" style="3559" customWidth="1"/>
    <col min="8970" max="8970" width="34.375" style="3559" customWidth="1"/>
    <col min="8971" max="8971" width="10.625" style="3559" customWidth="1"/>
    <col min="8972" max="8972" width="14.375" style="3559" customWidth="1"/>
    <col min="8973" max="8973" width="6.125" style="3559" customWidth="1"/>
    <col min="8974" max="8974" width="7.875" style="3559" customWidth="1"/>
    <col min="8975" max="9216" width="8.875" style="3559"/>
    <col min="9217" max="9217" width="39.125" style="3559" customWidth="1"/>
    <col min="9218" max="9218" width="6.125" style="3559" customWidth="1"/>
    <col min="9219" max="9219" width="11.625" style="3559" customWidth="1"/>
    <col min="9220" max="9220" width="7.875" style="3559" customWidth="1"/>
    <col min="9221" max="9221" width="11.125" style="3559" customWidth="1"/>
    <col min="9222" max="9223" width="13.875" style="3559" customWidth="1"/>
    <col min="9224" max="9224" width="6.125" style="3559" customWidth="1"/>
    <col min="9225" max="9225" width="9" style="3559" customWidth="1"/>
    <col min="9226" max="9226" width="34.375" style="3559" customWidth="1"/>
    <col min="9227" max="9227" width="10.625" style="3559" customWidth="1"/>
    <col min="9228" max="9228" width="14.375" style="3559" customWidth="1"/>
    <col min="9229" max="9229" width="6.125" style="3559" customWidth="1"/>
    <col min="9230" max="9230" width="7.875" style="3559" customWidth="1"/>
    <col min="9231" max="9472" width="8.875" style="3559"/>
    <col min="9473" max="9473" width="39.125" style="3559" customWidth="1"/>
    <col min="9474" max="9474" width="6.125" style="3559" customWidth="1"/>
    <col min="9475" max="9475" width="11.625" style="3559" customWidth="1"/>
    <col min="9476" max="9476" width="7.875" style="3559" customWidth="1"/>
    <col min="9477" max="9477" width="11.125" style="3559" customWidth="1"/>
    <col min="9478" max="9479" width="13.875" style="3559" customWidth="1"/>
    <col min="9480" max="9480" width="6.125" style="3559" customWidth="1"/>
    <col min="9481" max="9481" width="9" style="3559" customWidth="1"/>
    <col min="9482" max="9482" width="34.375" style="3559" customWidth="1"/>
    <col min="9483" max="9483" width="10.625" style="3559" customWidth="1"/>
    <col min="9484" max="9484" width="14.375" style="3559" customWidth="1"/>
    <col min="9485" max="9485" width="6.125" style="3559" customWidth="1"/>
    <col min="9486" max="9486" width="7.875" style="3559" customWidth="1"/>
    <col min="9487" max="9728" width="8.875" style="3559"/>
    <col min="9729" max="9729" width="39.125" style="3559" customWidth="1"/>
    <col min="9730" max="9730" width="6.125" style="3559" customWidth="1"/>
    <col min="9731" max="9731" width="11.625" style="3559" customWidth="1"/>
    <col min="9732" max="9732" width="7.875" style="3559" customWidth="1"/>
    <col min="9733" max="9733" width="11.125" style="3559" customWidth="1"/>
    <col min="9734" max="9735" width="13.875" style="3559" customWidth="1"/>
    <col min="9736" max="9736" width="6.125" style="3559" customWidth="1"/>
    <col min="9737" max="9737" width="9" style="3559" customWidth="1"/>
    <col min="9738" max="9738" width="34.375" style="3559" customWidth="1"/>
    <col min="9739" max="9739" width="10.625" style="3559" customWidth="1"/>
    <col min="9740" max="9740" width="14.375" style="3559" customWidth="1"/>
    <col min="9741" max="9741" width="6.125" style="3559" customWidth="1"/>
    <col min="9742" max="9742" width="7.875" style="3559" customWidth="1"/>
    <col min="9743" max="9984" width="8.875" style="3559"/>
    <col min="9985" max="9985" width="39.125" style="3559" customWidth="1"/>
    <col min="9986" max="9986" width="6.125" style="3559" customWidth="1"/>
    <col min="9987" max="9987" width="11.625" style="3559" customWidth="1"/>
    <col min="9988" max="9988" width="7.875" style="3559" customWidth="1"/>
    <col min="9989" max="9989" width="11.125" style="3559" customWidth="1"/>
    <col min="9990" max="9991" width="13.875" style="3559" customWidth="1"/>
    <col min="9992" max="9992" width="6.125" style="3559" customWidth="1"/>
    <col min="9993" max="9993" width="9" style="3559" customWidth="1"/>
    <col min="9994" max="9994" width="34.375" style="3559" customWidth="1"/>
    <col min="9995" max="9995" width="10.625" style="3559" customWidth="1"/>
    <col min="9996" max="9996" width="14.375" style="3559" customWidth="1"/>
    <col min="9997" max="9997" width="6.125" style="3559" customWidth="1"/>
    <col min="9998" max="9998" width="7.875" style="3559" customWidth="1"/>
    <col min="9999" max="10240" width="8.875" style="3559"/>
    <col min="10241" max="10241" width="39.125" style="3559" customWidth="1"/>
    <col min="10242" max="10242" width="6.125" style="3559" customWidth="1"/>
    <col min="10243" max="10243" width="11.625" style="3559" customWidth="1"/>
    <col min="10244" max="10244" width="7.875" style="3559" customWidth="1"/>
    <col min="10245" max="10245" width="11.125" style="3559" customWidth="1"/>
    <col min="10246" max="10247" width="13.875" style="3559" customWidth="1"/>
    <col min="10248" max="10248" width="6.125" style="3559" customWidth="1"/>
    <col min="10249" max="10249" width="9" style="3559" customWidth="1"/>
    <col min="10250" max="10250" width="34.375" style="3559" customWidth="1"/>
    <col min="10251" max="10251" width="10.625" style="3559" customWidth="1"/>
    <col min="10252" max="10252" width="14.375" style="3559" customWidth="1"/>
    <col min="10253" max="10253" width="6.125" style="3559" customWidth="1"/>
    <col min="10254" max="10254" width="7.875" style="3559" customWidth="1"/>
    <col min="10255" max="10496" width="8.875" style="3559"/>
    <col min="10497" max="10497" width="39.125" style="3559" customWidth="1"/>
    <col min="10498" max="10498" width="6.125" style="3559" customWidth="1"/>
    <col min="10499" max="10499" width="11.625" style="3559" customWidth="1"/>
    <col min="10500" max="10500" width="7.875" style="3559" customWidth="1"/>
    <col min="10501" max="10501" width="11.125" style="3559" customWidth="1"/>
    <col min="10502" max="10503" width="13.875" style="3559" customWidth="1"/>
    <col min="10504" max="10504" width="6.125" style="3559" customWidth="1"/>
    <col min="10505" max="10505" width="9" style="3559" customWidth="1"/>
    <col min="10506" max="10506" width="34.375" style="3559" customWidth="1"/>
    <col min="10507" max="10507" width="10.625" style="3559" customWidth="1"/>
    <col min="10508" max="10508" width="14.375" style="3559" customWidth="1"/>
    <col min="10509" max="10509" width="6.125" style="3559" customWidth="1"/>
    <col min="10510" max="10510" width="7.875" style="3559" customWidth="1"/>
    <col min="10511" max="10752" width="8.875" style="3559"/>
    <col min="10753" max="10753" width="39.125" style="3559" customWidth="1"/>
    <col min="10754" max="10754" width="6.125" style="3559" customWidth="1"/>
    <col min="10755" max="10755" width="11.625" style="3559" customWidth="1"/>
    <col min="10756" max="10756" width="7.875" style="3559" customWidth="1"/>
    <col min="10757" max="10757" width="11.125" style="3559" customWidth="1"/>
    <col min="10758" max="10759" width="13.875" style="3559" customWidth="1"/>
    <col min="10760" max="10760" width="6.125" style="3559" customWidth="1"/>
    <col min="10761" max="10761" width="9" style="3559" customWidth="1"/>
    <col min="10762" max="10762" width="34.375" style="3559" customWidth="1"/>
    <col min="10763" max="10763" width="10.625" style="3559" customWidth="1"/>
    <col min="10764" max="10764" width="14.375" style="3559" customWidth="1"/>
    <col min="10765" max="10765" width="6.125" style="3559" customWidth="1"/>
    <col min="10766" max="10766" width="7.875" style="3559" customWidth="1"/>
    <col min="10767" max="11008" width="8.875" style="3559"/>
    <col min="11009" max="11009" width="39.125" style="3559" customWidth="1"/>
    <col min="11010" max="11010" width="6.125" style="3559" customWidth="1"/>
    <col min="11011" max="11011" width="11.625" style="3559" customWidth="1"/>
    <col min="11012" max="11012" width="7.875" style="3559" customWidth="1"/>
    <col min="11013" max="11013" width="11.125" style="3559" customWidth="1"/>
    <col min="11014" max="11015" width="13.875" style="3559" customWidth="1"/>
    <col min="11016" max="11016" width="6.125" style="3559" customWidth="1"/>
    <col min="11017" max="11017" width="9" style="3559" customWidth="1"/>
    <col min="11018" max="11018" width="34.375" style="3559" customWidth="1"/>
    <col min="11019" max="11019" width="10.625" style="3559" customWidth="1"/>
    <col min="11020" max="11020" width="14.375" style="3559" customWidth="1"/>
    <col min="11021" max="11021" width="6.125" style="3559" customWidth="1"/>
    <col min="11022" max="11022" width="7.875" style="3559" customWidth="1"/>
    <col min="11023" max="11264" width="8.875" style="3559"/>
    <col min="11265" max="11265" width="39.125" style="3559" customWidth="1"/>
    <col min="11266" max="11266" width="6.125" style="3559" customWidth="1"/>
    <col min="11267" max="11267" width="11.625" style="3559" customWidth="1"/>
    <col min="11268" max="11268" width="7.875" style="3559" customWidth="1"/>
    <col min="11269" max="11269" width="11.125" style="3559" customWidth="1"/>
    <col min="11270" max="11271" width="13.875" style="3559" customWidth="1"/>
    <col min="11272" max="11272" width="6.125" style="3559" customWidth="1"/>
    <col min="11273" max="11273" width="9" style="3559" customWidth="1"/>
    <col min="11274" max="11274" width="34.375" style="3559" customWidth="1"/>
    <col min="11275" max="11275" width="10.625" style="3559" customWidth="1"/>
    <col min="11276" max="11276" width="14.375" style="3559" customWidth="1"/>
    <col min="11277" max="11277" width="6.125" style="3559" customWidth="1"/>
    <col min="11278" max="11278" width="7.875" style="3559" customWidth="1"/>
    <col min="11279" max="11520" width="8.875" style="3559"/>
    <col min="11521" max="11521" width="39.125" style="3559" customWidth="1"/>
    <col min="11522" max="11522" width="6.125" style="3559" customWidth="1"/>
    <col min="11523" max="11523" width="11.625" style="3559" customWidth="1"/>
    <col min="11524" max="11524" width="7.875" style="3559" customWidth="1"/>
    <col min="11525" max="11525" width="11.125" style="3559" customWidth="1"/>
    <col min="11526" max="11527" width="13.875" style="3559" customWidth="1"/>
    <col min="11528" max="11528" width="6.125" style="3559" customWidth="1"/>
    <col min="11529" max="11529" width="9" style="3559" customWidth="1"/>
    <col min="11530" max="11530" width="34.375" style="3559" customWidth="1"/>
    <col min="11531" max="11531" width="10.625" style="3559" customWidth="1"/>
    <col min="11532" max="11532" width="14.375" style="3559" customWidth="1"/>
    <col min="11533" max="11533" width="6.125" style="3559" customWidth="1"/>
    <col min="11534" max="11534" width="7.875" style="3559" customWidth="1"/>
    <col min="11535" max="11776" width="8.875" style="3559"/>
    <col min="11777" max="11777" width="39.125" style="3559" customWidth="1"/>
    <col min="11778" max="11778" width="6.125" style="3559" customWidth="1"/>
    <col min="11779" max="11779" width="11.625" style="3559" customWidth="1"/>
    <col min="11780" max="11780" width="7.875" style="3559" customWidth="1"/>
    <col min="11781" max="11781" width="11.125" style="3559" customWidth="1"/>
    <col min="11782" max="11783" width="13.875" style="3559" customWidth="1"/>
    <col min="11784" max="11784" width="6.125" style="3559" customWidth="1"/>
    <col min="11785" max="11785" width="9" style="3559" customWidth="1"/>
    <col min="11786" max="11786" width="34.375" style="3559" customWidth="1"/>
    <col min="11787" max="11787" width="10.625" style="3559" customWidth="1"/>
    <col min="11788" max="11788" width="14.375" style="3559" customWidth="1"/>
    <col min="11789" max="11789" width="6.125" style="3559" customWidth="1"/>
    <col min="11790" max="11790" width="7.875" style="3559" customWidth="1"/>
    <col min="11791" max="12032" width="8.875" style="3559"/>
    <col min="12033" max="12033" width="39.125" style="3559" customWidth="1"/>
    <col min="12034" max="12034" width="6.125" style="3559" customWidth="1"/>
    <col min="12035" max="12035" width="11.625" style="3559" customWidth="1"/>
    <col min="12036" max="12036" width="7.875" style="3559" customWidth="1"/>
    <col min="12037" max="12037" width="11.125" style="3559" customWidth="1"/>
    <col min="12038" max="12039" width="13.875" style="3559" customWidth="1"/>
    <col min="12040" max="12040" width="6.125" style="3559" customWidth="1"/>
    <col min="12041" max="12041" width="9" style="3559" customWidth="1"/>
    <col min="12042" max="12042" width="34.375" style="3559" customWidth="1"/>
    <col min="12043" max="12043" width="10.625" style="3559" customWidth="1"/>
    <col min="12044" max="12044" width="14.375" style="3559" customWidth="1"/>
    <col min="12045" max="12045" width="6.125" style="3559" customWidth="1"/>
    <col min="12046" max="12046" width="7.875" style="3559" customWidth="1"/>
    <col min="12047" max="12288" width="8.875" style="3559"/>
    <col min="12289" max="12289" width="39.125" style="3559" customWidth="1"/>
    <col min="12290" max="12290" width="6.125" style="3559" customWidth="1"/>
    <col min="12291" max="12291" width="11.625" style="3559" customWidth="1"/>
    <col min="12292" max="12292" width="7.875" style="3559" customWidth="1"/>
    <col min="12293" max="12293" width="11.125" style="3559" customWidth="1"/>
    <col min="12294" max="12295" width="13.875" style="3559" customWidth="1"/>
    <col min="12296" max="12296" width="6.125" style="3559" customWidth="1"/>
    <col min="12297" max="12297" width="9" style="3559" customWidth="1"/>
    <col min="12298" max="12298" width="34.375" style="3559" customWidth="1"/>
    <col min="12299" max="12299" width="10.625" style="3559" customWidth="1"/>
    <col min="12300" max="12300" width="14.375" style="3559" customWidth="1"/>
    <col min="12301" max="12301" width="6.125" style="3559" customWidth="1"/>
    <col min="12302" max="12302" width="7.875" style="3559" customWidth="1"/>
    <col min="12303" max="12544" width="8.875" style="3559"/>
    <col min="12545" max="12545" width="39.125" style="3559" customWidth="1"/>
    <col min="12546" max="12546" width="6.125" style="3559" customWidth="1"/>
    <col min="12547" max="12547" width="11.625" style="3559" customWidth="1"/>
    <col min="12548" max="12548" width="7.875" style="3559" customWidth="1"/>
    <col min="12549" max="12549" width="11.125" style="3559" customWidth="1"/>
    <col min="12550" max="12551" width="13.875" style="3559" customWidth="1"/>
    <col min="12552" max="12552" width="6.125" style="3559" customWidth="1"/>
    <col min="12553" max="12553" width="9" style="3559" customWidth="1"/>
    <col min="12554" max="12554" width="34.375" style="3559" customWidth="1"/>
    <col min="12555" max="12555" width="10.625" style="3559" customWidth="1"/>
    <col min="12556" max="12556" width="14.375" style="3559" customWidth="1"/>
    <col min="12557" max="12557" width="6.125" style="3559" customWidth="1"/>
    <col min="12558" max="12558" width="7.875" style="3559" customWidth="1"/>
    <col min="12559" max="12800" width="8.875" style="3559"/>
    <col min="12801" max="12801" width="39.125" style="3559" customWidth="1"/>
    <col min="12802" max="12802" width="6.125" style="3559" customWidth="1"/>
    <col min="12803" max="12803" width="11.625" style="3559" customWidth="1"/>
    <col min="12804" max="12804" width="7.875" style="3559" customWidth="1"/>
    <col min="12805" max="12805" width="11.125" style="3559" customWidth="1"/>
    <col min="12806" max="12807" width="13.875" style="3559" customWidth="1"/>
    <col min="12808" max="12808" width="6.125" style="3559" customWidth="1"/>
    <col min="12809" max="12809" width="9" style="3559" customWidth="1"/>
    <col min="12810" max="12810" width="34.375" style="3559" customWidth="1"/>
    <col min="12811" max="12811" width="10.625" style="3559" customWidth="1"/>
    <col min="12812" max="12812" width="14.375" style="3559" customWidth="1"/>
    <col min="12813" max="12813" width="6.125" style="3559" customWidth="1"/>
    <col min="12814" max="12814" width="7.875" style="3559" customWidth="1"/>
    <col min="12815" max="13056" width="8.875" style="3559"/>
    <col min="13057" max="13057" width="39.125" style="3559" customWidth="1"/>
    <col min="13058" max="13058" width="6.125" style="3559" customWidth="1"/>
    <col min="13059" max="13059" width="11.625" style="3559" customWidth="1"/>
    <col min="13060" max="13060" width="7.875" style="3559" customWidth="1"/>
    <col min="13061" max="13061" width="11.125" style="3559" customWidth="1"/>
    <col min="13062" max="13063" width="13.875" style="3559" customWidth="1"/>
    <col min="13064" max="13064" width="6.125" style="3559" customWidth="1"/>
    <col min="13065" max="13065" width="9" style="3559" customWidth="1"/>
    <col min="13066" max="13066" width="34.375" style="3559" customWidth="1"/>
    <col min="13067" max="13067" width="10.625" style="3559" customWidth="1"/>
    <col min="13068" max="13068" width="14.375" style="3559" customWidth="1"/>
    <col min="13069" max="13069" width="6.125" style="3559" customWidth="1"/>
    <col min="13070" max="13070" width="7.875" style="3559" customWidth="1"/>
    <col min="13071" max="13312" width="8.875" style="3559"/>
    <col min="13313" max="13313" width="39.125" style="3559" customWidth="1"/>
    <col min="13314" max="13314" width="6.125" style="3559" customWidth="1"/>
    <col min="13315" max="13315" width="11.625" style="3559" customWidth="1"/>
    <col min="13316" max="13316" width="7.875" style="3559" customWidth="1"/>
    <col min="13317" max="13317" width="11.125" style="3559" customWidth="1"/>
    <col min="13318" max="13319" width="13.875" style="3559" customWidth="1"/>
    <col min="13320" max="13320" width="6.125" style="3559" customWidth="1"/>
    <col min="13321" max="13321" width="9" style="3559" customWidth="1"/>
    <col min="13322" max="13322" width="34.375" style="3559" customWidth="1"/>
    <col min="13323" max="13323" width="10.625" style="3559" customWidth="1"/>
    <col min="13324" max="13324" width="14.375" style="3559" customWidth="1"/>
    <col min="13325" max="13325" width="6.125" style="3559" customWidth="1"/>
    <col min="13326" max="13326" width="7.875" style="3559" customWidth="1"/>
    <col min="13327" max="13568" width="8.875" style="3559"/>
    <col min="13569" max="13569" width="39.125" style="3559" customWidth="1"/>
    <col min="13570" max="13570" width="6.125" style="3559" customWidth="1"/>
    <col min="13571" max="13571" width="11.625" style="3559" customWidth="1"/>
    <col min="13572" max="13572" width="7.875" style="3559" customWidth="1"/>
    <col min="13573" max="13573" width="11.125" style="3559" customWidth="1"/>
    <col min="13574" max="13575" width="13.875" style="3559" customWidth="1"/>
    <col min="13576" max="13576" width="6.125" style="3559" customWidth="1"/>
    <col min="13577" max="13577" width="9" style="3559" customWidth="1"/>
    <col min="13578" max="13578" width="34.375" style="3559" customWidth="1"/>
    <col min="13579" max="13579" width="10.625" style="3559" customWidth="1"/>
    <col min="13580" max="13580" width="14.375" style="3559" customWidth="1"/>
    <col min="13581" max="13581" width="6.125" style="3559" customWidth="1"/>
    <col min="13582" max="13582" width="7.875" style="3559" customWidth="1"/>
    <col min="13583" max="13824" width="8.875" style="3559"/>
    <col min="13825" max="13825" width="39.125" style="3559" customWidth="1"/>
    <col min="13826" max="13826" width="6.125" style="3559" customWidth="1"/>
    <col min="13827" max="13827" width="11.625" style="3559" customWidth="1"/>
    <col min="13828" max="13828" width="7.875" style="3559" customWidth="1"/>
    <col min="13829" max="13829" width="11.125" style="3559" customWidth="1"/>
    <col min="13830" max="13831" width="13.875" style="3559" customWidth="1"/>
    <col min="13832" max="13832" width="6.125" style="3559" customWidth="1"/>
    <col min="13833" max="13833" width="9" style="3559" customWidth="1"/>
    <col min="13834" max="13834" width="34.375" style="3559" customWidth="1"/>
    <col min="13835" max="13835" width="10.625" style="3559" customWidth="1"/>
    <col min="13836" max="13836" width="14.375" style="3559" customWidth="1"/>
    <col min="13837" max="13837" width="6.125" style="3559" customWidth="1"/>
    <col min="13838" max="13838" width="7.875" style="3559" customWidth="1"/>
    <col min="13839" max="14080" width="8.875" style="3559"/>
    <col min="14081" max="14081" width="39.125" style="3559" customWidth="1"/>
    <col min="14082" max="14082" width="6.125" style="3559" customWidth="1"/>
    <col min="14083" max="14083" width="11.625" style="3559" customWidth="1"/>
    <col min="14084" max="14084" width="7.875" style="3559" customWidth="1"/>
    <col min="14085" max="14085" width="11.125" style="3559" customWidth="1"/>
    <col min="14086" max="14087" width="13.875" style="3559" customWidth="1"/>
    <col min="14088" max="14088" width="6.125" style="3559" customWidth="1"/>
    <col min="14089" max="14089" width="9" style="3559" customWidth="1"/>
    <col min="14090" max="14090" width="34.375" style="3559" customWidth="1"/>
    <col min="14091" max="14091" width="10.625" style="3559" customWidth="1"/>
    <col min="14092" max="14092" width="14.375" style="3559" customWidth="1"/>
    <col min="14093" max="14093" width="6.125" style="3559" customWidth="1"/>
    <col min="14094" max="14094" width="7.875" style="3559" customWidth="1"/>
    <col min="14095" max="14336" width="8.875" style="3559"/>
    <col min="14337" max="14337" width="39.125" style="3559" customWidth="1"/>
    <col min="14338" max="14338" width="6.125" style="3559" customWidth="1"/>
    <col min="14339" max="14339" width="11.625" style="3559" customWidth="1"/>
    <col min="14340" max="14340" width="7.875" style="3559" customWidth="1"/>
    <col min="14341" max="14341" width="11.125" style="3559" customWidth="1"/>
    <col min="14342" max="14343" width="13.875" style="3559" customWidth="1"/>
    <col min="14344" max="14344" width="6.125" style="3559" customWidth="1"/>
    <col min="14345" max="14345" width="9" style="3559" customWidth="1"/>
    <col min="14346" max="14346" width="34.375" style="3559" customWidth="1"/>
    <col min="14347" max="14347" width="10.625" style="3559" customWidth="1"/>
    <col min="14348" max="14348" width="14.375" style="3559" customWidth="1"/>
    <col min="14349" max="14349" width="6.125" style="3559" customWidth="1"/>
    <col min="14350" max="14350" width="7.875" style="3559" customWidth="1"/>
    <col min="14351" max="14592" width="8.875" style="3559"/>
    <col min="14593" max="14593" width="39.125" style="3559" customWidth="1"/>
    <col min="14594" max="14594" width="6.125" style="3559" customWidth="1"/>
    <col min="14595" max="14595" width="11.625" style="3559" customWidth="1"/>
    <col min="14596" max="14596" width="7.875" style="3559" customWidth="1"/>
    <col min="14597" max="14597" width="11.125" style="3559" customWidth="1"/>
    <col min="14598" max="14599" width="13.875" style="3559" customWidth="1"/>
    <col min="14600" max="14600" width="6.125" style="3559" customWidth="1"/>
    <col min="14601" max="14601" width="9" style="3559" customWidth="1"/>
    <col min="14602" max="14602" width="34.375" style="3559" customWidth="1"/>
    <col min="14603" max="14603" width="10.625" style="3559" customWidth="1"/>
    <col min="14604" max="14604" width="14.375" style="3559" customWidth="1"/>
    <col min="14605" max="14605" width="6.125" style="3559" customWidth="1"/>
    <col min="14606" max="14606" width="7.875" style="3559" customWidth="1"/>
    <col min="14607" max="14848" width="8.875" style="3559"/>
    <col min="14849" max="14849" width="39.125" style="3559" customWidth="1"/>
    <col min="14850" max="14850" width="6.125" style="3559" customWidth="1"/>
    <col min="14851" max="14851" width="11.625" style="3559" customWidth="1"/>
    <col min="14852" max="14852" width="7.875" style="3559" customWidth="1"/>
    <col min="14853" max="14853" width="11.125" style="3559" customWidth="1"/>
    <col min="14854" max="14855" width="13.875" style="3559" customWidth="1"/>
    <col min="14856" max="14856" width="6.125" style="3559" customWidth="1"/>
    <col min="14857" max="14857" width="9" style="3559" customWidth="1"/>
    <col min="14858" max="14858" width="34.375" style="3559" customWidth="1"/>
    <col min="14859" max="14859" width="10.625" style="3559" customWidth="1"/>
    <col min="14860" max="14860" width="14.375" style="3559" customWidth="1"/>
    <col min="14861" max="14861" width="6.125" style="3559" customWidth="1"/>
    <col min="14862" max="14862" width="7.875" style="3559" customWidth="1"/>
    <col min="14863" max="15104" width="8.875" style="3559"/>
    <col min="15105" max="15105" width="39.125" style="3559" customWidth="1"/>
    <col min="15106" max="15106" width="6.125" style="3559" customWidth="1"/>
    <col min="15107" max="15107" width="11.625" style="3559" customWidth="1"/>
    <col min="15108" max="15108" width="7.875" style="3559" customWidth="1"/>
    <col min="15109" max="15109" width="11.125" style="3559" customWidth="1"/>
    <col min="15110" max="15111" width="13.875" style="3559" customWidth="1"/>
    <col min="15112" max="15112" width="6.125" style="3559" customWidth="1"/>
    <col min="15113" max="15113" width="9" style="3559" customWidth="1"/>
    <col min="15114" max="15114" width="34.375" style="3559" customWidth="1"/>
    <col min="15115" max="15115" width="10.625" style="3559" customWidth="1"/>
    <col min="15116" max="15116" width="14.375" style="3559" customWidth="1"/>
    <col min="15117" max="15117" width="6.125" style="3559" customWidth="1"/>
    <col min="15118" max="15118" width="7.875" style="3559" customWidth="1"/>
    <col min="15119" max="15360" width="8.875" style="3559"/>
    <col min="15361" max="15361" width="39.125" style="3559" customWidth="1"/>
    <col min="15362" max="15362" width="6.125" style="3559" customWidth="1"/>
    <col min="15363" max="15363" width="11.625" style="3559" customWidth="1"/>
    <col min="15364" max="15364" width="7.875" style="3559" customWidth="1"/>
    <col min="15365" max="15365" width="11.125" style="3559" customWidth="1"/>
    <col min="15366" max="15367" width="13.875" style="3559" customWidth="1"/>
    <col min="15368" max="15368" width="6.125" style="3559" customWidth="1"/>
    <col min="15369" max="15369" width="9" style="3559" customWidth="1"/>
    <col min="15370" max="15370" width="34.375" style="3559" customWidth="1"/>
    <col min="15371" max="15371" width="10.625" style="3559" customWidth="1"/>
    <col min="15372" max="15372" width="14.375" style="3559" customWidth="1"/>
    <col min="15373" max="15373" width="6.125" style="3559" customWidth="1"/>
    <col min="15374" max="15374" width="7.875" style="3559" customWidth="1"/>
    <col min="15375" max="15616" width="8.875" style="3559"/>
    <col min="15617" max="15617" width="39.125" style="3559" customWidth="1"/>
    <col min="15618" max="15618" width="6.125" style="3559" customWidth="1"/>
    <col min="15619" max="15619" width="11.625" style="3559" customWidth="1"/>
    <col min="15620" max="15620" width="7.875" style="3559" customWidth="1"/>
    <col min="15621" max="15621" width="11.125" style="3559" customWidth="1"/>
    <col min="15622" max="15623" width="13.875" style="3559" customWidth="1"/>
    <col min="15624" max="15624" width="6.125" style="3559" customWidth="1"/>
    <col min="15625" max="15625" width="9" style="3559" customWidth="1"/>
    <col min="15626" max="15626" width="34.375" style="3559" customWidth="1"/>
    <col min="15627" max="15627" width="10.625" style="3559" customWidth="1"/>
    <col min="15628" max="15628" width="14.375" style="3559" customWidth="1"/>
    <col min="15629" max="15629" width="6.125" style="3559" customWidth="1"/>
    <col min="15630" max="15630" width="7.875" style="3559" customWidth="1"/>
    <col min="15631" max="15872" width="8.875" style="3559"/>
    <col min="15873" max="15873" width="39.125" style="3559" customWidth="1"/>
    <col min="15874" max="15874" width="6.125" style="3559" customWidth="1"/>
    <col min="15875" max="15875" width="11.625" style="3559" customWidth="1"/>
    <col min="15876" max="15876" width="7.875" style="3559" customWidth="1"/>
    <col min="15877" max="15877" width="11.125" style="3559" customWidth="1"/>
    <col min="15878" max="15879" width="13.875" style="3559" customWidth="1"/>
    <col min="15880" max="15880" width="6.125" style="3559" customWidth="1"/>
    <col min="15881" max="15881" width="9" style="3559" customWidth="1"/>
    <col min="15882" max="15882" width="34.375" style="3559" customWidth="1"/>
    <col min="15883" max="15883" width="10.625" style="3559" customWidth="1"/>
    <col min="15884" max="15884" width="14.375" style="3559" customWidth="1"/>
    <col min="15885" max="15885" width="6.125" style="3559" customWidth="1"/>
    <col min="15886" max="15886" width="7.875" style="3559" customWidth="1"/>
    <col min="15887" max="16128" width="8.875" style="3559"/>
    <col min="16129" max="16129" width="39.125" style="3559" customWidth="1"/>
    <col min="16130" max="16130" width="6.125" style="3559" customWidth="1"/>
    <col min="16131" max="16131" width="11.625" style="3559" customWidth="1"/>
    <col min="16132" max="16132" width="7.875" style="3559" customWidth="1"/>
    <col min="16133" max="16133" width="11.125" style="3559" customWidth="1"/>
    <col min="16134" max="16135" width="13.875" style="3559" customWidth="1"/>
    <col min="16136" max="16136" width="6.125" style="3559" customWidth="1"/>
    <col min="16137" max="16137" width="9" style="3559" customWidth="1"/>
    <col min="16138" max="16138" width="34.375" style="3559" customWidth="1"/>
    <col min="16139" max="16139" width="10.625" style="3559" customWidth="1"/>
    <col min="16140" max="16140" width="14.375" style="3559" customWidth="1"/>
    <col min="16141" max="16141" width="6.125" style="3559" customWidth="1"/>
    <col min="16142" max="16142" width="7.875" style="3559" customWidth="1"/>
    <col min="16143" max="16384" width="8.875" style="3559"/>
  </cols>
  <sheetData>
    <row r="1" spans="1:14">
      <c r="A1" s="3559" t="s">
        <v>3116</v>
      </c>
      <c r="B1" s="3559" t="s">
        <v>3117</v>
      </c>
      <c r="C1" s="3559" t="s">
        <v>3118</v>
      </c>
      <c r="D1" s="3559" t="s">
        <v>3119</v>
      </c>
      <c r="E1" s="3559" t="s">
        <v>3120</v>
      </c>
      <c r="F1" s="3559" t="s">
        <v>3121</v>
      </c>
      <c r="G1" s="3559" t="s">
        <v>3122</v>
      </c>
      <c r="H1" s="3559" t="s">
        <v>2031</v>
      </c>
      <c r="I1" s="3559" t="s">
        <v>3123</v>
      </c>
      <c r="J1" s="3559" t="s">
        <v>3124</v>
      </c>
      <c r="K1" s="3559" t="s">
        <v>3125</v>
      </c>
      <c r="L1" s="3559" t="s">
        <v>3126</v>
      </c>
      <c r="M1" s="3559" t="s">
        <v>3127</v>
      </c>
      <c r="N1" s="3559" t="s">
        <v>3128</v>
      </c>
    </row>
    <row r="2" spans="1:14">
      <c r="A2" s="3559" t="s">
        <v>3129</v>
      </c>
      <c r="B2" s="3559" t="s">
        <v>3130</v>
      </c>
      <c r="C2" s="3559" t="s">
        <v>3131</v>
      </c>
      <c r="D2" s="3559" t="s">
        <v>3132</v>
      </c>
      <c r="E2" s="3559" t="s">
        <v>3025</v>
      </c>
      <c r="F2" s="3559">
        <v>2637.77</v>
      </c>
      <c r="G2" s="3559">
        <v>1318.89</v>
      </c>
      <c r="H2" s="3559" t="s">
        <v>3133</v>
      </c>
      <c r="I2" s="3559" t="s">
        <v>3134</v>
      </c>
      <c r="J2" s="3559" t="s">
        <v>3135</v>
      </c>
      <c r="K2" s="3559">
        <v>1422</v>
      </c>
      <c r="L2" s="3559">
        <v>10781.79</v>
      </c>
      <c r="M2" s="3559">
        <v>4.5599999999999996</v>
      </c>
      <c r="N2" s="3559" t="s">
        <v>3136</v>
      </c>
    </row>
    <row r="3" spans="1:14">
      <c r="A3" s="3559" t="s">
        <v>3137</v>
      </c>
      <c r="B3" s="3559" t="s">
        <v>3130</v>
      </c>
      <c r="C3" s="3559" t="s">
        <v>3131</v>
      </c>
      <c r="D3" s="3559" t="s">
        <v>3132</v>
      </c>
      <c r="E3" s="3559" t="s">
        <v>3025</v>
      </c>
      <c r="F3" s="3559">
        <v>2960.9</v>
      </c>
      <c r="G3" s="3559">
        <v>1480.45</v>
      </c>
      <c r="H3" s="3559" t="s">
        <v>3133</v>
      </c>
      <c r="I3" s="3559" t="s">
        <v>3138</v>
      </c>
      <c r="J3" s="3559" t="s">
        <v>3139</v>
      </c>
      <c r="K3" s="3559">
        <v>1599</v>
      </c>
      <c r="L3" s="3559">
        <v>10800.77</v>
      </c>
      <c r="M3" s="3559">
        <v>4.51</v>
      </c>
      <c r="N3" s="3559" t="s">
        <v>3136</v>
      </c>
    </row>
    <row r="4" spans="1:14" s="3560" customFormat="1">
      <c r="A4" s="3560" t="s">
        <v>3140</v>
      </c>
      <c r="B4" s="3560" t="s">
        <v>3130</v>
      </c>
      <c r="C4" s="3560" t="s">
        <v>3131</v>
      </c>
      <c r="D4" s="3560" t="s">
        <v>3132</v>
      </c>
      <c r="E4" s="3560" t="s">
        <v>3025</v>
      </c>
      <c r="F4" s="3560">
        <v>15205.4</v>
      </c>
      <c r="G4" s="3560">
        <v>38013.5</v>
      </c>
      <c r="H4" s="3560" t="s">
        <v>3141</v>
      </c>
      <c r="I4" s="3560" t="s">
        <v>3142</v>
      </c>
      <c r="J4" s="3560" t="s">
        <v>3143</v>
      </c>
      <c r="K4" s="3560">
        <v>10902.27</v>
      </c>
      <c r="L4" s="3560">
        <v>2868</v>
      </c>
      <c r="M4" s="3560">
        <v>3.17</v>
      </c>
      <c r="N4" s="3560" t="s">
        <v>3136</v>
      </c>
    </row>
    <row r="5" spans="1:14" s="3560" customFormat="1">
      <c r="A5" s="3560" t="s">
        <v>3140</v>
      </c>
      <c r="B5" s="3560" t="s">
        <v>3130</v>
      </c>
      <c r="C5" s="3560" t="s">
        <v>3131</v>
      </c>
      <c r="D5" s="3560" t="s">
        <v>3132</v>
      </c>
      <c r="E5" s="3560" t="s">
        <v>3025</v>
      </c>
      <c r="F5" s="3560">
        <v>8456.9</v>
      </c>
      <c r="G5" s="3560">
        <v>25370.7</v>
      </c>
      <c r="H5" s="3560" t="s">
        <v>3144</v>
      </c>
      <c r="I5" s="3560" t="s">
        <v>3142</v>
      </c>
      <c r="J5" s="3560" t="s">
        <v>3145</v>
      </c>
      <c r="K5" s="3560">
        <v>6647.11</v>
      </c>
      <c r="L5" s="3560">
        <v>2620</v>
      </c>
      <c r="M5" s="3560">
        <v>7.38</v>
      </c>
      <c r="N5" s="3560" t="s">
        <v>3136</v>
      </c>
    </row>
    <row r="6" spans="1:14">
      <c r="A6" s="3559" t="s">
        <v>3140</v>
      </c>
      <c r="B6" s="3559" t="s">
        <v>3130</v>
      </c>
      <c r="C6" s="3559" t="s">
        <v>3131</v>
      </c>
      <c r="D6" s="3559" t="s">
        <v>3132</v>
      </c>
      <c r="E6" s="3559" t="s">
        <v>3025</v>
      </c>
      <c r="F6" s="3559">
        <v>84475.6</v>
      </c>
      <c r="G6" s="3559">
        <v>295664.59999999998</v>
      </c>
      <c r="H6" s="3559" t="s">
        <v>3146</v>
      </c>
      <c r="I6" s="3559" t="s">
        <v>3142</v>
      </c>
      <c r="J6" s="3559" t="s">
        <v>3143</v>
      </c>
      <c r="K6" s="3559">
        <v>65312.3</v>
      </c>
      <c r="L6" s="3559">
        <v>2209</v>
      </c>
      <c r="M6" s="3559">
        <v>1.8</v>
      </c>
      <c r="N6" s="3559" t="s">
        <v>3136</v>
      </c>
    </row>
    <row r="7" spans="1:14" s="3560" customFormat="1">
      <c r="A7" s="3560" t="s">
        <v>3140</v>
      </c>
      <c r="B7" s="3560" t="s">
        <v>3130</v>
      </c>
      <c r="C7" s="3560" t="s">
        <v>3131</v>
      </c>
      <c r="D7" s="3560" t="s">
        <v>3132</v>
      </c>
      <c r="E7" s="3560" t="s">
        <v>3025</v>
      </c>
      <c r="F7" s="3560">
        <v>12324.9</v>
      </c>
      <c r="G7" s="3560">
        <v>36974.699999999997</v>
      </c>
      <c r="H7" s="3560" t="s">
        <v>3144</v>
      </c>
      <c r="I7" s="3560" t="s">
        <v>3142</v>
      </c>
      <c r="J7" s="3560" t="s">
        <v>3143</v>
      </c>
      <c r="K7" s="3560">
        <v>8759.2999999999993</v>
      </c>
      <c r="L7" s="3560">
        <v>2369</v>
      </c>
      <c r="M7" s="3560">
        <v>3.45</v>
      </c>
      <c r="N7" s="3560" t="s">
        <v>3136</v>
      </c>
    </row>
    <row r="8" spans="1:14">
      <c r="A8" s="3559" t="s">
        <v>3147</v>
      </c>
      <c r="B8" s="3559" t="s">
        <v>3130</v>
      </c>
      <c r="C8" s="3559" t="s">
        <v>3131</v>
      </c>
      <c r="D8" s="3559" t="s">
        <v>3132</v>
      </c>
      <c r="E8" s="3559" t="s">
        <v>3025</v>
      </c>
      <c r="F8" s="3559">
        <v>2160</v>
      </c>
      <c r="G8" s="3559">
        <v>1728</v>
      </c>
      <c r="H8" s="3559" t="s">
        <v>3148</v>
      </c>
      <c r="I8" s="3559" t="s">
        <v>3149</v>
      </c>
      <c r="J8" s="3559" t="s">
        <v>3150</v>
      </c>
      <c r="K8" s="3559">
        <v>1672</v>
      </c>
      <c r="L8" s="3559">
        <v>9675.93</v>
      </c>
      <c r="M8" s="3559">
        <v>4.5</v>
      </c>
      <c r="N8" s="3559" t="s">
        <v>3136</v>
      </c>
    </row>
    <row r="9" spans="1:14">
      <c r="A9" s="3559" t="s">
        <v>3151</v>
      </c>
      <c r="B9" s="3559" t="s">
        <v>3130</v>
      </c>
      <c r="C9" s="3559" t="s">
        <v>3131</v>
      </c>
      <c r="D9" s="3559" t="s">
        <v>3132</v>
      </c>
      <c r="E9" s="3559" t="s">
        <v>3152</v>
      </c>
      <c r="F9" s="3559">
        <v>4019.3</v>
      </c>
      <c r="G9" s="3559">
        <v>2009.65</v>
      </c>
      <c r="H9" s="3559" t="s">
        <v>3133</v>
      </c>
      <c r="I9" s="3559" t="s">
        <v>3153</v>
      </c>
      <c r="J9" s="3559" t="s">
        <v>3154</v>
      </c>
      <c r="K9" s="3559">
        <v>1295</v>
      </c>
      <c r="L9" s="3559">
        <v>6443.9</v>
      </c>
      <c r="M9" s="3559">
        <v>3.6</v>
      </c>
      <c r="N9" s="3559" t="s">
        <v>3136</v>
      </c>
    </row>
    <row r="10" spans="1:14">
      <c r="A10" s="3559" t="s">
        <v>3155</v>
      </c>
      <c r="B10" s="3559" t="s">
        <v>3130</v>
      </c>
      <c r="C10" s="3559" t="s">
        <v>3131</v>
      </c>
      <c r="D10" s="3559" t="s">
        <v>3156</v>
      </c>
      <c r="E10" s="3559" t="s">
        <v>3152</v>
      </c>
      <c r="F10" s="3559">
        <v>41473.1</v>
      </c>
      <c r="G10" s="3559">
        <v>41473.1</v>
      </c>
      <c r="H10" s="3559" t="s">
        <v>3157</v>
      </c>
      <c r="I10" s="3559" t="s">
        <v>3158</v>
      </c>
      <c r="J10" s="3559" t="s">
        <v>3159</v>
      </c>
      <c r="K10" s="3559">
        <v>19193.75</v>
      </c>
      <c r="L10" s="3559">
        <v>4628</v>
      </c>
      <c r="M10" s="3559">
        <v>1.71</v>
      </c>
      <c r="N10" s="3559" t="s">
        <v>3136</v>
      </c>
    </row>
    <row r="11" spans="1:14">
      <c r="A11" s="3559" t="s">
        <v>3160</v>
      </c>
      <c r="B11" s="3559" t="s">
        <v>3130</v>
      </c>
      <c r="C11" s="3559" t="s">
        <v>3131</v>
      </c>
      <c r="D11" s="3559" t="s">
        <v>3156</v>
      </c>
      <c r="E11" s="3559" t="s">
        <v>3152</v>
      </c>
      <c r="F11" s="3559">
        <v>37957</v>
      </c>
      <c r="G11" s="3559">
        <v>37957</v>
      </c>
      <c r="H11" s="3559" t="s">
        <v>3157</v>
      </c>
      <c r="I11" s="3559" t="s">
        <v>3158</v>
      </c>
      <c r="J11" s="3559" t="s">
        <v>3159</v>
      </c>
      <c r="K11" s="3559">
        <v>17999.2</v>
      </c>
      <c r="L11" s="3559">
        <v>4742</v>
      </c>
      <c r="M11" s="3559">
        <v>1.76</v>
      </c>
      <c r="N11" s="3559" t="s">
        <v>3136</v>
      </c>
    </row>
    <row r="12" spans="1:14">
      <c r="A12" s="3559" t="s">
        <v>3161</v>
      </c>
      <c r="B12" s="3559" t="s">
        <v>3130</v>
      </c>
      <c r="C12" s="3559" t="s">
        <v>3131</v>
      </c>
      <c r="D12" s="3559" t="s">
        <v>3132</v>
      </c>
      <c r="E12" s="3559" t="s">
        <v>3152</v>
      </c>
      <c r="F12" s="3559">
        <v>1909</v>
      </c>
      <c r="G12" s="3559">
        <v>763.6</v>
      </c>
      <c r="H12" s="3559" t="s">
        <v>3162</v>
      </c>
      <c r="I12" s="3559" t="s">
        <v>3163</v>
      </c>
      <c r="J12" s="3559" t="s">
        <v>3135</v>
      </c>
      <c r="K12" s="3559">
        <v>1625</v>
      </c>
      <c r="L12" s="3559">
        <v>21280.77</v>
      </c>
      <c r="M12" s="3559">
        <v>3.5</v>
      </c>
      <c r="N12" s="3559" t="s">
        <v>3136</v>
      </c>
    </row>
    <row r="15" spans="1:14" ht="13.5">
      <c r="C15" s="3561" t="s">
        <v>3164</v>
      </c>
      <c r="D15" s="3562"/>
      <c r="E15" s="3562"/>
      <c r="F15" s="3562"/>
    </row>
    <row r="16" spans="1:14" ht="15" thickBot="1">
      <c r="C16" s="3563" t="s">
        <v>3165</v>
      </c>
      <c r="D16" s="3564" t="s">
        <v>3166</v>
      </c>
      <c r="E16" s="3564" t="s">
        <v>3167</v>
      </c>
      <c r="F16" s="3564" t="s">
        <v>3168</v>
      </c>
    </row>
    <row r="17" spans="3:6" ht="13.5">
      <c r="C17" s="3565">
        <v>2017.1</v>
      </c>
      <c r="D17" s="3566">
        <v>9308</v>
      </c>
      <c r="E17" s="3566">
        <v>0.92</v>
      </c>
      <c r="F17" s="3567"/>
    </row>
    <row r="18" spans="3:6" ht="13.5">
      <c r="C18" s="3568">
        <v>2017.2</v>
      </c>
      <c r="D18" s="3569">
        <v>9409</v>
      </c>
      <c r="E18" s="3569">
        <v>1.0900000000000001</v>
      </c>
      <c r="F18" s="3570"/>
    </row>
    <row r="19" spans="3:6" ht="13.5">
      <c r="C19" s="3565">
        <v>2017.3</v>
      </c>
      <c r="D19" s="3566">
        <v>9525</v>
      </c>
      <c r="E19" s="3566">
        <v>1.23</v>
      </c>
      <c r="F19" s="3567"/>
    </row>
    <row r="20" spans="3:6" ht="13.5">
      <c r="C20" s="3568">
        <v>2017.4</v>
      </c>
      <c r="D20" s="3569">
        <v>9636</v>
      </c>
      <c r="E20" s="3569">
        <v>1.17</v>
      </c>
      <c r="F20" s="3570"/>
    </row>
    <row r="21" spans="3:6" ht="14.25">
      <c r="C21" s="3571">
        <v>2018.1</v>
      </c>
      <c r="D21" s="3572">
        <v>9701</v>
      </c>
      <c r="E21" s="3572">
        <v>0.67</v>
      </c>
      <c r="F21" s="3562"/>
    </row>
  </sheetData>
  <phoneticPr fontId="233" type="noConversion"/>
  <pageMargins left="0.75" right="0.75" top="1" bottom="1" header="0.5" footer="0.5"/>
  <pageSetup orientation="portrait" horizontalDpi="300" verticalDpi="300"/>
  <headerFooter alignWithMargins="0"/>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outlinePr summaryBelow="0" summaryRight="0"/>
    <pageSetUpPr autoPageBreaks="0" fitToPage="1"/>
  </sheetPr>
  <dimension ref="A1:R28"/>
  <sheetViews>
    <sheetView topLeftCell="H1" workbookViewId="0">
      <selection activeCell="J25" sqref="J25:M25"/>
    </sheetView>
  </sheetViews>
  <sheetFormatPr defaultColWidth="8.875" defaultRowHeight="12.75"/>
  <cols>
    <col min="1" max="1" width="29.375" style="3559" customWidth="1"/>
    <col min="2" max="2" width="6.125" style="3559" hidden="1" customWidth="1"/>
    <col min="3" max="3" width="13.875" style="3559" hidden="1" customWidth="1"/>
    <col min="4" max="4" width="4.625" style="3559" hidden="1" customWidth="1"/>
    <col min="5" max="5" width="29.375" style="3559" hidden="1" customWidth="1"/>
    <col min="6" max="6" width="9.625" style="3559" customWidth="1"/>
    <col min="7" max="7" width="17.875" style="3559" customWidth="1"/>
    <col min="8" max="9" width="13.875" style="3559" customWidth="1"/>
    <col min="10" max="10" width="9.625" style="3559" customWidth="1"/>
    <col min="11" max="11" width="9" style="3559" customWidth="1"/>
    <col min="12" max="12" width="20.125" style="3559" customWidth="1"/>
    <col min="13" max="13" width="29.375" style="3559" customWidth="1"/>
    <col min="14" max="14" width="10.625" style="3559" customWidth="1"/>
    <col min="15" max="15" width="16" style="3559" customWidth="1"/>
    <col min="16" max="16" width="14.375" style="3559" customWidth="1"/>
    <col min="17" max="17" width="6.125" style="3559" customWidth="1"/>
    <col min="18" max="18" width="7.875" style="3559" customWidth="1"/>
    <col min="19" max="256" width="8.875" style="3559"/>
    <col min="257" max="257" width="29.375" style="3559" customWidth="1"/>
    <col min="258" max="258" width="6.125" style="3559" customWidth="1"/>
    <col min="259" max="259" width="13.875" style="3559" customWidth="1"/>
    <col min="260" max="260" width="4.625" style="3559" customWidth="1"/>
    <col min="261" max="261" width="29.375" style="3559" customWidth="1"/>
    <col min="262" max="262" width="9.625" style="3559" customWidth="1"/>
    <col min="263" max="263" width="17.875" style="3559" customWidth="1"/>
    <col min="264" max="265" width="13.875" style="3559" customWidth="1"/>
    <col min="266" max="266" width="9.625" style="3559" customWidth="1"/>
    <col min="267" max="267" width="9" style="3559" customWidth="1"/>
    <col min="268" max="268" width="20.125" style="3559" customWidth="1"/>
    <col min="269" max="269" width="29.375" style="3559" customWidth="1"/>
    <col min="270" max="270" width="10.625" style="3559" customWidth="1"/>
    <col min="271" max="271" width="16" style="3559" customWidth="1"/>
    <col min="272" max="272" width="14.375" style="3559" customWidth="1"/>
    <col min="273" max="273" width="6.125" style="3559" customWidth="1"/>
    <col min="274" max="274" width="7.875" style="3559" customWidth="1"/>
    <col min="275" max="512" width="8.875" style="3559"/>
    <col min="513" max="513" width="29.375" style="3559" customWidth="1"/>
    <col min="514" max="514" width="6.125" style="3559" customWidth="1"/>
    <col min="515" max="515" width="13.875" style="3559" customWidth="1"/>
    <col min="516" max="516" width="4.625" style="3559" customWidth="1"/>
    <col min="517" max="517" width="29.375" style="3559" customWidth="1"/>
    <col min="518" max="518" width="9.625" style="3559" customWidth="1"/>
    <col min="519" max="519" width="17.875" style="3559" customWidth="1"/>
    <col min="520" max="521" width="13.875" style="3559" customWidth="1"/>
    <col min="522" max="522" width="9.625" style="3559" customWidth="1"/>
    <col min="523" max="523" width="9" style="3559" customWidth="1"/>
    <col min="524" max="524" width="20.125" style="3559" customWidth="1"/>
    <col min="525" max="525" width="29.375" style="3559" customWidth="1"/>
    <col min="526" max="526" width="10.625" style="3559" customWidth="1"/>
    <col min="527" max="527" width="16" style="3559" customWidth="1"/>
    <col min="528" max="528" width="14.375" style="3559" customWidth="1"/>
    <col min="529" max="529" width="6.125" style="3559" customWidth="1"/>
    <col min="530" max="530" width="7.875" style="3559" customWidth="1"/>
    <col min="531" max="768" width="8.875" style="3559"/>
    <col min="769" max="769" width="29.375" style="3559" customWidth="1"/>
    <col min="770" max="770" width="6.125" style="3559" customWidth="1"/>
    <col min="771" max="771" width="13.875" style="3559" customWidth="1"/>
    <col min="772" max="772" width="4.625" style="3559" customWidth="1"/>
    <col min="773" max="773" width="29.375" style="3559" customWidth="1"/>
    <col min="774" max="774" width="9.625" style="3559" customWidth="1"/>
    <col min="775" max="775" width="17.875" style="3559" customWidth="1"/>
    <col min="776" max="777" width="13.875" style="3559" customWidth="1"/>
    <col min="778" max="778" width="9.625" style="3559" customWidth="1"/>
    <col min="779" max="779" width="9" style="3559" customWidth="1"/>
    <col min="780" max="780" width="20.125" style="3559" customWidth="1"/>
    <col min="781" max="781" width="29.375" style="3559" customWidth="1"/>
    <col min="782" max="782" width="10.625" style="3559" customWidth="1"/>
    <col min="783" max="783" width="16" style="3559" customWidth="1"/>
    <col min="784" max="784" width="14.375" style="3559" customWidth="1"/>
    <col min="785" max="785" width="6.125" style="3559" customWidth="1"/>
    <col min="786" max="786" width="7.875" style="3559" customWidth="1"/>
    <col min="787" max="1024" width="8.875" style="3559"/>
    <col min="1025" max="1025" width="29.375" style="3559" customWidth="1"/>
    <col min="1026" max="1026" width="6.125" style="3559" customWidth="1"/>
    <col min="1027" max="1027" width="13.875" style="3559" customWidth="1"/>
    <col min="1028" max="1028" width="4.625" style="3559" customWidth="1"/>
    <col min="1029" max="1029" width="29.375" style="3559" customWidth="1"/>
    <col min="1030" max="1030" width="9.625" style="3559" customWidth="1"/>
    <col min="1031" max="1031" width="17.875" style="3559" customWidth="1"/>
    <col min="1032" max="1033" width="13.875" style="3559" customWidth="1"/>
    <col min="1034" max="1034" width="9.625" style="3559" customWidth="1"/>
    <col min="1035" max="1035" width="9" style="3559" customWidth="1"/>
    <col min="1036" max="1036" width="20.125" style="3559" customWidth="1"/>
    <col min="1037" max="1037" width="29.375" style="3559" customWidth="1"/>
    <col min="1038" max="1038" width="10.625" style="3559" customWidth="1"/>
    <col min="1039" max="1039" width="16" style="3559" customWidth="1"/>
    <col min="1040" max="1040" width="14.375" style="3559" customWidth="1"/>
    <col min="1041" max="1041" width="6.125" style="3559" customWidth="1"/>
    <col min="1042" max="1042" width="7.875" style="3559" customWidth="1"/>
    <col min="1043" max="1280" width="8.875" style="3559"/>
    <col min="1281" max="1281" width="29.375" style="3559" customWidth="1"/>
    <col min="1282" max="1282" width="6.125" style="3559" customWidth="1"/>
    <col min="1283" max="1283" width="13.875" style="3559" customWidth="1"/>
    <col min="1284" max="1284" width="4.625" style="3559" customWidth="1"/>
    <col min="1285" max="1285" width="29.375" style="3559" customWidth="1"/>
    <col min="1286" max="1286" width="9.625" style="3559" customWidth="1"/>
    <col min="1287" max="1287" width="17.875" style="3559" customWidth="1"/>
    <col min="1288" max="1289" width="13.875" style="3559" customWidth="1"/>
    <col min="1290" max="1290" width="9.625" style="3559" customWidth="1"/>
    <col min="1291" max="1291" width="9" style="3559" customWidth="1"/>
    <col min="1292" max="1292" width="20.125" style="3559" customWidth="1"/>
    <col min="1293" max="1293" width="29.375" style="3559" customWidth="1"/>
    <col min="1294" max="1294" width="10.625" style="3559" customWidth="1"/>
    <col min="1295" max="1295" width="16" style="3559" customWidth="1"/>
    <col min="1296" max="1296" width="14.375" style="3559" customWidth="1"/>
    <col min="1297" max="1297" width="6.125" style="3559" customWidth="1"/>
    <col min="1298" max="1298" width="7.875" style="3559" customWidth="1"/>
    <col min="1299" max="1536" width="8.875" style="3559"/>
    <col min="1537" max="1537" width="29.375" style="3559" customWidth="1"/>
    <col min="1538" max="1538" width="6.125" style="3559" customWidth="1"/>
    <col min="1539" max="1539" width="13.875" style="3559" customWidth="1"/>
    <col min="1540" max="1540" width="4.625" style="3559" customWidth="1"/>
    <col min="1541" max="1541" width="29.375" style="3559" customWidth="1"/>
    <col min="1542" max="1542" width="9.625" style="3559" customWidth="1"/>
    <col min="1543" max="1543" width="17.875" style="3559" customWidth="1"/>
    <col min="1544" max="1545" width="13.875" style="3559" customWidth="1"/>
    <col min="1546" max="1546" width="9.625" style="3559" customWidth="1"/>
    <col min="1547" max="1547" width="9" style="3559" customWidth="1"/>
    <col min="1548" max="1548" width="20.125" style="3559" customWidth="1"/>
    <col min="1549" max="1549" width="29.375" style="3559" customWidth="1"/>
    <col min="1550" max="1550" width="10.625" style="3559" customWidth="1"/>
    <col min="1551" max="1551" width="16" style="3559" customWidth="1"/>
    <col min="1552" max="1552" width="14.375" style="3559" customWidth="1"/>
    <col min="1553" max="1553" width="6.125" style="3559" customWidth="1"/>
    <col min="1554" max="1554" width="7.875" style="3559" customWidth="1"/>
    <col min="1555" max="1792" width="8.875" style="3559"/>
    <col min="1793" max="1793" width="29.375" style="3559" customWidth="1"/>
    <col min="1794" max="1794" width="6.125" style="3559" customWidth="1"/>
    <col min="1795" max="1795" width="13.875" style="3559" customWidth="1"/>
    <col min="1796" max="1796" width="4.625" style="3559" customWidth="1"/>
    <col min="1797" max="1797" width="29.375" style="3559" customWidth="1"/>
    <col min="1798" max="1798" width="9.625" style="3559" customWidth="1"/>
    <col min="1799" max="1799" width="17.875" style="3559" customWidth="1"/>
    <col min="1800" max="1801" width="13.875" style="3559" customWidth="1"/>
    <col min="1802" max="1802" width="9.625" style="3559" customWidth="1"/>
    <col min="1803" max="1803" width="9" style="3559" customWidth="1"/>
    <col min="1804" max="1804" width="20.125" style="3559" customWidth="1"/>
    <col min="1805" max="1805" width="29.375" style="3559" customWidth="1"/>
    <col min="1806" max="1806" width="10.625" style="3559" customWidth="1"/>
    <col min="1807" max="1807" width="16" style="3559" customWidth="1"/>
    <col min="1808" max="1808" width="14.375" style="3559" customWidth="1"/>
    <col min="1809" max="1809" width="6.125" style="3559" customWidth="1"/>
    <col min="1810" max="1810" width="7.875" style="3559" customWidth="1"/>
    <col min="1811" max="2048" width="8.875" style="3559"/>
    <col min="2049" max="2049" width="29.375" style="3559" customWidth="1"/>
    <col min="2050" max="2050" width="6.125" style="3559" customWidth="1"/>
    <col min="2051" max="2051" width="13.875" style="3559" customWidth="1"/>
    <col min="2052" max="2052" width="4.625" style="3559" customWidth="1"/>
    <col min="2053" max="2053" width="29.375" style="3559" customWidth="1"/>
    <col min="2054" max="2054" width="9.625" style="3559" customWidth="1"/>
    <col min="2055" max="2055" width="17.875" style="3559" customWidth="1"/>
    <col min="2056" max="2057" width="13.875" style="3559" customWidth="1"/>
    <col min="2058" max="2058" width="9.625" style="3559" customWidth="1"/>
    <col min="2059" max="2059" width="9" style="3559" customWidth="1"/>
    <col min="2060" max="2060" width="20.125" style="3559" customWidth="1"/>
    <col min="2061" max="2061" width="29.375" style="3559" customWidth="1"/>
    <col min="2062" max="2062" width="10.625" style="3559" customWidth="1"/>
    <col min="2063" max="2063" width="16" style="3559" customWidth="1"/>
    <col min="2064" max="2064" width="14.375" style="3559" customWidth="1"/>
    <col min="2065" max="2065" width="6.125" style="3559" customWidth="1"/>
    <col min="2066" max="2066" width="7.875" style="3559" customWidth="1"/>
    <col min="2067" max="2304" width="8.875" style="3559"/>
    <col min="2305" max="2305" width="29.375" style="3559" customWidth="1"/>
    <col min="2306" max="2306" width="6.125" style="3559" customWidth="1"/>
    <col min="2307" max="2307" width="13.875" style="3559" customWidth="1"/>
    <col min="2308" max="2308" width="4.625" style="3559" customWidth="1"/>
    <col min="2309" max="2309" width="29.375" style="3559" customWidth="1"/>
    <col min="2310" max="2310" width="9.625" style="3559" customWidth="1"/>
    <col min="2311" max="2311" width="17.875" style="3559" customWidth="1"/>
    <col min="2312" max="2313" width="13.875" style="3559" customWidth="1"/>
    <col min="2314" max="2314" width="9.625" style="3559" customWidth="1"/>
    <col min="2315" max="2315" width="9" style="3559" customWidth="1"/>
    <col min="2316" max="2316" width="20.125" style="3559" customWidth="1"/>
    <col min="2317" max="2317" width="29.375" style="3559" customWidth="1"/>
    <col min="2318" max="2318" width="10.625" style="3559" customWidth="1"/>
    <col min="2319" max="2319" width="16" style="3559" customWidth="1"/>
    <col min="2320" max="2320" width="14.375" style="3559" customWidth="1"/>
    <col min="2321" max="2321" width="6.125" style="3559" customWidth="1"/>
    <col min="2322" max="2322" width="7.875" style="3559" customWidth="1"/>
    <col min="2323" max="2560" width="8.875" style="3559"/>
    <col min="2561" max="2561" width="29.375" style="3559" customWidth="1"/>
    <col min="2562" max="2562" width="6.125" style="3559" customWidth="1"/>
    <col min="2563" max="2563" width="13.875" style="3559" customWidth="1"/>
    <col min="2564" max="2564" width="4.625" style="3559" customWidth="1"/>
    <col min="2565" max="2565" width="29.375" style="3559" customWidth="1"/>
    <col min="2566" max="2566" width="9.625" style="3559" customWidth="1"/>
    <col min="2567" max="2567" width="17.875" style="3559" customWidth="1"/>
    <col min="2568" max="2569" width="13.875" style="3559" customWidth="1"/>
    <col min="2570" max="2570" width="9.625" style="3559" customWidth="1"/>
    <col min="2571" max="2571" width="9" style="3559" customWidth="1"/>
    <col min="2572" max="2572" width="20.125" style="3559" customWidth="1"/>
    <col min="2573" max="2573" width="29.375" style="3559" customWidth="1"/>
    <col min="2574" max="2574" width="10.625" style="3559" customWidth="1"/>
    <col min="2575" max="2575" width="16" style="3559" customWidth="1"/>
    <col min="2576" max="2576" width="14.375" style="3559" customWidth="1"/>
    <col min="2577" max="2577" width="6.125" style="3559" customWidth="1"/>
    <col min="2578" max="2578" width="7.875" style="3559" customWidth="1"/>
    <col min="2579" max="2816" width="8.875" style="3559"/>
    <col min="2817" max="2817" width="29.375" style="3559" customWidth="1"/>
    <col min="2818" max="2818" width="6.125" style="3559" customWidth="1"/>
    <col min="2819" max="2819" width="13.875" style="3559" customWidth="1"/>
    <col min="2820" max="2820" width="4.625" style="3559" customWidth="1"/>
    <col min="2821" max="2821" width="29.375" style="3559" customWidth="1"/>
    <col min="2822" max="2822" width="9.625" style="3559" customWidth="1"/>
    <col min="2823" max="2823" width="17.875" style="3559" customWidth="1"/>
    <col min="2824" max="2825" width="13.875" style="3559" customWidth="1"/>
    <col min="2826" max="2826" width="9.625" style="3559" customWidth="1"/>
    <col min="2827" max="2827" width="9" style="3559" customWidth="1"/>
    <col min="2828" max="2828" width="20.125" style="3559" customWidth="1"/>
    <col min="2829" max="2829" width="29.375" style="3559" customWidth="1"/>
    <col min="2830" max="2830" width="10.625" style="3559" customWidth="1"/>
    <col min="2831" max="2831" width="16" style="3559" customWidth="1"/>
    <col min="2832" max="2832" width="14.375" style="3559" customWidth="1"/>
    <col min="2833" max="2833" width="6.125" style="3559" customWidth="1"/>
    <col min="2834" max="2834" width="7.875" style="3559" customWidth="1"/>
    <col min="2835" max="3072" width="8.875" style="3559"/>
    <col min="3073" max="3073" width="29.375" style="3559" customWidth="1"/>
    <col min="3074" max="3074" width="6.125" style="3559" customWidth="1"/>
    <col min="3075" max="3075" width="13.875" style="3559" customWidth="1"/>
    <col min="3076" max="3076" width="4.625" style="3559" customWidth="1"/>
    <col min="3077" max="3077" width="29.375" style="3559" customWidth="1"/>
    <col min="3078" max="3078" width="9.625" style="3559" customWidth="1"/>
    <col min="3079" max="3079" width="17.875" style="3559" customWidth="1"/>
    <col min="3080" max="3081" width="13.875" style="3559" customWidth="1"/>
    <col min="3082" max="3082" width="9.625" style="3559" customWidth="1"/>
    <col min="3083" max="3083" width="9" style="3559" customWidth="1"/>
    <col min="3084" max="3084" width="20.125" style="3559" customWidth="1"/>
    <col min="3085" max="3085" width="29.375" style="3559" customWidth="1"/>
    <col min="3086" max="3086" width="10.625" style="3559" customWidth="1"/>
    <col min="3087" max="3087" width="16" style="3559" customWidth="1"/>
    <col min="3088" max="3088" width="14.375" style="3559" customWidth="1"/>
    <col min="3089" max="3089" width="6.125" style="3559" customWidth="1"/>
    <col min="3090" max="3090" width="7.875" style="3559" customWidth="1"/>
    <col min="3091" max="3328" width="8.875" style="3559"/>
    <col min="3329" max="3329" width="29.375" style="3559" customWidth="1"/>
    <col min="3330" max="3330" width="6.125" style="3559" customWidth="1"/>
    <col min="3331" max="3331" width="13.875" style="3559" customWidth="1"/>
    <col min="3332" max="3332" width="4.625" style="3559" customWidth="1"/>
    <col min="3333" max="3333" width="29.375" style="3559" customWidth="1"/>
    <col min="3334" max="3334" width="9.625" style="3559" customWidth="1"/>
    <col min="3335" max="3335" width="17.875" style="3559" customWidth="1"/>
    <col min="3336" max="3337" width="13.875" style="3559" customWidth="1"/>
    <col min="3338" max="3338" width="9.625" style="3559" customWidth="1"/>
    <col min="3339" max="3339" width="9" style="3559" customWidth="1"/>
    <col min="3340" max="3340" width="20.125" style="3559" customWidth="1"/>
    <col min="3341" max="3341" width="29.375" style="3559" customWidth="1"/>
    <col min="3342" max="3342" width="10.625" style="3559" customWidth="1"/>
    <col min="3343" max="3343" width="16" style="3559" customWidth="1"/>
    <col min="3344" max="3344" width="14.375" style="3559" customWidth="1"/>
    <col min="3345" max="3345" width="6.125" style="3559" customWidth="1"/>
    <col min="3346" max="3346" width="7.875" style="3559" customWidth="1"/>
    <col min="3347" max="3584" width="8.875" style="3559"/>
    <col min="3585" max="3585" width="29.375" style="3559" customWidth="1"/>
    <col min="3586" max="3586" width="6.125" style="3559" customWidth="1"/>
    <col min="3587" max="3587" width="13.875" style="3559" customWidth="1"/>
    <col min="3588" max="3588" width="4.625" style="3559" customWidth="1"/>
    <col min="3589" max="3589" width="29.375" style="3559" customWidth="1"/>
    <col min="3590" max="3590" width="9.625" style="3559" customWidth="1"/>
    <col min="3591" max="3591" width="17.875" style="3559" customWidth="1"/>
    <col min="3592" max="3593" width="13.875" style="3559" customWidth="1"/>
    <col min="3594" max="3594" width="9.625" style="3559" customWidth="1"/>
    <col min="3595" max="3595" width="9" style="3559" customWidth="1"/>
    <col min="3596" max="3596" width="20.125" style="3559" customWidth="1"/>
    <col min="3597" max="3597" width="29.375" style="3559" customWidth="1"/>
    <col min="3598" max="3598" width="10.625" style="3559" customWidth="1"/>
    <col min="3599" max="3599" width="16" style="3559" customWidth="1"/>
    <col min="3600" max="3600" width="14.375" style="3559" customWidth="1"/>
    <col min="3601" max="3601" width="6.125" style="3559" customWidth="1"/>
    <col min="3602" max="3602" width="7.875" style="3559" customWidth="1"/>
    <col min="3603" max="3840" width="8.875" style="3559"/>
    <col min="3841" max="3841" width="29.375" style="3559" customWidth="1"/>
    <col min="3842" max="3842" width="6.125" style="3559" customWidth="1"/>
    <col min="3843" max="3843" width="13.875" style="3559" customWidth="1"/>
    <col min="3844" max="3844" width="4.625" style="3559" customWidth="1"/>
    <col min="3845" max="3845" width="29.375" style="3559" customWidth="1"/>
    <col min="3846" max="3846" width="9.625" style="3559" customWidth="1"/>
    <col min="3847" max="3847" width="17.875" style="3559" customWidth="1"/>
    <col min="3848" max="3849" width="13.875" style="3559" customWidth="1"/>
    <col min="3850" max="3850" width="9.625" style="3559" customWidth="1"/>
    <col min="3851" max="3851" width="9" style="3559" customWidth="1"/>
    <col min="3852" max="3852" width="20.125" style="3559" customWidth="1"/>
    <col min="3853" max="3853" width="29.375" style="3559" customWidth="1"/>
    <col min="3854" max="3854" width="10.625" style="3559" customWidth="1"/>
    <col min="3855" max="3855" width="16" style="3559" customWidth="1"/>
    <col min="3856" max="3856" width="14.375" style="3559" customWidth="1"/>
    <col min="3857" max="3857" width="6.125" style="3559" customWidth="1"/>
    <col min="3858" max="3858" width="7.875" style="3559" customWidth="1"/>
    <col min="3859" max="4096" width="8.875" style="3559"/>
    <col min="4097" max="4097" width="29.375" style="3559" customWidth="1"/>
    <col min="4098" max="4098" width="6.125" style="3559" customWidth="1"/>
    <col min="4099" max="4099" width="13.875" style="3559" customWidth="1"/>
    <col min="4100" max="4100" width="4.625" style="3559" customWidth="1"/>
    <col min="4101" max="4101" width="29.375" style="3559" customWidth="1"/>
    <col min="4102" max="4102" width="9.625" style="3559" customWidth="1"/>
    <col min="4103" max="4103" width="17.875" style="3559" customWidth="1"/>
    <col min="4104" max="4105" width="13.875" style="3559" customWidth="1"/>
    <col min="4106" max="4106" width="9.625" style="3559" customWidth="1"/>
    <col min="4107" max="4107" width="9" style="3559" customWidth="1"/>
    <col min="4108" max="4108" width="20.125" style="3559" customWidth="1"/>
    <col min="4109" max="4109" width="29.375" style="3559" customWidth="1"/>
    <col min="4110" max="4110" width="10.625" style="3559" customWidth="1"/>
    <col min="4111" max="4111" width="16" style="3559" customWidth="1"/>
    <col min="4112" max="4112" width="14.375" style="3559" customWidth="1"/>
    <col min="4113" max="4113" width="6.125" style="3559" customWidth="1"/>
    <col min="4114" max="4114" width="7.875" style="3559" customWidth="1"/>
    <col min="4115" max="4352" width="8.875" style="3559"/>
    <col min="4353" max="4353" width="29.375" style="3559" customWidth="1"/>
    <col min="4354" max="4354" width="6.125" style="3559" customWidth="1"/>
    <col min="4355" max="4355" width="13.875" style="3559" customWidth="1"/>
    <col min="4356" max="4356" width="4.625" style="3559" customWidth="1"/>
    <col min="4357" max="4357" width="29.375" style="3559" customWidth="1"/>
    <col min="4358" max="4358" width="9.625" style="3559" customWidth="1"/>
    <col min="4359" max="4359" width="17.875" style="3559" customWidth="1"/>
    <col min="4360" max="4361" width="13.875" style="3559" customWidth="1"/>
    <col min="4362" max="4362" width="9.625" style="3559" customWidth="1"/>
    <col min="4363" max="4363" width="9" style="3559" customWidth="1"/>
    <col min="4364" max="4364" width="20.125" style="3559" customWidth="1"/>
    <col min="4365" max="4365" width="29.375" style="3559" customWidth="1"/>
    <col min="4366" max="4366" width="10.625" style="3559" customWidth="1"/>
    <col min="4367" max="4367" width="16" style="3559" customWidth="1"/>
    <col min="4368" max="4368" width="14.375" style="3559" customWidth="1"/>
    <col min="4369" max="4369" width="6.125" style="3559" customWidth="1"/>
    <col min="4370" max="4370" width="7.875" style="3559" customWidth="1"/>
    <col min="4371" max="4608" width="8.875" style="3559"/>
    <col min="4609" max="4609" width="29.375" style="3559" customWidth="1"/>
    <col min="4610" max="4610" width="6.125" style="3559" customWidth="1"/>
    <col min="4611" max="4611" width="13.875" style="3559" customWidth="1"/>
    <col min="4612" max="4612" width="4.625" style="3559" customWidth="1"/>
    <col min="4613" max="4613" width="29.375" style="3559" customWidth="1"/>
    <col min="4614" max="4614" width="9.625" style="3559" customWidth="1"/>
    <col min="4615" max="4615" width="17.875" style="3559" customWidth="1"/>
    <col min="4616" max="4617" width="13.875" style="3559" customWidth="1"/>
    <col min="4618" max="4618" width="9.625" style="3559" customWidth="1"/>
    <col min="4619" max="4619" width="9" style="3559" customWidth="1"/>
    <col min="4620" max="4620" width="20.125" style="3559" customWidth="1"/>
    <col min="4621" max="4621" width="29.375" style="3559" customWidth="1"/>
    <col min="4622" max="4622" width="10.625" style="3559" customWidth="1"/>
    <col min="4623" max="4623" width="16" style="3559" customWidth="1"/>
    <col min="4624" max="4624" width="14.375" style="3559" customWidth="1"/>
    <col min="4625" max="4625" width="6.125" style="3559" customWidth="1"/>
    <col min="4626" max="4626" width="7.875" style="3559" customWidth="1"/>
    <col min="4627" max="4864" width="8.875" style="3559"/>
    <col min="4865" max="4865" width="29.375" style="3559" customWidth="1"/>
    <col min="4866" max="4866" width="6.125" style="3559" customWidth="1"/>
    <col min="4867" max="4867" width="13.875" style="3559" customWidth="1"/>
    <col min="4868" max="4868" width="4.625" style="3559" customWidth="1"/>
    <col min="4869" max="4869" width="29.375" style="3559" customWidth="1"/>
    <col min="4870" max="4870" width="9.625" style="3559" customWidth="1"/>
    <col min="4871" max="4871" width="17.875" style="3559" customWidth="1"/>
    <col min="4872" max="4873" width="13.875" style="3559" customWidth="1"/>
    <col min="4874" max="4874" width="9.625" style="3559" customWidth="1"/>
    <col min="4875" max="4875" width="9" style="3559" customWidth="1"/>
    <col min="4876" max="4876" width="20.125" style="3559" customWidth="1"/>
    <col min="4877" max="4877" width="29.375" style="3559" customWidth="1"/>
    <col min="4878" max="4878" width="10.625" style="3559" customWidth="1"/>
    <col min="4879" max="4879" width="16" style="3559" customWidth="1"/>
    <col min="4880" max="4880" width="14.375" style="3559" customWidth="1"/>
    <col min="4881" max="4881" width="6.125" style="3559" customWidth="1"/>
    <col min="4882" max="4882" width="7.875" style="3559" customWidth="1"/>
    <col min="4883" max="5120" width="8.875" style="3559"/>
    <col min="5121" max="5121" width="29.375" style="3559" customWidth="1"/>
    <col min="5122" max="5122" width="6.125" style="3559" customWidth="1"/>
    <col min="5123" max="5123" width="13.875" style="3559" customWidth="1"/>
    <col min="5124" max="5124" width="4.625" style="3559" customWidth="1"/>
    <col min="5125" max="5125" width="29.375" style="3559" customWidth="1"/>
    <col min="5126" max="5126" width="9.625" style="3559" customWidth="1"/>
    <col min="5127" max="5127" width="17.875" style="3559" customWidth="1"/>
    <col min="5128" max="5129" width="13.875" style="3559" customWidth="1"/>
    <col min="5130" max="5130" width="9.625" style="3559" customWidth="1"/>
    <col min="5131" max="5131" width="9" style="3559" customWidth="1"/>
    <col min="5132" max="5132" width="20.125" style="3559" customWidth="1"/>
    <col min="5133" max="5133" width="29.375" style="3559" customWidth="1"/>
    <col min="5134" max="5134" width="10.625" style="3559" customWidth="1"/>
    <col min="5135" max="5135" width="16" style="3559" customWidth="1"/>
    <col min="5136" max="5136" width="14.375" style="3559" customWidth="1"/>
    <col min="5137" max="5137" width="6.125" style="3559" customWidth="1"/>
    <col min="5138" max="5138" width="7.875" style="3559" customWidth="1"/>
    <col min="5139" max="5376" width="8.875" style="3559"/>
    <col min="5377" max="5377" width="29.375" style="3559" customWidth="1"/>
    <col min="5378" max="5378" width="6.125" style="3559" customWidth="1"/>
    <col min="5379" max="5379" width="13.875" style="3559" customWidth="1"/>
    <col min="5380" max="5380" width="4.625" style="3559" customWidth="1"/>
    <col min="5381" max="5381" width="29.375" style="3559" customWidth="1"/>
    <col min="5382" max="5382" width="9.625" style="3559" customWidth="1"/>
    <col min="5383" max="5383" width="17.875" style="3559" customWidth="1"/>
    <col min="5384" max="5385" width="13.875" style="3559" customWidth="1"/>
    <col min="5386" max="5386" width="9.625" style="3559" customWidth="1"/>
    <col min="5387" max="5387" width="9" style="3559" customWidth="1"/>
    <col min="5388" max="5388" width="20.125" style="3559" customWidth="1"/>
    <col min="5389" max="5389" width="29.375" style="3559" customWidth="1"/>
    <col min="5390" max="5390" width="10.625" style="3559" customWidth="1"/>
    <col min="5391" max="5391" width="16" style="3559" customWidth="1"/>
    <col min="5392" max="5392" width="14.375" style="3559" customWidth="1"/>
    <col min="5393" max="5393" width="6.125" style="3559" customWidth="1"/>
    <col min="5394" max="5394" width="7.875" style="3559" customWidth="1"/>
    <col min="5395" max="5632" width="8.875" style="3559"/>
    <col min="5633" max="5633" width="29.375" style="3559" customWidth="1"/>
    <col min="5634" max="5634" width="6.125" style="3559" customWidth="1"/>
    <col min="5635" max="5635" width="13.875" style="3559" customWidth="1"/>
    <col min="5636" max="5636" width="4.625" style="3559" customWidth="1"/>
    <col min="5637" max="5637" width="29.375" style="3559" customWidth="1"/>
    <col min="5638" max="5638" width="9.625" style="3559" customWidth="1"/>
    <col min="5639" max="5639" width="17.875" style="3559" customWidth="1"/>
    <col min="5640" max="5641" width="13.875" style="3559" customWidth="1"/>
    <col min="5642" max="5642" width="9.625" style="3559" customWidth="1"/>
    <col min="5643" max="5643" width="9" style="3559" customWidth="1"/>
    <col min="5644" max="5644" width="20.125" style="3559" customWidth="1"/>
    <col min="5645" max="5645" width="29.375" style="3559" customWidth="1"/>
    <col min="5646" max="5646" width="10.625" style="3559" customWidth="1"/>
    <col min="5647" max="5647" width="16" style="3559" customWidth="1"/>
    <col min="5648" max="5648" width="14.375" style="3559" customWidth="1"/>
    <col min="5649" max="5649" width="6.125" style="3559" customWidth="1"/>
    <col min="5650" max="5650" width="7.875" style="3559" customWidth="1"/>
    <col min="5651" max="5888" width="8.875" style="3559"/>
    <col min="5889" max="5889" width="29.375" style="3559" customWidth="1"/>
    <col min="5890" max="5890" width="6.125" style="3559" customWidth="1"/>
    <col min="5891" max="5891" width="13.875" style="3559" customWidth="1"/>
    <col min="5892" max="5892" width="4.625" style="3559" customWidth="1"/>
    <col min="5893" max="5893" width="29.375" style="3559" customWidth="1"/>
    <col min="5894" max="5894" width="9.625" style="3559" customWidth="1"/>
    <col min="5895" max="5895" width="17.875" style="3559" customWidth="1"/>
    <col min="5896" max="5897" width="13.875" style="3559" customWidth="1"/>
    <col min="5898" max="5898" width="9.625" style="3559" customWidth="1"/>
    <col min="5899" max="5899" width="9" style="3559" customWidth="1"/>
    <col min="5900" max="5900" width="20.125" style="3559" customWidth="1"/>
    <col min="5901" max="5901" width="29.375" style="3559" customWidth="1"/>
    <col min="5902" max="5902" width="10.625" style="3559" customWidth="1"/>
    <col min="5903" max="5903" width="16" style="3559" customWidth="1"/>
    <col min="5904" max="5904" width="14.375" style="3559" customWidth="1"/>
    <col min="5905" max="5905" width="6.125" style="3559" customWidth="1"/>
    <col min="5906" max="5906" width="7.875" style="3559" customWidth="1"/>
    <col min="5907" max="6144" width="8.875" style="3559"/>
    <col min="6145" max="6145" width="29.375" style="3559" customWidth="1"/>
    <col min="6146" max="6146" width="6.125" style="3559" customWidth="1"/>
    <col min="6147" max="6147" width="13.875" style="3559" customWidth="1"/>
    <col min="6148" max="6148" width="4.625" style="3559" customWidth="1"/>
    <col min="6149" max="6149" width="29.375" style="3559" customWidth="1"/>
    <col min="6150" max="6150" width="9.625" style="3559" customWidth="1"/>
    <col min="6151" max="6151" width="17.875" style="3559" customWidth="1"/>
    <col min="6152" max="6153" width="13.875" style="3559" customWidth="1"/>
    <col min="6154" max="6154" width="9.625" style="3559" customWidth="1"/>
    <col min="6155" max="6155" width="9" style="3559" customWidth="1"/>
    <col min="6156" max="6156" width="20.125" style="3559" customWidth="1"/>
    <col min="6157" max="6157" width="29.375" style="3559" customWidth="1"/>
    <col min="6158" max="6158" width="10.625" style="3559" customWidth="1"/>
    <col min="6159" max="6159" width="16" style="3559" customWidth="1"/>
    <col min="6160" max="6160" width="14.375" style="3559" customWidth="1"/>
    <col min="6161" max="6161" width="6.125" style="3559" customWidth="1"/>
    <col min="6162" max="6162" width="7.875" style="3559" customWidth="1"/>
    <col min="6163" max="6400" width="8.875" style="3559"/>
    <col min="6401" max="6401" width="29.375" style="3559" customWidth="1"/>
    <col min="6402" max="6402" width="6.125" style="3559" customWidth="1"/>
    <col min="6403" max="6403" width="13.875" style="3559" customWidth="1"/>
    <col min="6404" max="6404" width="4.625" style="3559" customWidth="1"/>
    <col min="6405" max="6405" width="29.375" style="3559" customWidth="1"/>
    <col min="6406" max="6406" width="9.625" style="3559" customWidth="1"/>
    <col min="6407" max="6407" width="17.875" style="3559" customWidth="1"/>
    <col min="6408" max="6409" width="13.875" style="3559" customWidth="1"/>
    <col min="6410" max="6410" width="9.625" style="3559" customWidth="1"/>
    <col min="6411" max="6411" width="9" style="3559" customWidth="1"/>
    <col min="6412" max="6412" width="20.125" style="3559" customWidth="1"/>
    <col min="6413" max="6413" width="29.375" style="3559" customWidth="1"/>
    <col min="6414" max="6414" width="10.625" style="3559" customWidth="1"/>
    <col min="6415" max="6415" width="16" style="3559" customWidth="1"/>
    <col min="6416" max="6416" width="14.375" style="3559" customWidth="1"/>
    <col min="6417" max="6417" width="6.125" style="3559" customWidth="1"/>
    <col min="6418" max="6418" width="7.875" style="3559" customWidth="1"/>
    <col min="6419" max="6656" width="8.875" style="3559"/>
    <col min="6657" max="6657" width="29.375" style="3559" customWidth="1"/>
    <col min="6658" max="6658" width="6.125" style="3559" customWidth="1"/>
    <col min="6659" max="6659" width="13.875" style="3559" customWidth="1"/>
    <col min="6660" max="6660" width="4.625" style="3559" customWidth="1"/>
    <col min="6661" max="6661" width="29.375" style="3559" customWidth="1"/>
    <col min="6662" max="6662" width="9.625" style="3559" customWidth="1"/>
    <col min="6663" max="6663" width="17.875" style="3559" customWidth="1"/>
    <col min="6664" max="6665" width="13.875" style="3559" customWidth="1"/>
    <col min="6666" max="6666" width="9.625" style="3559" customWidth="1"/>
    <col min="6667" max="6667" width="9" style="3559" customWidth="1"/>
    <col min="6668" max="6668" width="20.125" style="3559" customWidth="1"/>
    <col min="6669" max="6669" width="29.375" style="3559" customWidth="1"/>
    <col min="6670" max="6670" width="10.625" style="3559" customWidth="1"/>
    <col min="6671" max="6671" width="16" style="3559" customWidth="1"/>
    <col min="6672" max="6672" width="14.375" style="3559" customWidth="1"/>
    <col min="6673" max="6673" width="6.125" style="3559" customWidth="1"/>
    <col min="6674" max="6674" width="7.875" style="3559" customWidth="1"/>
    <col min="6675" max="6912" width="8.875" style="3559"/>
    <col min="6913" max="6913" width="29.375" style="3559" customWidth="1"/>
    <col min="6914" max="6914" width="6.125" style="3559" customWidth="1"/>
    <col min="6915" max="6915" width="13.875" style="3559" customWidth="1"/>
    <col min="6916" max="6916" width="4.625" style="3559" customWidth="1"/>
    <col min="6917" max="6917" width="29.375" style="3559" customWidth="1"/>
    <col min="6918" max="6918" width="9.625" style="3559" customWidth="1"/>
    <col min="6919" max="6919" width="17.875" style="3559" customWidth="1"/>
    <col min="6920" max="6921" width="13.875" style="3559" customWidth="1"/>
    <col min="6922" max="6922" width="9.625" style="3559" customWidth="1"/>
    <col min="6923" max="6923" width="9" style="3559" customWidth="1"/>
    <col min="6924" max="6924" width="20.125" style="3559" customWidth="1"/>
    <col min="6925" max="6925" width="29.375" style="3559" customWidth="1"/>
    <col min="6926" max="6926" width="10.625" style="3559" customWidth="1"/>
    <col min="6927" max="6927" width="16" style="3559" customWidth="1"/>
    <col min="6928" max="6928" width="14.375" style="3559" customWidth="1"/>
    <col min="6929" max="6929" width="6.125" style="3559" customWidth="1"/>
    <col min="6930" max="6930" width="7.875" style="3559" customWidth="1"/>
    <col min="6931" max="7168" width="8.875" style="3559"/>
    <col min="7169" max="7169" width="29.375" style="3559" customWidth="1"/>
    <col min="7170" max="7170" width="6.125" style="3559" customWidth="1"/>
    <col min="7171" max="7171" width="13.875" style="3559" customWidth="1"/>
    <col min="7172" max="7172" width="4.625" style="3559" customWidth="1"/>
    <col min="7173" max="7173" width="29.375" style="3559" customWidth="1"/>
    <col min="7174" max="7174" width="9.625" style="3559" customWidth="1"/>
    <col min="7175" max="7175" width="17.875" style="3559" customWidth="1"/>
    <col min="7176" max="7177" width="13.875" style="3559" customWidth="1"/>
    <col min="7178" max="7178" width="9.625" style="3559" customWidth="1"/>
    <col min="7179" max="7179" width="9" style="3559" customWidth="1"/>
    <col min="7180" max="7180" width="20.125" style="3559" customWidth="1"/>
    <col min="7181" max="7181" width="29.375" style="3559" customWidth="1"/>
    <col min="7182" max="7182" width="10.625" style="3559" customWidth="1"/>
    <col min="7183" max="7183" width="16" style="3559" customWidth="1"/>
    <col min="7184" max="7184" width="14.375" style="3559" customWidth="1"/>
    <col min="7185" max="7185" width="6.125" style="3559" customWidth="1"/>
    <col min="7186" max="7186" width="7.875" style="3559" customWidth="1"/>
    <col min="7187" max="7424" width="8.875" style="3559"/>
    <col min="7425" max="7425" width="29.375" style="3559" customWidth="1"/>
    <col min="7426" max="7426" width="6.125" style="3559" customWidth="1"/>
    <col min="7427" max="7427" width="13.875" style="3559" customWidth="1"/>
    <col min="7428" max="7428" width="4.625" style="3559" customWidth="1"/>
    <col min="7429" max="7429" width="29.375" style="3559" customWidth="1"/>
    <col min="7430" max="7430" width="9.625" style="3559" customWidth="1"/>
    <col min="7431" max="7431" width="17.875" style="3559" customWidth="1"/>
    <col min="7432" max="7433" width="13.875" style="3559" customWidth="1"/>
    <col min="7434" max="7434" width="9.625" style="3559" customWidth="1"/>
    <col min="7435" max="7435" width="9" style="3559" customWidth="1"/>
    <col min="7436" max="7436" width="20.125" style="3559" customWidth="1"/>
    <col min="7437" max="7437" width="29.375" style="3559" customWidth="1"/>
    <col min="7438" max="7438" width="10.625" style="3559" customWidth="1"/>
    <col min="7439" max="7439" width="16" style="3559" customWidth="1"/>
    <col min="7440" max="7440" width="14.375" style="3559" customWidth="1"/>
    <col min="7441" max="7441" width="6.125" style="3559" customWidth="1"/>
    <col min="7442" max="7442" width="7.875" style="3559" customWidth="1"/>
    <col min="7443" max="7680" width="8.875" style="3559"/>
    <col min="7681" max="7681" width="29.375" style="3559" customWidth="1"/>
    <col min="7682" max="7682" width="6.125" style="3559" customWidth="1"/>
    <col min="7683" max="7683" width="13.875" style="3559" customWidth="1"/>
    <col min="7684" max="7684" width="4.625" style="3559" customWidth="1"/>
    <col min="7685" max="7685" width="29.375" style="3559" customWidth="1"/>
    <col min="7686" max="7686" width="9.625" style="3559" customWidth="1"/>
    <col min="7687" max="7687" width="17.875" style="3559" customWidth="1"/>
    <col min="7688" max="7689" width="13.875" style="3559" customWidth="1"/>
    <col min="7690" max="7690" width="9.625" style="3559" customWidth="1"/>
    <col min="7691" max="7691" width="9" style="3559" customWidth="1"/>
    <col min="7692" max="7692" width="20.125" style="3559" customWidth="1"/>
    <col min="7693" max="7693" width="29.375" style="3559" customWidth="1"/>
    <col min="7694" max="7694" width="10.625" style="3559" customWidth="1"/>
    <col min="7695" max="7695" width="16" style="3559" customWidth="1"/>
    <col min="7696" max="7696" width="14.375" style="3559" customWidth="1"/>
    <col min="7697" max="7697" width="6.125" style="3559" customWidth="1"/>
    <col min="7698" max="7698" width="7.875" style="3559" customWidth="1"/>
    <col min="7699" max="7936" width="8.875" style="3559"/>
    <col min="7937" max="7937" width="29.375" style="3559" customWidth="1"/>
    <col min="7938" max="7938" width="6.125" style="3559" customWidth="1"/>
    <col min="7939" max="7939" width="13.875" style="3559" customWidth="1"/>
    <col min="7940" max="7940" width="4.625" style="3559" customWidth="1"/>
    <col min="7941" max="7941" width="29.375" style="3559" customWidth="1"/>
    <col min="7942" max="7942" width="9.625" style="3559" customWidth="1"/>
    <col min="7943" max="7943" width="17.875" style="3559" customWidth="1"/>
    <col min="7944" max="7945" width="13.875" style="3559" customWidth="1"/>
    <col min="7946" max="7946" width="9.625" style="3559" customWidth="1"/>
    <col min="7947" max="7947" width="9" style="3559" customWidth="1"/>
    <col min="7948" max="7948" width="20.125" style="3559" customWidth="1"/>
    <col min="7949" max="7949" width="29.375" style="3559" customWidth="1"/>
    <col min="7950" max="7950" width="10.625" style="3559" customWidth="1"/>
    <col min="7951" max="7951" width="16" style="3559" customWidth="1"/>
    <col min="7952" max="7952" width="14.375" style="3559" customWidth="1"/>
    <col min="7953" max="7953" width="6.125" style="3559" customWidth="1"/>
    <col min="7954" max="7954" width="7.875" style="3559" customWidth="1"/>
    <col min="7955" max="8192" width="8.875" style="3559"/>
    <col min="8193" max="8193" width="29.375" style="3559" customWidth="1"/>
    <col min="8194" max="8194" width="6.125" style="3559" customWidth="1"/>
    <col min="8195" max="8195" width="13.875" style="3559" customWidth="1"/>
    <col min="8196" max="8196" width="4.625" style="3559" customWidth="1"/>
    <col min="8197" max="8197" width="29.375" style="3559" customWidth="1"/>
    <col min="8198" max="8198" width="9.625" style="3559" customWidth="1"/>
    <col min="8199" max="8199" width="17.875" style="3559" customWidth="1"/>
    <col min="8200" max="8201" width="13.875" style="3559" customWidth="1"/>
    <col min="8202" max="8202" width="9.625" style="3559" customWidth="1"/>
    <col min="8203" max="8203" width="9" style="3559" customWidth="1"/>
    <col min="8204" max="8204" width="20.125" style="3559" customWidth="1"/>
    <col min="8205" max="8205" width="29.375" style="3559" customWidth="1"/>
    <col min="8206" max="8206" width="10.625" style="3559" customWidth="1"/>
    <col min="8207" max="8207" width="16" style="3559" customWidth="1"/>
    <col min="8208" max="8208" width="14.375" style="3559" customWidth="1"/>
    <col min="8209" max="8209" width="6.125" style="3559" customWidth="1"/>
    <col min="8210" max="8210" width="7.875" style="3559" customWidth="1"/>
    <col min="8211" max="8448" width="8.875" style="3559"/>
    <col min="8449" max="8449" width="29.375" style="3559" customWidth="1"/>
    <col min="8450" max="8450" width="6.125" style="3559" customWidth="1"/>
    <col min="8451" max="8451" width="13.875" style="3559" customWidth="1"/>
    <col min="8452" max="8452" width="4.625" style="3559" customWidth="1"/>
    <col min="8453" max="8453" width="29.375" style="3559" customWidth="1"/>
    <col min="8454" max="8454" width="9.625" style="3559" customWidth="1"/>
    <col min="8455" max="8455" width="17.875" style="3559" customWidth="1"/>
    <col min="8456" max="8457" width="13.875" style="3559" customWidth="1"/>
    <col min="8458" max="8458" width="9.625" style="3559" customWidth="1"/>
    <col min="8459" max="8459" width="9" style="3559" customWidth="1"/>
    <col min="8460" max="8460" width="20.125" style="3559" customWidth="1"/>
    <col min="8461" max="8461" width="29.375" style="3559" customWidth="1"/>
    <col min="8462" max="8462" width="10.625" style="3559" customWidth="1"/>
    <col min="8463" max="8463" width="16" style="3559" customWidth="1"/>
    <col min="8464" max="8464" width="14.375" style="3559" customWidth="1"/>
    <col min="8465" max="8465" width="6.125" style="3559" customWidth="1"/>
    <col min="8466" max="8466" width="7.875" style="3559" customWidth="1"/>
    <col min="8467" max="8704" width="8.875" style="3559"/>
    <col min="8705" max="8705" width="29.375" style="3559" customWidth="1"/>
    <col min="8706" max="8706" width="6.125" style="3559" customWidth="1"/>
    <col min="8707" max="8707" width="13.875" style="3559" customWidth="1"/>
    <col min="8708" max="8708" width="4.625" style="3559" customWidth="1"/>
    <col min="8709" max="8709" width="29.375" style="3559" customWidth="1"/>
    <col min="8710" max="8710" width="9.625" style="3559" customWidth="1"/>
    <col min="8711" max="8711" width="17.875" style="3559" customWidth="1"/>
    <col min="8712" max="8713" width="13.875" style="3559" customWidth="1"/>
    <col min="8714" max="8714" width="9.625" style="3559" customWidth="1"/>
    <col min="8715" max="8715" width="9" style="3559" customWidth="1"/>
    <col min="8716" max="8716" width="20.125" style="3559" customWidth="1"/>
    <col min="8717" max="8717" width="29.375" style="3559" customWidth="1"/>
    <col min="8718" max="8718" width="10.625" style="3559" customWidth="1"/>
    <col min="8719" max="8719" width="16" style="3559" customWidth="1"/>
    <col min="8720" max="8720" width="14.375" style="3559" customWidth="1"/>
    <col min="8721" max="8721" width="6.125" style="3559" customWidth="1"/>
    <col min="8722" max="8722" width="7.875" style="3559" customWidth="1"/>
    <col min="8723" max="8960" width="8.875" style="3559"/>
    <col min="8961" max="8961" width="29.375" style="3559" customWidth="1"/>
    <col min="8962" max="8962" width="6.125" style="3559" customWidth="1"/>
    <col min="8963" max="8963" width="13.875" style="3559" customWidth="1"/>
    <col min="8964" max="8964" width="4.625" style="3559" customWidth="1"/>
    <col min="8965" max="8965" width="29.375" style="3559" customWidth="1"/>
    <col min="8966" max="8966" width="9.625" style="3559" customWidth="1"/>
    <col min="8967" max="8967" width="17.875" style="3559" customWidth="1"/>
    <col min="8968" max="8969" width="13.875" style="3559" customWidth="1"/>
    <col min="8970" max="8970" width="9.625" style="3559" customWidth="1"/>
    <col min="8971" max="8971" width="9" style="3559" customWidth="1"/>
    <col min="8972" max="8972" width="20.125" style="3559" customWidth="1"/>
    <col min="8973" max="8973" width="29.375" style="3559" customWidth="1"/>
    <col min="8974" max="8974" width="10.625" style="3559" customWidth="1"/>
    <col min="8975" max="8975" width="16" style="3559" customWidth="1"/>
    <col min="8976" max="8976" width="14.375" style="3559" customWidth="1"/>
    <col min="8977" max="8977" width="6.125" style="3559" customWidth="1"/>
    <col min="8978" max="8978" width="7.875" style="3559" customWidth="1"/>
    <col min="8979" max="9216" width="8.875" style="3559"/>
    <col min="9217" max="9217" width="29.375" style="3559" customWidth="1"/>
    <col min="9218" max="9218" width="6.125" style="3559" customWidth="1"/>
    <col min="9219" max="9219" width="13.875" style="3559" customWidth="1"/>
    <col min="9220" max="9220" width="4.625" style="3559" customWidth="1"/>
    <col min="9221" max="9221" width="29.375" style="3559" customWidth="1"/>
    <col min="9222" max="9222" width="9.625" style="3559" customWidth="1"/>
    <col min="9223" max="9223" width="17.875" style="3559" customWidth="1"/>
    <col min="9224" max="9225" width="13.875" style="3559" customWidth="1"/>
    <col min="9226" max="9226" width="9.625" style="3559" customWidth="1"/>
    <col min="9227" max="9227" width="9" style="3559" customWidth="1"/>
    <col min="9228" max="9228" width="20.125" style="3559" customWidth="1"/>
    <col min="9229" max="9229" width="29.375" style="3559" customWidth="1"/>
    <col min="9230" max="9230" width="10.625" style="3559" customWidth="1"/>
    <col min="9231" max="9231" width="16" style="3559" customWidth="1"/>
    <col min="9232" max="9232" width="14.375" style="3559" customWidth="1"/>
    <col min="9233" max="9233" width="6.125" style="3559" customWidth="1"/>
    <col min="9234" max="9234" width="7.875" style="3559" customWidth="1"/>
    <col min="9235" max="9472" width="8.875" style="3559"/>
    <col min="9473" max="9473" width="29.375" style="3559" customWidth="1"/>
    <col min="9474" max="9474" width="6.125" style="3559" customWidth="1"/>
    <col min="9475" max="9475" width="13.875" style="3559" customWidth="1"/>
    <col min="9476" max="9476" width="4.625" style="3559" customWidth="1"/>
    <col min="9477" max="9477" width="29.375" style="3559" customWidth="1"/>
    <col min="9478" max="9478" width="9.625" style="3559" customWidth="1"/>
    <col min="9479" max="9479" width="17.875" style="3559" customWidth="1"/>
    <col min="9480" max="9481" width="13.875" style="3559" customWidth="1"/>
    <col min="9482" max="9482" width="9.625" style="3559" customWidth="1"/>
    <col min="9483" max="9483" width="9" style="3559" customWidth="1"/>
    <col min="9484" max="9484" width="20.125" style="3559" customWidth="1"/>
    <col min="9485" max="9485" width="29.375" style="3559" customWidth="1"/>
    <col min="9486" max="9486" width="10.625" style="3559" customWidth="1"/>
    <col min="9487" max="9487" width="16" style="3559" customWidth="1"/>
    <col min="9488" max="9488" width="14.375" style="3559" customWidth="1"/>
    <col min="9489" max="9489" width="6.125" style="3559" customWidth="1"/>
    <col min="9490" max="9490" width="7.875" style="3559" customWidth="1"/>
    <col min="9491" max="9728" width="8.875" style="3559"/>
    <col min="9729" max="9729" width="29.375" style="3559" customWidth="1"/>
    <col min="9730" max="9730" width="6.125" style="3559" customWidth="1"/>
    <col min="9731" max="9731" width="13.875" style="3559" customWidth="1"/>
    <col min="9732" max="9732" width="4.625" style="3559" customWidth="1"/>
    <col min="9733" max="9733" width="29.375" style="3559" customWidth="1"/>
    <col min="9734" max="9734" width="9.625" style="3559" customWidth="1"/>
    <col min="9735" max="9735" width="17.875" style="3559" customWidth="1"/>
    <col min="9736" max="9737" width="13.875" style="3559" customWidth="1"/>
    <col min="9738" max="9738" width="9.625" style="3559" customWidth="1"/>
    <col min="9739" max="9739" width="9" style="3559" customWidth="1"/>
    <col min="9740" max="9740" width="20.125" style="3559" customWidth="1"/>
    <col min="9741" max="9741" width="29.375" style="3559" customWidth="1"/>
    <col min="9742" max="9742" width="10.625" style="3559" customWidth="1"/>
    <col min="9743" max="9743" width="16" style="3559" customWidth="1"/>
    <col min="9744" max="9744" width="14.375" style="3559" customWidth="1"/>
    <col min="9745" max="9745" width="6.125" style="3559" customWidth="1"/>
    <col min="9746" max="9746" width="7.875" style="3559" customWidth="1"/>
    <col min="9747" max="9984" width="8.875" style="3559"/>
    <col min="9985" max="9985" width="29.375" style="3559" customWidth="1"/>
    <col min="9986" max="9986" width="6.125" style="3559" customWidth="1"/>
    <col min="9987" max="9987" width="13.875" style="3559" customWidth="1"/>
    <col min="9988" max="9988" width="4.625" style="3559" customWidth="1"/>
    <col min="9989" max="9989" width="29.375" style="3559" customWidth="1"/>
    <col min="9990" max="9990" width="9.625" style="3559" customWidth="1"/>
    <col min="9991" max="9991" width="17.875" style="3559" customWidth="1"/>
    <col min="9992" max="9993" width="13.875" style="3559" customWidth="1"/>
    <col min="9994" max="9994" width="9.625" style="3559" customWidth="1"/>
    <col min="9995" max="9995" width="9" style="3559" customWidth="1"/>
    <col min="9996" max="9996" width="20.125" style="3559" customWidth="1"/>
    <col min="9997" max="9997" width="29.375" style="3559" customWidth="1"/>
    <col min="9998" max="9998" width="10.625" style="3559" customWidth="1"/>
    <col min="9999" max="9999" width="16" style="3559" customWidth="1"/>
    <col min="10000" max="10000" width="14.375" style="3559" customWidth="1"/>
    <col min="10001" max="10001" width="6.125" style="3559" customWidth="1"/>
    <col min="10002" max="10002" width="7.875" style="3559" customWidth="1"/>
    <col min="10003" max="10240" width="8.875" style="3559"/>
    <col min="10241" max="10241" width="29.375" style="3559" customWidth="1"/>
    <col min="10242" max="10242" width="6.125" style="3559" customWidth="1"/>
    <col min="10243" max="10243" width="13.875" style="3559" customWidth="1"/>
    <col min="10244" max="10244" width="4.625" style="3559" customWidth="1"/>
    <col min="10245" max="10245" width="29.375" style="3559" customWidth="1"/>
    <col min="10246" max="10246" width="9.625" style="3559" customWidth="1"/>
    <col min="10247" max="10247" width="17.875" style="3559" customWidth="1"/>
    <col min="10248" max="10249" width="13.875" style="3559" customWidth="1"/>
    <col min="10250" max="10250" width="9.625" style="3559" customWidth="1"/>
    <col min="10251" max="10251" width="9" style="3559" customWidth="1"/>
    <col min="10252" max="10252" width="20.125" style="3559" customWidth="1"/>
    <col min="10253" max="10253" width="29.375" style="3559" customWidth="1"/>
    <col min="10254" max="10254" width="10.625" style="3559" customWidth="1"/>
    <col min="10255" max="10255" width="16" style="3559" customWidth="1"/>
    <col min="10256" max="10256" width="14.375" style="3559" customWidth="1"/>
    <col min="10257" max="10257" width="6.125" style="3559" customWidth="1"/>
    <col min="10258" max="10258" width="7.875" style="3559" customWidth="1"/>
    <col min="10259" max="10496" width="8.875" style="3559"/>
    <col min="10497" max="10497" width="29.375" style="3559" customWidth="1"/>
    <col min="10498" max="10498" width="6.125" style="3559" customWidth="1"/>
    <col min="10499" max="10499" width="13.875" style="3559" customWidth="1"/>
    <col min="10500" max="10500" width="4.625" style="3559" customWidth="1"/>
    <col min="10501" max="10501" width="29.375" style="3559" customWidth="1"/>
    <col min="10502" max="10502" width="9.625" style="3559" customWidth="1"/>
    <col min="10503" max="10503" width="17.875" style="3559" customWidth="1"/>
    <col min="10504" max="10505" width="13.875" style="3559" customWidth="1"/>
    <col min="10506" max="10506" width="9.625" style="3559" customWidth="1"/>
    <col min="10507" max="10507" width="9" style="3559" customWidth="1"/>
    <col min="10508" max="10508" width="20.125" style="3559" customWidth="1"/>
    <col min="10509" max="10509" width="29.375" style="3559" customWidth="1"/>
    <col min="10510" max="10510" width="10.625" style="3559" customWidth="1"/>
    <col min="10511" max="10511" width="16" style="3559" customWidth="1"/>
    <col min="10512" max="10512" width="14.375" style="3559" customWidth="1"/>
    <col min="10513" max="10513" width="6.125" style="3559" customWidth="1"/>
    <col min="10514" max="10514" width="7.875" style="3559" customWidth="1"/>
    <col min="10515" max="10752" width="8.875" style="3559"/>
    <col min="10753" max="10753" width="29.375" style="3559" customWidth="1"/>
    <col min="10754" max="10754" width="6.125" style="3559" customWidth="1"/>
    <col min="10755" max="10755" width="13.875" style="3559" customWidth="1"/>
    <col min="10756" max="10756" width="4.625" style="3559" customWidth="1"/>
    <col min="10757" max="10757" width="29.375" style="3559" customWidth="1"/>
    <col min="10758" max="10758" width="9.625" style="3559" customWidth="1"/>
    <col min="10759" max="10759" width="17.875" style="3559" customWidth="1"/>
    <col min="10760" max="10761" width="13.875" style="3559" customWidth="1"/>
    <col min="10762" max="10762" width="9.625" style="3559" customWidth="1"/>
    <col min="10763" max="10763" width="9" style="3559" customWidth="1"/>
    <col min="10764" max="10764" width="20.125" style="3559" customWidth="1"/>
    <col min="10765" max="10765" width="29.375" style="3559" customWidth="1"/>
    <col min="10766" max="10766" width="10.625" style="3559" customWidth="1"/>
    <col min="10767" max="10767" width="16" style="3559" customWidth="1"/>
    <col min="10768" max="10768" width="14.375" style="3559" customWidth="1"/>
    <col min="10769" max="10769" width="6.125" style="3559" customWidth="1"/>
    <col min="10770" max="10770" width="7.875" style="3559" customWidth="1"/>
    <col min="10771" max="11008" width="8.875" style="3559"/>
    <col min="11009" max="11009" width="29.375" style="3559" customWidth="1"/>
    <col min="11010" max="11010" width="6.125" style="3559" customWidth="1"/>
    <col min="11011" max="11011" width="13.875" style="3559" customWidth="1"/>
    <col min="11012" max="11012" width="4.625" style="3559" customWidth="1"/>
    <col min="11013" max="11013" width="29.375" style="3559" customWidth="1"/>
    <col min="11014" max="11014" width="9.625" style="3559" customWidth="1"/>
    <col min="11015" max="11015" width="17.875" style="3559" customWidth="1"/>
    <col min="11016" max="11017" width="13.875" style="3559" customWidth="1"/>
    <col min="11018" max="11018" width="9.625" style="3559" customWidth="1"/>
    <col min="11019" max="11019" width="9" style="3559" customWidth="1"/>
    <col min="11020" max="11020" width="20.125" style="3559" customWidth="1"/>
    <col min="11021" max="11021" width="29.375" style="3559" customWidth="1"/>
    <col min="11022" max="11022" width="10.625" style="3559" customWidth="1"/>
    <col min="11023" max="11023" width="16" style="3559" customWidth="1"/>
    <col min="11024" max="11024" width="14.375" style="3559" customWidth="1"/>
    <col min="11025" max="11025" width="6.125" style="3559" customWidth="1"/>
    <col min="11026" max="11026" width="7.875" style="3559" customWidth="1"/>
    <col min="11027" max="11264" width="8.875" style="3559"/>
    <col min="11265" max="11265" width="29.375" style="3559" customWidth="1"/>
    <col min="11266" max="11266" width="6.125" style="3559" customWidth="1"/>
    <col min="11267" max="11267" width="13.875" style="3559" customWidth="1"/>
    <col min="11268" max="11268" width="4.625" style="3559" customWidth="1"/>
    <col min="11269" max="11269" width="29.375" style="3559" customWidth="1"/>
    <col min="11270" max="11270" width="9.625" style="3559" customWidth="1"/>
    <col min="11271" max="11271" width="17.875" style="3559" customWidth="1"/>
    <col min="11272" max="11273" width="13.875" style="3559" customWidth="1"/>
    <col min="11274" max="11274" width="9.625" style="3559" customWidth="1"/>
    <col min="11275" max="11275" width="9" style="3559" customWidth="1"/>
    <col min="11276" max="11276" width="20.125" style="3559" customWidth="1"/>
    <col min="11277" max="11277" width="29.375" style="3559" customWidth="1"/>
    <col min="11278" max="11278" width="10.625" style="3559" customWidth="1"/>
    <col min="11279" max="11279" width="16" style="3559" customWidth="1"/>
    <col min="11280" max="11280" width="14.375" style="3559" customWidth="1"/>
    <col min="11281" max="11281" width="6.125" style="3559" customWidth="1"/>
    <col min="11282" max="11282" width="7.875" style="3559" customWidth="1"/>
    <col min="11283" max="11520" width="8.875" style="3559"/>
    <col min="11521" max="11521" width="29.375" style="3559" customWidth="1"/>
    <col min="11522" max="11522" width="6.125" style="3559" customWidth="1"/>
    <col min="11523" max="11523" width="13.875" style="3559" customWidth="1"/>
    <col min="11524" max="11524" width="4.625" style="3559" customWidth="1"/>
    <col min="11525" max="11525" width="29.375" style="3559" customWidth="1"/>
    <col min="11526" max="11526" width="9.625" style="3559" customWidth="1"/>
    <col min="11527" max="11527" width="17.875" style="3559" customWidth="1"/>
    <col min="11528" max="11529" width="13.875" style="3559" customWidth="1"/>
    <col min="11530" max="11530" width="9.625" style="3559" customWidth="1"/>
    <col min="11531" max="11531" width="9" style="3559" customWidth="1"/>
    <col min="11532" max="11532" width="20.125" style="3559" customWidth="1"/>
    <col min="11533" max="11533" width="29.375" style="3559" customWidth="1"/>
    <col min="11534" max="11534" width="10.625" style="3559" customWidth="1"/>
    <col min="11535" max="11535" width="16" style="3559" customWidth="1"/>
    <col min="11536" max="11536" width="14.375" style="3559" customWidth="1"/>
    <col min="11537" max="11537" width="6.125" style="3559" customWidth="1"/>
    <col min="11538" max="11538" width="7.875" style="3559" customWidth="1"/>
    <col min="11539" max="11776" width="8.875" style="3559"/>
    <col min="11777" max="11777" width="29.375" style="3559" customWidth="1"/>
    <col min="11778" max="11778" width="6.125" style="3559" customWidth="1"/>
    <col min="11779" max="11779" width="13.875" style="3559" customWidth="1"/>
    <col min="11780" max="11780" width="4.625" style="3559" customWidth="1"/>
    <col min="11781" max="11781" width="29.375" style="3559" customWidth="1"/>
    <col min="11782" max="11782" width="9.625" style="3559" customWidth="1"/>
    <col min="11783" max="11783" width="17.875" style="3559" customWidth="1"/>
    <col min="11784" max="11785" width="13.875" style="3559" customWidth="1"/>
    <col min="11786" max="11786" width="9.625" style="3559" customWidth="1"/>
    <col min="11787" max="11787" width="9" style="3559" customWidth="1"/>
    <col min="11788" max="11788" width="20.125" style="3559" customWidth="1"/>
    <col min="11789" max="11789" width="29.375" style="3559" customWidth="1"/>
    <col min="11790" max="11790" width="10.625" style="3559" customWidth="1"/>
    <col min="11791" max="11791" width="16" style="3559" customWidth="1"/>
    <col min="11792" max="11792" width="14.375" style="3559" customWidth="1"/>
    <col min="11793" max="11793" width="6.125" style="3559" customWidth="1"/>
    <col min="11794" max="11794" width="7.875" style="3559" customWidth="1"/>
    <col min="11795" max="12032" width="8.875" style="3559"/>
    <col min="12033" max="12033" width="29.375" style="3559" customWidth="1"/>
    <col min="12034" max="12034" width="6.125" style="3559" customWidth="1"/>
    <col min="12035" max="12035" width="13.875" style="3559" customWidth="1"/>
    <col min="12036" max="12036" width="4.625" style="3559" customWidth="1"/>
    <col min="12037" max="12037" width="29.375" style="3559" customWidth="1"/>
    <col min="12038" max="12038" width="9.625" style="3559" customWidth="1"/>
    <col min="12039" max="12039" width="17.875" style="3559" customWidth="1"/>
    <col min="12040" max="12041" width="13.875" style="3559" customWidth="1"/>
    <col min="12042" max="12042" width="9.625" style="3559" customWidth="1"/>
    <col min="12043" max="12043" width="9" style="3559" customWidth="1"/>
    <col min="12044" max="12044" width="20.125" style="3559" customWidth="1"/>
    <col min="12045" max="12045" width="29.375" style="3559" customWidth="1"/>
    <col min="12046" max="12046" width="10.625" style="3559" customWidth="1"/>
    <col min="12047" max="12047" width="16" style="3559" customWidth="1"/>
    <col min="12048" max="12048" width="14.375" style="3559" customWidth="1"/>
    <col min="12049" max="12049" width="6.125" style="3559" customWidth="1"/>
    <col min="12050" max="12050" width="7.875" style="3559" customWidth="1"/>
    <col min="12051" max="12288" width="8.875" style="3559"/>
    <col min="12289" max="12289" width="29.375" style="3559" customWidth="1"/>
    <col min="12290" max="12290" width="6.125" style="3559" customWidth="1"/>
    <col min="12291" max="12291" width="13.875" style="3559" customWidth="1"/>
    <col min="12292" max="12292" width="4.625" style="3559" customWidth="1"/>
    <col min="12293" max="12293" width="29.375" style="3559" customWidth="1"/>
    <col min="12294" max="12294" width="9.625" style="3559" customWidth="1"/>
    <col min="12295" max="12295" width="17.875" style="3559" customWidth="1"/>
    <col min="12296" max="12297" width="13.875" style="3559" customWidth="1"/>
    <col min="12298" max="12298" width="9.625" style="3559" customWidth="1"/>
    <col min="12299" max="12299" width="9" style="3559" customWidth="1"/>
    <col min="12300" max="12300" width="20.125" style="3559" customWidth="1"/>
    <col min="12301" max="12301" width="29.375" style="3559" customWidth="1"/>
    <col min="12302" max="12302" width="10.625" style="3559" customWidth="1"/>
    <col min="12303" max="12303" width="16" style="3559" customWidth="1"/>
    <col min="12304" max="12304" width="14.375" style="3559" customWidth="1"/>
    <col min="12305" max="12305" width="6.125" style="3559" customWidth="1"/>
    <col min="12306" max="12306" width="7.875" style="3559" customWidth="1"/>
    <col min="12307" max="12544" width="8.875" style="3559"/>
    <col min="12545" max="12545" width="29.375" style="3559" customWidth="1"/>
    <col min="12546" max="12546" width="6.125" style="3559" customWidth="1"/>
    <col min="12547" max="12547" width="13.875" style="3559" customWidth="1"/>
    <col min="12548" max="12548" width="4.625" style="3559" customWidth="1"/>
    <col min="12549" max="12549" width="29.375" style="3559" customWidth="1"/>
    <col min="12550" max="12550" width="9.625" style="3559" customWidth="1"/>
    <col min="12551" max="12551" width="17.875" style="3559" customWidth="1"/>
    <col min="12552" max="12553" width="13.875" style="3559" customWidth="1"/>
    <col min="12554" max="12554" width="9.625" style="3559" customWidth="1"/>
    <col min="12555" max="12555" width="9" style="3559" customWidth="1"/>
    <col min="12556" max="12556" width="20.125" style="3559" customWidth="1"/>
    <col min="12557" max="12557" width="29.375" style="3559" customWidth="1"/>
    <col min="12558" max="12558" width="10.625" style="3559" customWidth="1"/>
    <col min="12559" max="12559" width="16" style="3559" customWidth="1"/>
    <col min="12560" max="12560" width="14.375" style="3559" customWidth="1"/>
    <col min="12561" max="12561" width="6.125" style="3559" customWidth="1"/>
    <col min="12562" max="12562" width="7.875" style="3559" customWidth="1"/>
    <col min="12563" max="12800" width="8.875" style="3559"/>
    <col min="12801" max="12801" width="29.375" style="3559" customWidth="1"/>
    <col min="12802" max="12802" width="6.125" style="3559" customWidth="1"/>
    <col min="12803" max="12803" width="13.875" style="3559" customWidth="1"/>
    <col min="12804" max="12804" width="4.625" style="3559" customWidth="1"/>
    <col min="12805" max="12805" width="29.375" style="3559" customWidth="1"/>
    <col min="12806" max="12806" width="9.625" style="3559" customWidth="1"/>
    <col min="12807" max="12807" width="17.875" style="3559" customWidth="1"/>
    <col min="12808" max="12809" width="13.875" style="3559" customWidth="1"/>
    <col min="12810" max="12810" width="9.625" style="3559" customWidth="1"/>
    <col min="12811" max="12811" width="9" style="3559" customWidth="1"/>
    <col min="12812" max="12812" width="20.125" style="3559" customWidth="1"/>
    <col min="12813" max="12813" width="29.375" style="3559" customWidth="1"/>
    <col min="12814" max="12814" width="10.625" style="3559" customWidth="1"/>
    <col min="12815" max="12815" width="16" style="3559" customWidth="1"/>
    <col min="12816" max="12816" width="14.375" style="3559" customWidth="1"/>
    <col min="12817" max="12817" width="6.125" style="3559" customWidth="1"/>
    <col min="12818" max="12818" width="7.875" style="3559" customWidth="1"/>
    <col min="12819" max="13056" width="8.875" style="3559"/>
    <col min="13057" max="13057" width="29.375" style="3559" customWidth="1"/>
    <col min="13058" max="13058" width="6.125" style="3559" customWidth="1"/>
    <col min="13059" max="13059" width="13.875" style="3559" customWidth="1"/>
    <col min="13060" max="13060" width="4.625" style="3559" customWidth="1"/>
    <col min="13061" max="13061" width="29.375" style="3559" customWidth="1"/>
    <col min="13062" max="13062" width="9.625" style="3559" customWidth="1"/>
    <col min="13063" max="13063" width="17.875" style="3559" customWidth="1"/>
    <col min="13064" max="13065" width="13.875" style="3559" customWidth="1"/>
    <col min="13066" max="13066" width="9.625" style="3559" customWidth="1"/>
    <col min="13067" max="13067" width="9" style="3559" customWidth="1"/>
    <col min="13068" max="13068" width="20.125" style="3559" customWidth="1"/>
    <col min="13069" max="13069" width="29.375" style="3559" customWidth="1"/>
    <col min="13070" max="13070" width="10.625" style="3559" customWidth="1"/>
    <col min="13071" max="13071" width="16" style="3559" customWidth="1"/>
    <col min="13072" max="13072" width="14.375" style="3559" customWidth="1"/>
    <col min="13073" max="13073" width="6.125" style="3559" customWidth="1"/>
    <col min="13074" max="13074" width="7.875" style="3559" customWidth="1"/>
    <col min="13075" max="13312" width="8.875" style="3559"/>
    <col min="13313" max="13313" width="29.375" style="3559" customWidth="1"/>
    <col min="13314" max="13314" width="6.125" style="3559" customWidth="1"/>
    <col min="13315" max="13315" width="13.875" style="3559" customWidth="1"/>
    <col min="13316" max="13316" width="4.625" style="3559" customWidth="1"/>
    <col min="13317" max="13317" width="29.375" style="3559" customWidth="1"/>
    <col min="13318" max="13318" width="9.625" style="3559" customWidth="1"/>
    <col min="13319" max="13319" width="17.875" style="3559" customWidth="1"/>
    <col min="13320" max="13321" width="13.875" style="3559" customWidth="1"/>
    <col min="13322" max="13322" width="9.625" style="3559" customWidth="1"/>
    <col min="13323" max="13323" width="9" style="3559" customWidth="1"/>
    <col min="13324" max="13324" width="20.125" style="3559" customWidth="1"/>
    <col min="13325" max="13325" width="29.375" style="3559" customWidth="1"/>
    <col min="13326" max="13326" width="10.625" style="3559" customWidth="1"/>
    <col min="13327" max="13327" width="16" style="3559" customWidth="1"/>
    <col min="13328" max="13328" width="14.375" style="3559" customWidth="1"/>
    <col min="13329" max="13329" width="6.125" style="3559" customWidth="1"/>
    <col min="13330" max="13330" width="7.875" style="3559" customWidth="1"/>
    <col min="13331" max="13568" width="8.875" style="3559"/>
    <col min="13569" max="13569" width="29.375" style="3559" customWidth="1"/>
    <col min="13570" max="13570" width="6.125" style="3559" customWidth="1"/>
    <col min="13571" max="13571" width="13.875" style="3559" customWidth="1"/>
    <col min="13572" max="13572" width="4.625" style="3559" customWidth="1"/>
    <col min="13573" max="13573" width="29.375" style="3559" customWidth="1"/>
    <col min="13574" max="13574" width="9.625" style="3559" customWidth="1"/>
    <col min="13575" max="13575" width="17.875" style="3559" customWidth="1"/>
    <col min="13576" max="13577" width="13.875" style="3559" customWidth="1"/>
    <col min="13578" max="13578" width="9.625" style="3559" customWidth="1"/>
    <col min="13579" max="13579" width="9" style="3559" customWidth="1"/>
    <col min="13580" max="13580" width="20.125" style="3559" customWidth="1"/>
    <col min="13581" max="13581" width="29.375" style="3559" customWidth="1"/>
    <col min="13582" max="13582" width="10.625" style="3559" customWidth="1"/>
    <col min="13583" max="13583" width="16" style="3559" customWidth="1"/>
    <col min="13584" max="13584" width="14.375" style="3559" customWidth="1"/>
    <col min="13585" max="13585" width="6.125" style="3559" customWidth="1"/>
    <col min="13586" max="13586" width="7.875" style="3559" customWidth="1"/>
    <col min="13587" max="13824" width="8.875" style="3559"/>
    <col min="13825" max="13825" width="29.375" style="3559" customWidth="1"/>
    <col min="13826" max="13826" width="6.125" style="3559" customWidth="1"/>
    <col min="13827" max="13827" width="13.875" style="3559" customWidth="1"/>
    <col min="13828" max="13828" width="4.625" style="3559" customWidth="1"/>
    <col min="13829" max="13829" width="29.375" style="3559" customWidth="1"/>
    <col min="13830" max="13830" width="9.625" style="3559" customWidth="1"/>
    <col min="13831" max="13831" width="17.875" style="3559" customWidth="1"/>
    <col min="13832" max="13833" width="13.875" style="3559" customWidth="1"/>
    <col min="13834" max="13834" width="9.625" style="3559" customWidth="1"/>
    <col min="13835" max="13835" width="9" style="3559" customWidth="1"/>
    <col min="13836" max="13836" width="20.125" style="3559" customWidth="1"/>
    <col min="13837" max="13837" width="29.375" style="3559" customWidth="1"/>
    <col min="13838" max="13838" width="10.625" style="3559" customWidth="1"/>
    <col min="13839" max="13839" width="16" style="3559" customWidth="1"/>
    <col min="13840" max="13840" width="14.375" style="3559" customWidth="1"/>
    <col min="13841" max="13841" width="6.125" style="3559" customWidth="1"/>
    <col min="13842" max="13842" width="7.875" style="3559" customWidth="1"/>
    <col min="13843" max="14080" width="8.875" style="3559"/>
    <col min="14081" max="14081" width="29.375" style="3559" customWidth="1"/>
    <col min="14082" max="14082" width="6.125" style="3559" customWidth="1"/>
    <col min="14083" max="14083" width="13.875" style="3559" customWidth="1"/>
    <col min="14084" max="14084" width="4.625" style="3559" customWidth="1"/>
    <col min="14085" max="14085" width="29.375" style="3559" customWidth="1"/>
    <col min="14086" max="14086" width="9.625" style="3559" customWidth="1"/>
    <col min="14087" max="14087" width="17.875" style="3559" customWidth="1"/>
    <col min="14088" max="14089" width="13.875" style="3559" customWidth="1"/>
    <col min="14090" max="14090" width="9.625" style="3559" customWidth="1"/>
    <col min="14091" max="14091" width="9" style="3559" customWidth="1"/>
    <col min="14092" max="14092" width="20.125" style="3559" customWidth="1"/>
    <col min="14093" max="14093" width="29.375" style="3559" customWidth="1"/>
    <col min="14094" max="14094" width="10.625" style="3559" customWidth="1"/>
    <col min="14095" max="14095" width="16" style="3559" customWidth="1"/>
    <col min="14096" max="14096" width="14.375" style="3559" customWidth="1"/>
    <col min="14097" max="14097" width="6.125" style="3559" customWidth="1"/>
    <col min="14098" max="14098" width="7.875" style="3559" customWidth="1"/>
    <col min="14099" max="14336" width="8.875" style="3559"/>
    <col min="14337" max="14337" width="29.375" style="3559" customWidth="1"/>
    <col min="14338" max="14338" width="6.125" style="3559" customWidth="1"/>
    <col min="14339" max="14339" width="13.875" style="3559" customWidth="1"/>
    <col min="14340" max="14340" width="4.625" style="3559" customWidth="1"/>
    <col min="14341" max="14341" width="29.375" style="3559" customWidth="1"/>
    <col min="14342" max="14342" width="9.625" style="3559" customWidth="1"/>
    <col min="14343" max="14343" width="17.875" style="3559" customWidth="1"/>
    <col min="14344" max="14345" width="13.875" style="3559" customWidth="1"/>
    <col min="14346" max="14346" width="9.625" style="3559" customWidth="1"/>
    <col min="14347" max="14347" width="9" style="3559" customWidth="1"/>
    <col min="14348" max="14348" width="20.125" style="3559" customWidth="1"/>
    <col min="14349" max="14349" width="29.375" style="3559" customWidth="1"/>
    <col min="14350" max="14350" width="10.625" style="3559" customWidth="1"/>
    <col min="14351" max="14351" width="16" style="3559" customWidth="1"/>
    <col min="14352" max="14352" width="14.375" style="3559" customWidth="1"/>
    <col min="14353" max="14353" width="6.125" style="3559" customWidth="1"/>
    <col min="14354" max="14354" width="7.875" style="3559" customWidth="1"/>
    <col min="14355" max="14592" width="8.875" style="3559"/>
    <col min="14593" max="14593" width="29.375" style="3559" customWidth="1"/>
    <col min="14594" max="14594" width="6.125" style="3559" customWidth="1"/>
    <col min="14595" max="14595" width="13.875" style="3559" customWidth="1"/>
    <col min="14596" max="14596" width="4.625" style="3559" customWidth="1"/>
    <col min="14597" max="14597" width="29.375" style="3559" customWidth="1"/>
    <col min="14598" max="14598" width="9.625" style="3559" customWidth="1"/>
    <col min="14599" max="14599" width="17.875" style="3559" customWidth="1"/>
    <col min="14600" max="14601" width="13.875" style="3559" customWidth="1"/>
    <col min="14602" max="14602" width="9.625" style="3559" customWidth="1"/>
    <col min="14603" max="14603" width="9" style="3559" customWidth="1"/>
    <col min="14604" max="14604" width="20.125" style="3559" customWidth="1"/>
    <col min="14605" max="14605" width="29.375" style="3559" customWidth="1"/>
    <col min="14606" max="14606" width="10.625" style="3559" customWidth="1"/>
    <col min="14607" max="14607" width="16" style="3559" customWidth="1"/>
    <col min="14608" max="14608" width="14.375" style="3559" customWidth="1"/>
    <col min="14609" max="14609" width="6.125" style="3559" customWidth="1"/>
    <col min="14610" max="14610" width="7.875" style="3559" customWidth="1"/>
    <col min="14611" max="14848" width="8.875" style="3559"/>
    <col min="14849" max="14849" width="29.375" style="3559" customWidth="1"/>
    <col min="14850" max="14850" width="6.125" style="3559" customWidth="1"/>
    <col min="14851" max="14851" width="13.875" style="3559" customWidth="1"/>
    <col min="14852" max="14852" width="4.625" style="3559" customWidth="1"/>
    <col min="14853" max="14853" width="29.375" style="3559" customWidth="1"/>
    <col min="14854" max="14854" width="9.625" style="3559" customWidth="1"/>
    <col min="14855" max="14855" width="17.875" style="3559" customWidth="1"/>
    <col min="14856" max="14857" width="13.875" style="3559" customWidth="1"/>
    <col min="14858" max="14858" width="9.625" style="3559" customWidth="1"/>
    <col min="14859" max="14859" width="9" style="3559" customWidth="1"/>
    <col min="14860" max="14860" width="20.125" style="3559" customWidth="1"/>
    <col min="14861" max="14861" width="29.375" style="3559" customWidth="1"/>
    <col min="14862" max="14862" width="10.625" style="3559" customWidth="1"/>
    <col min="14863" max="14863" width="16" style="3559" customWidth="1"/>
    <col min="14864" max="14864" width="14.375" style="3559" customWidth="1"/>
    <col min="14865" max="14865" width="6.125" style="3559" customWidth="1"/>
    <col min="14866" max="14866" width="7.875" style="3559" customWidth="1"/>
    <col min="14867" max="15104" width="8.875" style="3559"/>
    <col min="15105" max="15105" width="29.375" style="3559" customWidth="1"/>
    <col min="15106" max="15106" width="6.125" style="3559" customWidth="1"/>
    <col min="15107" max="15107" width="13.875" style="3559" customWidth="1"/>
    <col min="15108" max="15108" width="4.625" style="3559" customWidth="1"/>
    <col min="15109" max="15109" width="29.375" style="3559" customWidth="1"/>
    <col min="15110" max="15110" width="9.625" style="3559" customWidth="1"/>
    <col min="15111" max="15111" width="17.875" style="3559" customWidth="1"/>
    <col min="15112" max="15113" width="13.875" style="3559" customWidth="1"/>
    <col min="15114" max="15114" width="9.625" style="3559" customWidth="1"/>
    <col min="15115" max="15115" width="9" style="3559" customWidth="1"/>
    <col min="15116" max="15116" width="20.125" style="3559" customWidth="1"/>
    <col min="15117" max="15117" width="29.375" style="3559" customWidth="1"/>
    <col min="15118" max="15118" width="10.625" style="3559" customWidth="1"/>
    <col min="15119" max="15119" width="16" style="3559" customWidth="1"/>
    <col min="15120" max="15120" width="14.375" style="3559" customWidth="1"/>
    <col min="15121" max="15121" width="6.125" style="3559" customWidth="1"/>
    <col min="15122" max="15122" width="7.875" style="3559" customWidth="1"/>
    <col min="15123" max="15360" width="8.875" style="3559"/>
    <col min="15361" max="15361" width="29.375" style="3559" customWidth="1"/>
    <col min="15362" max="15362" width="6.125" style="3559" customWidth="1"/>
    <col min="15363" max="15363" width="13.875" style="3559" customWidth="1"/>
    <col min="15364" max="15364" width="4.625" style="3559" customWidth="1"/>
    <col min="15365" max="15365" width="29.375" style="3559" customWidth="1"/>
    <col min="15366" max="15366" width="9.625" style="3559" customWidth="1"/>
    <col min="15367" max="15367" width="17.875" style="3559" customWidth="1"/>
    <col min="15368" max="15369" width="13.875" style="3559" customWidth="1"/>
    <col min="15370" max="15370" width="9.625" style="3559" customWidth="1"/>
    <col min="15371" max="15371" width="9" style="3559" customWidth="1"/>
    <col min="15372" max="15372" width="20.125" style="3559" customWidth="1"/>
    <col min="15373" max="15373" width="29.375" style="3559" customWidth="1"/>
    <col min="15374" max="15374" width="10.625" style="3559" customWidth="1"/>
    <col min="15375" max="15375" width="16" style="3559" customWidth="1"/>
    <col min="15376" max="15376" width="14.375" style="3559" customWidth="1"/>
    <col min="15377" max="15377" width="6.125" style="3559" customWidth="1"/>
    <col min="15378" max="15378" width="7.875" style="3559" customWidth="1"/>
    <col min="15379" max="15616" width="8.875" style="3559"/>
    <col min="15617" max="15617" width="29.375" style="3559" customWidth="1"/>
    <col min="15618" max="15618" width="6.125" style="3559" customWidth="1"/>
    <col min="15619" max="15619" width="13.875" style="3559" customWidth="1"/>
    <col min="15620" max="15620" width="4.625" style="3559" customWidth="1"/>
    <col min="15621" max="15621" width="29.375" style="3559" customWidth="1"/>
    <col min="15622" max="15622" width="9.625" style="3559" customWidth="1"/>
    <col min="15623" max="15623" width="17.875" style="3559" customWidth="1"/>
    <col min="15624" max="15625" width="13.875" style="3559" customWidth="1"/>
    <col min="15626" max="15626" width="9.625" style="3559" customWidth="1"/>
    <col min="15627" max="15627" width="9" style="3559" customWidth="1"/>
    <col min="15628" max="15628" width="20.125" style="3559" customWidth="1"/>
    <col min="15629" max="15629" width="29.375" style="3559" customWidth="1"/>
    <col min="15630" max="15630" width="10.625" style="3559" customWidth="1"/>
    <col min="15631" max="15631" width="16" style="3559" customWidth="1"/>
    <col min="15632" max="15632" width="14.375" style="3559" customWidth="1"/>
    <col min="15633" max="15633" width="6.125" style="3559" customWidth="1"/>
    <col min="15634" max="15634" width="7.875" style="3559" customWidth="1"/>
    <col min="15635" max="15872" width="8.875" style="3559"/>
    <col min="15873" max="15873" width="29.375" style="3559" customWidth="1"/>
    <col min="15874" max="15874" width="6.125" style="3559" customWidth="1"/>
    <col min="15875" max="15875" width="13.875" style="3559" customWidth="1"/>
    <col min="15876" max="15876" width="4.625" style="3559" customWidth="1"/>
    <col min="15877" max="15877" width="29.375" style="3559" customWidth="1"/>
    <col min="15878" max="15878" width="9.625" style="3559" customWidth="1"/>
    <col min="15879" max="15879" width="17.875" style="3559" customWidth="1"/>
    <col min="15880" max="15881" width="13.875" style="3559" customWidth="1"/>
    <col min="15882" max="15882" width="9.625" style="3559" customWidth="1"/>
    <col min="15883" max="15883" width="9" style="3559" customWidth="1"/>
    <col min="15884" max="15884" width="20.125" style="3559" customWidth="1"/>
    <col min="15885" max="15885" width="29.375" style="3559" customWidth="1"/>
    <col min="15886" max="15886" width="10.625" style="3559" customWidth="1"/>
    <col min="15887" max="15887" width="16" style="3559" customWidth="1"/>
    <col min="15888" max="15888" width="14.375" style="3559" customWidth="1"/>
    <col min="15889" max="15889" width="6.125" style="3559" customWidth="1"/>
    <col min="15890" max="15890" width="7.875" style="3559" customWidth="1"/>
    <col min="15891" max="16128" width="8.875" style="3559"/>
    <col min="16129" max="16129" width="29.375" style="3559" customWidth="1"/>
    <col min="16130" max="16130" width="6.125" style="3559" customWidth="1"/>
    <col min="16131" max="16131" width="13.875" style="3559" customWidth="1"/>
    <col min="16132" max="16132" width="4.625" style="3559" customWidth="1"/>
    <col min="16133" max="16133" width="29.375" style="3559" customWidth="1"/>
    <col min="16134" max="16134" width="9.625" style="3559" customWidth="1"/>
    <col min="16135" max="16135" width="17.875" style="3559" customWidth="1"/>
    <col min="16136" max="16137" width="13.875" style="3559" customWidth="1"/>
    <col min="16138" max="16138" width="9.625" style="3559" customWidth="1"/>
    <col min="16139" max="16139" width="9" style="3559" customWidth="1"/>
    <col min="16140" max="16140" width="20.125" style="3559" customWidth="1"/>
    <col min="16141" max="16141" width="29.375" style="3559" customWidth="1"/>
    <col min="16142" max="16142" width="10.625" style="3559" customWidth="1"/>
    <col min="16143" max="16143" width="16" style="3559" customWidth="1"/>
    <col min="16144" max="16144" width="14.375" style="3559" customWidth="1"/>
    <col min="16145" max="16145" width="6.125" style="3559" customWidth="1"/>
    <col min="16146" max="16146" width="7.875" style="3559" customWidth="1"/>
    <col min="16147" max="16384" width="8.875" style="3559"/>
  </cols>
  <sheetData>
    <row r="1" spans="1:18">
      <c r="A1" s="3559" t="s">
        <v>3116</v>
      </c>
      <c r="B1" s="3559" t="s">
        <v>3117</v>
      </c>
      <c r="C1" s="3559" t="s">
        <v>3118</v>
      </c>
      <c r="D1" s="3559" t="s">
        <v>3174</v>
      </c>
      <c r="E1" s="3559" t="s">
        <v>3175</v>
      </c>
      <c r="F1" s="3559" t="s">
        <v>3176</v>
      </c>
      <c r="G1" s="3559" t="s">
        <v>3120</v>
      </c>
      <c r="H1" s="3559" t="s">
        <v>3121</v>
      </c>
      <c r="I1" s="3559" t="s">
        <v>3122</v>
      </c>
      <c r="J1" s="3559" t="s">
        <v>2031</v>
      </c>
      <c r="K1" s="3559" t="s">
        <v>3123</v>
      </c>
      <c r="L1" s="3559" t="s">
        <v>3177</v>
      </c>
      <c r="M1" s="3559" t="s">
        <v>3124</v>
      </c>
      <c r="N1" s="3559" t="s">
        <v>3125</v>
      </c>
      <c r="O1" s="3559" t="s">
        <v>3178</v>
      </c>
      <c r="P1" s="3559" t="s">
        <v>3126</v>
      </c>
      <c r="Q1" s="3559" t="s">
        <v>3127</v>
      </c>
      <c r="R1" s="3559" t="s">
        <v>3128</v>
      </c>
    </row>
    <row r="2" spans="1:18" s="3578" customFormat="1">
      <c r="A2" s="3578" t="s">
        <v>3179</v>
      </c>
      <c r="B2" s="3578" t="s">
        <v>3180</v>
      </c>
      <c r="C2" s="3578" t="s">
        <v>3181</v>
      </c>
      <c r="D2" s="3578" t="s">
        <v>2816</v>
      </c>
      <c r="E2" s="3578" t="s">
        <v>3179</v>
      </c>
      <c r="F2" s="3578">
        <v>2018028001</v>
      </c>
      <c r="G2" s="3578" t="s">
        <v>3182</v>
      </c>
      <c r="H2" s="3578">
        <v>152625</v>
      </c>
      <c r="I2" s="3578">
        <v>396825</v>
      </c>
      <c r="J2" s="3578" t="s">
        <v>3183</v>
      </c>
      <c r="K2" s="3578" t="s">
        <v>3184</v>
      </c>
      <c r="L2" s="3578" t="s">
        <v>3185</v>
      </c>
      <c r="M2" s="3578" t="s">
        <v>3186</v>
      </c>
      <c r="N2" s="3578">
        <v>91575</v>
      </c>
      <c r="O2" s="3578">
        <v>400</v>
      </c>
      <c r="P2" s="3578">
        <v>2307.69</v>
      </c>
      <c r="Q2" s="3578">
        <v>0</v>
      </c>
      <c r="R2" s="3578" t="s">
        <v>3187</v>
      </c>
    </row>
    <row r="3" spans="1:18" s="3578" customFormat="1">
      <c r="A3" s="3578" t="s">
        <v>3188</v>
      </c>
      <c r="B3" s="3578" t="s">
        <v>3180</v>
      </c>
      <c r="C3" s="3578" t="s">
        <v>3181</v>
      </c>
      <c r="D3" s="3578" t="s">
        <v>2816</v>
      </c>
      <c r="E3" s="3578" t="s">
        <v>3188</v>
      </c>
      <c r="F3" s="3578">
        <v>2018022013</v>
      </c>
      <c r="G3" s="3578" t="s">
        <v>3182</v>
      </c>
      <c r="H3" s="3578">
        <v>52899</v>
      </c>
      <c r="I3" s="3578">
        <v>169276.79999999999</v>
      </c>
      <c r="J3" s="3578" t="s">
        <v>3189</v>
      </c>
      <c r="K3" s="3578" t="s">
        <v>3190</v>
      </c>
      <c r="L3" s="3578" t="s">
        <v>3191</v>
      </c>
      <c r="M3" s="3578" t="s">
        <v>3192</v>
      </c>
      <c r="N3" s="3578">
        <v>31739.4</v>
      </c>
      <c r="O3" s="3578">
        <v>400</v>
      </c>
      <c r="P3" s="3578">
        <v>1875</v>
      </c>
      <c r="Q3" s="3578">
        <v>0</v>
      </c>
      <c r="R3" s="3578" t="s">
        <v>3187</v>
      </c>
    </row>
    <row r="4" spans="1:18" s="3578" customFormat="1">
      <c r="A4" s="3578" t="s">
        <v>3257</v>
      </c>
      <c r="B4" s="3578" t="s">
        <v>3180</v>
      </c>
      <c r="C4" s="3578" t="s">
        <v>3181</v>
      </c>
      <c r="D4" s="3578" t="s">
        <v>2816</v>
      </c>
      <c r="E4" s="3578" t="s">
        <v>3193</v>
      </c>
      <c r="F4" s="3578">
        <v>2018022014</v>
      </c>
      <c r="G4" s="3578" t="s">
        <v>3182</v>
      </c>
      <c r="H4" s="3578">
        <v>52298</v>
      </c>
      <c r="I4" s="3578">
        <v>167353.60000000001</v>
      </c>
      <c r="J4" s="3578" t="s">
        <v>3189</v>
      </c>
      <c r="K4" s="3578" t="s">
        <v>3190</v>
      </c>
      <c r="L4" s="3578" t="s">
        <v>3194</v>
      </c>
      <c r="M4" s="3578" t="s">
        <v>3192</v>
      </c>
      <c r="N4" s="3578">
        <v>27456.45</v>
      </c>
      <c r="O4" s="3578">
        <v>350</v>
      </c>
      <c r="P4" s="3578">
        <v>1640.61</v>
      </c>
      <c r="Q4" s="3578">
        <v>0</v>
      </c>
      <c r="R4" s="3578" t="s">
        <v>3187</v>
      </c>
    </row>
    <row r="5" spans="1:18">
      <c r="A5" s="3559" t="s">
        <v>3195</v>
      </c>
      <c r="B5" s="3559" t="s">
        <v>3180</v>
      </c>
      <c r="C5" s="3559" t="s">
        <v>3181</v>
      </c>
      <c r="D5" s="3559" t="s">
        <v>2816</v>
      </c>
      <c r="E5" s="3559" t="s">
        <v>3195</v>
      </c>
      <c r="F5" s="3559">
        <v>2018009003</v>
      </c>
      <c r="G5" s="3559" t="s">
        <v>3182</v>
      </c>
      <c r="H5" s="3559">
        <v>12684.6</v>
      </c>
      <c r="I5" s="3559">
        <v>32979.96</v>
      </c>
      <c r="J5" s="3559" t="s">
        <v>3196</v>
      </c>
      <c r="K5" s="3559" t="s">
        <v>3197</v>
      </c>
      <c r="L5" s="3559" t="s">
        <v>3198</v>
      </c>
      <c r="M5" s="3559" t="s">
        <v>3199</v>
      </c>
      <c r="N5" s="3559">
        <v>3716.59</v>
      </c>
      <c r="O5" s="3559">
        <v>195.33</v>
      </c>
      <c r="P5" s="3559">
        <v>1126.92</v>
      </c>
      <c r="Q5" s="3559">
        <v>0</v>
      </c>
      <c r="R5" s="3559" t="s">
        <v>3187</v>
      </c>
    </row>
    <row r="6" spans="1:18">
      <c r="A6" s="3559" t="s">
        <v>3200</v>
      </c>
      <c r="B6" s="3559" t="s">
        <v>3180</v>
      </c>
      <c r="C6" s="3559" t="s">
        <v>3181</v>
      </c>
      <c r="D6" s="3559" t="s">
        <v>2816</v>
      </c>
      <c r="E6" s="3559" t="s">
        <v>3200</v>
      </c>
      <c r="F6" s="3559">
        <v>2018009002</v>
      </c>
      <c r="G6" s="3559" t="s">
        <v>3182</v>
      </c>
      <c r="H6" s="3559">
        <v>18447</v>
      </c>
      <c r="I6" s="3559">
        <v>47962.2</v>
      </c>
      <c r="J6" s="3559" t="s">
        <v>3196</v>
      </c>
      <c r="K6" s="3559" t="s">
        <v>3197</v>
      </c>
      <c r="L6" s="3559" t="s">
        <v>3201</v>
      </c>
      <c r="M6" s="3559" t="s">
        <v>3199</v>
      </c>
      <c r="N6" s="3559">
        <v>5404.97</v>
      </c>
      <c r="O6" s="3559">
        <v>195.33</v>
      </c>
      <c r="P6" s="3559">
        <v>1126.92</v>
      </c>
      <c r="Q6" s="3559">
        <v>0</v>
      </c>
      <c r="R6" s="3559" t="s">
        <v>3187</v>
      </c>
    </row>
    <row r="7" spans="1:18">
      <c r="A7" s="3559" t="s">
        <v>3202</v>
      </c>
      <c r="B7" s="3559" t="s">
        <v>3180</v>
      </c>
      <c r="C7" s="3559" t="s">
        <v>3181</v>
      </c>
      <c r="D7" s="3559" t="s">
        <v>2816</v>
      </c>
      <c r="E7" s="3559" t="s">
        <v>3202</v>
      </c>
      <c r="F7" s="3559">
        <v>2018009004</v>
      </c>
      <c r="G7" s="3559" t="s">
        <v>3182</v>
      </c>
      <c r="H7" s="3559">
        <v>15352.6</v>
      </c>
      <c r="I7" s="3559">
        <v>39916.76</v>
      </c>
      <c r="J7" s="3559" t="s">
        <v>3196</v>
      </c>
      <c r="K7" s="3559" t="s">
        <v>3197</v>
      </c>
      <c r="L7" s="3559" t="s">
        <v>3203</v>
      </c>
      <c r="M7" s="3559" t="s">
        <v>3199</v>
      </c>
      <c r="N7" s="3559">
        <v>4498.3100000000004</v>
      </c>
      <c r="O7" s="3559">
        <v>195.33</v>
      </c>
      <c r="P7" s="3559">
        <v>1126.92</v>
      </c>
      <c r="Q7" s="3559">
        <v>0</v>
      </c>
      <c r="R7" s="3559" t="s">
        <v>3187</v>
      </c>
    </row>
    <row r="8" spans="1:18">
      <c r="A8" s="3559" t="s">
        <v>3202</v>
      </c>
      <c r="B8" s="3559" t="s">
        <v>3180</v>
      </c>
      <c r="C8" s="3559" t="s">
        <v>3181</v>
      </c>
      <c r="D8" s="3559" t="s">
        <v>2816</v>
      </c>
      <c r="E8" s="3559" t="s">
        <v>3202</v>
      </c>
      <c r="F8" s="3559">
        <v>2018009001</v>
      </c>
      <c r="G8" s="3559" t="s">
        <v>3182</v>
      </c>
      <c r="H8" s="3559">
        <v>29937.4</v>
      </c>
      <c r="I8" s="3559">
        <v>77837.240000000005</v>
      </c>
      <c r="J8" s="3559" t="s">
        <v>3196</v>
      </c>
      <c r="K8" s="3559" t="s">
        <v>3197</v>
      </c>
      <c r="L8" s="3559" t="s">
        <v>3204</v>
      </c>
      <c r="M8" s="3559" t="s">
        <v>3199</v>
      </c>
      <c r="N8" s="3559">
        <v>8771.65</v>
      </c>
      <c r="O8" s="3559">
        <v>195.33</v>
      </c>
      <c r="P8" s="3559">
        <v>1126.92</v>
      </c>
      <c r="Q8" s="3559">
        <v>0</v>
      </c>
      <c r="R8" s="3559" t="s">
        <v>3187</v>
      </c>
    </row>
    <row r="9" spans="1:18" s="3577" customFormat="1">
      <c r="A9" s="3577" t="s">
        <v>3205</v>
      </c>
      <c r="B9" s="3577" t="s">
        <v>3180</v>
      </c>
      <c r="C9" s="3577" t="s">
        <v>3181</v>
      </c>
      <c r="D9" s="3577" t="s">
        <v>2816</v>
      </c>
      <c r="E9" s="3577" t="s">
        <v>3205</v>
      </c>
      <c r="F9" s="3577">
        <v>2018008002</v>
      </c>
      <c r="G9" s="3577" t="s">
        <v>3182</v>
      </c>
      <c r="H9" s="3577">
        <v>13513</v>
      </c>
      <c r="I9" s="3577">
        <v>40539</v>
      </c>
      <c r="J9" s="3577" t="s">
        <v>3206</v>
      </c>
      <c r="K9" s="3577" t="s">
        <v>3207</v>
      </c>
      <c r="L9" s="3577" t="s">
        <v>3208</v>
      </c>
      <c r="M9" s="3577" t="s">
        <v>3209</v>
      </c>
      <c r="N9" s="3577">
        <v>5270.06</v>
      </c>
      <c r="O9" s="3577">
        <v>260</v>
      </c>
      <c r="P9" s="3577">
        <v>1300</v>
      </c>
      <c r="Q9" s="3577">
        <v>0</v>
      </c>
      <c r="R9" s="3577" t="s">
        <v>3187</v>
      </c>
    </row>
    <row r="10" spans="1:18" s="3577" customFormat="1">
      <c r="A10" s="3577" t="s">
        <v>3210</v>
      </c>
      <c r="B10" s="3577" t="s">
        <v>3180</v>
      </c>
      <c r="C10" s="3577" t="s">
        <v>3181</v>
      </c>
      <c r="D10" s="3577" t="s">
        <v>2816</v>
      </c>
      <c r="E10" s="3577" t="s">
        <v>3210</v>
      </c>
      <c r="F10" s="3577">
        <v>2018008003</v>
      </c>
      <c r="G10" s="3577" t="s">
        <v>3182</v>
      </c>
      <c r="H10" s="3577">
        <v>38144</v>
      </c>
      <c r="I10" s="3577">
        <v>114432</v>
      </c>
      <c r="J10" s="3577" t="s">
        <v>3206</v>
      </c>
      <c r="K10" s="3577" t="s">
        <v>3207</v>
      </c>
      <c r="L10" s="3577" t="s">
        <v>3211</v>
      </c>
      <c r="M10" s="3577" t="s">
        <v>3209</v>
      </c>
      <c r="N10" s="3577">
        <v>14876.15</v>
      </c>
      <c r="O10" s="3577">
        <v>260</v>
      </c>
      <c r="P10" s="3577">
        <v>1300</v>
      </c>
      <c r="Q10" s="3577">
        <v>0</v>
      </c>
      <c r="R10" s="3577" t="s">
        <v>3187</v>
      </c>
    </row>
    <row r="11" spans="1:18">
      <c r="A11" s="3559" t="s">
        <v>3212</v>
      </c>
      <c r="B11" s="3559" t="s">
        <v>3180</v>
      </c>
      <c r="C11" s="3559" t="s">
        <v>3181</v>
      </c>
      <c r="D11" s="3559" t="s">
        <v>2816</v>
      </c>
      <c r="E11" s="3559" t="s">
        <v>3212</v>
      </c>
      <c r="F11" s="3559">
        <v>2017034001</v>
      </c>
      <c r="G11" s="3559" t="s">
        <v>3182</v>
      </c>
      <c r="H11" s="3559">
        <v>9964</v>
      </c>
      <c r="I11" s="3559">
        <v>22717.919999999998</v>
      </c>
      <c r="J11" s="3559" t="s">
        <v>3213</v>
      </c>
      <c r="K11" s="3559" t="s">
        <v>3214</v>
      </c>
      <c r="L11" s="3559" t="s">
        <v>3215</v>
      </c>
      <c r="M11" s="3559" t="s">
        <v>3216</v>
      </c>
      <c r="N11" s="3559">
        <v>1893.16</v>
      </c>
      <c r="O11" s="3559">
        <v>126.67</v>
      </c>
      <c r="P11" s="3559">
        <v>833.33</v>
      </c>
      <c r="Q11" s="3559">
        <v>0</v>
      </c>
      <c r="R11" s="3559" t="s">
        <v>3187</v>
      </c>
    </row>
    <row r="12" spans="1:18">
      <c r="A12" s="3559" t="s">
        <v>3217</v>
      </c>
      <c r="B12" s="3559" t="s">
        <v>3180</v>
      </c>
      <c r="C12" s="3559" t="s">
        <v>3181</v>
      </c>
      <c r="D12" s="3559" t="s">
        <v>2816</v>
      </c>
      <c r="E12" s="3559" t="s">
        <v>3217</v>
      </c>
      <c r="F12" s="3559">
        <v>2017028002</v>
      </c>
      <c r="G12" s="3559" t="s">
        <v>3182</v>
      </c>
      <c r="H12" s="3559">
        <v>31405.5</v>
      </c>
      <c r="I12" s="3559">
        <v>81654.3</v>
      </c>
      <c r="J12" s="3559" t="s">
        <v>3196</v>
      </c>
      <c r="K12" s="3559" t="s">
        <v>3218</v>
      </c>
      <c r="L12" s="3559" t="s">
        <v>3219</v>
      </c>
      <c r="M12" s="3559" t="s">
        <v>3220</v>
      </c>
      <c r="N12" s="3559">
        <v>9013.3700000000008</v>
      </c>
      <c r="O12" s="3559">
        <v>191.33</v>
      </c>
      <c r="P12" s="3559">
        <v>1103.8399999999999</v>
      </c>
      <c r="Q12" s="3559">
        <v>0</v>
      </c>
      <c r="R12" s="3559" t="s">
        <v>3187</v>
      </c>
    </row>
    <row r="13" spans="1:18">
      <c r="A13" s="3559" t="s">
        <v>3217</v>
      </c>
      <c r="B13" s="3559" t="s">
        <v>3180</v>
      </c>
      <c r="C13" s="3559" t="s">
        <v>3181</v>
      </c>
      <c r="D13" s="3559" t="s">
        <v>2816</v>
      </c>
      <c r="E13" s="3559" t="s">
        <v>3217</v>
      </c>
      <c r="F13" s="3559">
        <v>2017028001</v>
      </c>
      <c r="G13" s="3559" t="s">
        <v>3182</v>
      </c>
      <c r="H13" s="3559">
        <v>14871.5</v>
      </c>
      <c r="I13" s="3559">
        <v>38665.9</v>
      </c>
      <c r="J13" s="3559" t="s">
        <v>3196</v>
      </c>
      <c r="K13" s="3559" t="s">
        <v>3218</v>
      </c>
      <c r="L13" s="3559" t="s">
        <v>3221</v>
      </c>
      <c r="M13" s="3559" t="s">
        <v>3220</v>
      </c>
      <c r="N13" s="3559">
        <v>4268.1099999999997</v>
      </c>
      <c r="O13" s="3559">
        <v>191.33</v>
      </c>
      <c r="P13" s="3559">
        <v>1103.8399999999999</v>
      </c>
      <c r="Q13" s="3559">
        <v>0</v>
      </c>
      <c r="R13" s="3559" t="s">
        <v>3187</v>
      </c>
    </row>
    <row r="14" spans="1:18">
      <c r="A14" s="3559" t="s">
        <v>3217</v>
      </c>
      <c r="B14" s="3559" t="s">
        <v>3180</v>
      </c>
      <c r="C14" s="3559" t="s">
        <v>3181</v>
      </c>
      <c r="D14" s="3559" t="s">
        <v>2816</v>
      </c>
      <c r="E14" s="3559" t="s">
        <v>3217</v>
      </c>
      <c r="F14" s="3559">
        <v>2017027001</v>
      </c>
      <c r="G14" s="3559" t="s">
        <v>3182</v>
      </c>
      <c r="H14" s="3559">
        <v>32599.3</v>
      </c>
      <c r="I14" s="3559">
        <v>84758.18</v>
      </c>
      <c r="J14" s="3559" t="s">
        <v>3196</v>
      </c>
      <c r="K14" s="3559" t="s">
        <v>3222</v>
      </c>
      <c r="L14" s="3559" t="s">
        <v>3223</v>
      </c>
      <c r="M14" s="3559" t="s">
        <v>3220</v>
      </c>
      <c r="N14" s="3559">
        <v>9356</v>
      </c>
      <c r="O14" s="3559">
        <v>191.33</v>
      </c>
      <c r="P14" s="3559">
        <v>1103.8399999999999</v>
      </c>
      <c r="Q14" s="3559">
        <v>0</v>
      </c>
      <c r="R14" s="3559" t="s">
        <v>3187</v>
      </c>
    </row>
    <row r="15" spans="1:18">
      <c r="A15" s="3559" t="s">
        <v>3217</v>
      </c>
      <c r="B15" s="3559" t="s">
        <v>3180</v>
      </c>
      <c r="C15" s="3559" t="s">
        <v>3181</v>
      </c>
      <c r="D15" s="3559" t="s">
        <v>2816</v>
      </c>
      <c r="E15" s="3559" t="s">
        <v>3217</v>
      </c>
      <c r="F15" s="3559">
        <v>2017025001</v>
      </c>
      <c r="G15" s="3559" t="s">
        <v>3182</v>
      </c>
      <c r="H15" s="3559">
        <v>35814.699999999997</v>
      </c>
      <c r="I15" s="3559">
        <v>93118.22</v>
      </c>
      <c r="J15" s="3559" t="s">
        <v>3196</v>
      </c>
      <c r="K15" s="3559" t="s">
        <v>3224</v>
      </c>
      <c r="L15" s="3559" t="s">
        <v>3225</v>
      </c>
      <c r="M15" s="3559" t="s">
        <v>3220</v>
      </c>
      <c r="N15" s="3559">
        <v>10278.81</v>
      </c>
      <c r="O15" s="3559">
        <v>191.33</v>
      </c>
      <c r="P15" s="3559">
        <v>1103.8399999999999</v>
      </c>
      <c r="Q15" s="3559">
        <v>0</v>
      </c>
      <c r="R15" s="3559" t="s">
        <v>3187</v>
      </c>
    </row>
    <row r="16" spans="1:18">
      <c r="A16" s="3559" t="s">
        <v>3217</v>
      </c>
      <c r="B16" s="3559" t="s">
        <v>3180</v>
      </c>
      <c r="C16" s="3559" t="s">
        <v>3181</v>
      </c>
      <c r="D16" s="3559" t="s">
        <v>2816</v>
      </c>
      <c r="E16" s="3559" t="s">
        <v>3217</v>
      </c>
      <c r="F16" s="3559">
        <v>2017024001</v>
      </c>
      <c r="G16" s="3559" t="s">
        <v>3182</v>
      </c>
      <c r="H16" s="3559">
        <v>20000</v>
      </c>
      <c r="I16" s="3559">
        <v>52000</v>
      </c>
      <c r="J16" s="3559" t="s">
        <v>3196</v>
      </c>
      <c r="K16" s="3559" t="s">
        <v>3226</v>
      </c>
      <c r="L16" s="3559" t="s">
        <v>3227</v>
      </c>
      <c r="M16" s="3559" t="s">
        <v>3220</v>
      </c>
      <c r="N16" s="3559">
        <v>5740</v>
      </c>
      <c r="O16" s="3559">
        <v>191.33</v>
      </c>
      <c r="P16" s="3559">
        <v>1103.8399999999999</v>
      </c>
      <c r="Q16" s="3559">
        <v>0</v>
      </c>
      <c r="R16" s="3559" t="s">
        <v>3187</v>
      </c>
    </row>
    <row r="17" spans="1:18">
      <c r="A17" s="3559" t="s">
        <v>3228</v>
      </c>
      <c r="B17" s="3559" t="s">
        <v>3180</v>
      </c>
      <c r="C17" s="3559" t="s">
        <v>3181</v>
      </c>
      <c r="D17" s="3559" t="s">
        <v>2816</v>
      </c>
      <c r="E17" s="3559" t="s">
        <v>3228</v>
      </c>
      <c r="F17" s="3559">
        <v>2016029001</v>
      </c>
      <c r="G17" s="3559" t="s">
        <v>3182</v>
      </c>
      <c r="H17" s="3559">
        <v>26678</v>
      </c>
      <c r="I17" s="3559">
        <v>88037.4</v>
      </c>
      <c r="J17" s="3559" t="s">
        <v>3229</v>
      </c>
      <c r="K17" s="3559" t="s">
        <v>3230</v>
      </c>
      <c r="L17" s="3559" t="s">
        <v>3231</v>
      </c>
      <c r="M17" s="3559" t="s">
        <v>3232</v>
      </c>
      <c r="N17" s="3559">
        <v>10004.25</v>
      </c>
      <c r="O17" s="3559">
        <v>250</v>
      </c>
      <c r="P17" s="3559">
        <v>1136.3499999999999</v>
      </c>
      <c r="Q17" s="3559">
        <v>0</v>
      </c>
      <c r="R17" s="3559" t="s">
        <v>3187</v>
      </c>
    </row>
    <row r="18" spans="1:18">
      <c r="A18" s="3559" t="s">
        <v>3233</v>
      </c>
      <c r="B18" s="3559" t="s">
        <v>3180</v>
      </c>
      <c r="C18" s="3559" t="s">
        <v>3234</v>
      </c>
      <c r="D18" s="3559" t="s">
        <v>2816</v>
      </c>
      <c r="E18" s="3559" t="s">
        <v>3233</v>
      </c>
      <c r="F18" s="3559">
        <v>2016023004</v>
      </c>
      <c r="G18" s="3559" t="s">
        <v>3235</v>
      </c>
      <c r="H18" s="3559">
        <v>21592</v>
      </c>
      <c r="I18" s="3559">
        <v>64776</v>
      </c>
      <c r="J18" s="3559" t="s">
        <v>3236</v>
      </c>
      <c r="K18" s="3559" t="s">
        <v>3237</v>
      </c>
      <c r="L18" s="3559" t="s">
        <v>3238</v>
      </c>
      <c r="M18" s="3559" t="s">
        <v>3192</v>
      </c>
      <c r="N18" s="3559">
        <v>15114.39</v>
      </c>
      <c r="O18" s="3559">
        <v>466.67</v>
      </c>
      <c r="P18" s="3559">
        <v>2333.3200000000002</v>
      </c>
      <c r="Q18" s="3559">
        <v>16.670000000000002</v>
      </c>
      <c r="R18" s="3559">
        <v>40</v>
      </c>
    </row>
    <row r="19" spans="1:18">
      <c r="A19" s="3559" t="s">
        <v>3239</v>
      </c>
      <c r="B19" s="3559" t="s">
        <v>3180</v>
      </c>
      <c r="C19" s="3559" t="s">
        <v>3234</v>
      </c>
      <c r="D19" s="3559" t="s">
        <v>2816</v>
      </c>
      <c r="E19" s="3559" t="s">
        <v>3239</v>
      </c>
      <c r="F19" s="3559">
        <v>2016023007</v>
      </c>
      <c r="G19" s="3559" t="s">
        <v>3235</v>
      </c>
      <c r="H19" s="3559">
        <v>55463</v>
      </c>
      <c r="I19" s="3559">
        <v>166389</v>
      </c>
      <c r="J19" s="3559" t="s">
        <v>3236</v>
      </c>
      <c r="K19" s="3559" t="s">
        <v>3237</v>
      </c>
      <c r="L19" s="3559" t="s">
        <v>3240</v>
      </c>
      <c r="M19" s="3559" t="s">
        <v>3192</v>
      </c>
      <c r="N19" s="3559">
        <v>42983.81</v>
      </c>
      <c r="O19" s="3559">
        <v>516.66999999999996</v>
      </c>
      <c r="P19" s="3559">
        <v>2583.3200000000002</v>
      </c>
      <c r="Q19" s="3559">
        <v>14.81</v>
      </c>
      <c r="R19" s="3559">
        <v>40</v>
      </c>
    </row>
    <row r="20" spans="1:18">
      <c r="A20" s="3559" t="s">
        <v>3241</v>
      </c>
      <c r="B20" s="3559" t="s">
        <v>3180</v>
      </c>
      <c r="C20" s="3559" t="s">
        <v>3234</v>
      </c>
      <c r="D20" s="3559" t="s">
        <v>2816</v>
      </c>
      <c r="E20" s="3559" t="s">
        <v>3241</v>
      </c>
      <c r="F20" s="3559">
        <v>2016023003</v>
      </c>
      <c r="G20" s="3559" t="s">
        <v>3235</v>
      </c>
      <c r="H20" s="3559">
        <v>33333</v>
      </c>
      <c r="I20" s="3559">
        <v>99999</v>
      </c>
      <c r="J20" s="3559" t="s">
        <v>3236</v>
      </c>
      <c r="K20" s="3559" t="s">
        <v>3237</v>
      </c>
      <c r="L20" s="3559" t="s">
        <v>3242</v>
      </c>
      <c r="M20" s="3559" t="s">
        <v>3192</v>
      </c>
      <c r="N20" s="3559">
        <v>20833.11</v>
      </c>
      <c r="O20" s="3559">
        <v>416.67</v>
      </c>
      <c r="P20" s="3559">
        <v>2083.3200000000002</v>
      </c>
      <c r="Q20" s="3559">
        <v>19.05</v>
      </c>
      <c r="R20" s="3559">
        <v>40</v>
      </c>
    </row>
    <row r="21" spans="1:18">
      <c r="A21" s="3559" t="s">
        <v>3243</v>
      </c>
      <c r="B21" s="3559" t="s">
        <v>3180</v>
      </c>
      <c r="C21" s="3559" t="s">
        <v>3234</v>
      </c>
      <c r="D21" s="3559" t="s">
        <v>2816</v>
      </c>
      <c r="E21" s="3559" t="s">
        <v>3243</v>
      </c>
      <c r="F21" s="3559">
        <v>2016023002</v>
      </c>
      <c r="G21" s="3559" t="s">
        <v>3235</v>
      </c>
      <c r="H21" s="3559">
        <v>33156</v>
      </c>
      <c r="I21" s="3559">
        <v>99468</v>
      </c>
      <c r="J21" s="3559" t="s">
        <v>3236</v>
      </c>
      <c r="K21" s="3559" t="s">
        <v>3237</v>
      </c>
      <c r="L21" s="3559" t="s">
        <v>3244</v>
      </c>
      <c r="M21" s="3559" t="s">
        <v>3192</v>
      </c>
      <c r="N21" s="3559">
        <v>20722.5</v>
      </c>
      <c r="O21" s="3559">
        <v>416.67</v>
      </c>
      <c r="P21" s="3559">
        <v>2083.3200000000002</v>
      </c>
      <c r="Q21" s="3559">
        <v>19.05</v>
      </c>
      <c r="R21" s="3559">
        <v>40</v>
      </c>
    </row>
    <row r="22" spans="1:18">
      <c r="A22" s="3559" t="s">
        <v>3245</v>
      </c>
      <c r="B22" s="3559" t="s">
        <v>3180</v>
      </c>
      <c r="C22" s="3559" t="s">
        <v>3234</v>
      </c>
      <c r="D22" s="3559" t="s">
        <v>2816</v>
      </c>
      <c r="E22" s="3559" t="s">
        <v>3245</v>
      </c>
      <c r="F22" s="3559">
        <v>2016023010</v>
      </c>
      <c r="G22" s="3559" t="s">
        <v>3235</v>
      </c>
      <c r="H22" s="3559">
        <v>37397</v>
      </c>
      <c r="I22" s="3559">
        <v>112191</v>
      </c>
      <c r="J22" s="3559" t="s">
        <v>3236</v>
      </c>
      <c r="K22" s="3559" t="s">
        <v>3237</v>
      </c>
      <c r="L22" s="3559" t="s">
        <v>3246</v>
      </c>
      <c r="M22" s="3559" t="s">
        <v>3192</v>
      </c>
      <c r="N22" s="3559">
        <v>26177.9</v>
      </c>
      <c r="O22" s="3559">
        <v>466.67</v>
      </c>
      <c r="P22" s="3559">
        <v>2333.3200000000002</v>
      </c>
      <c r="Q22" s="3559">
        <v>16.670000000000002</v>
      </c>
      <c r="R22" s="3559">
        <v>40</v>
      </c>
    </row>
    <row r="23" spans="1:18">
      <c r="A23" s="3559" t="s">
        <v>3247</v>
      </c>
      <c r="B23" s="3559" t="s">
        <v>3180</v>
      </c>
      <c r="C23" s="3559" t="s">
        <v>3234</v>
      </c>
      <c r="D23" s="3559" t="s">
        <v>2816</v>
      </c>
      <c r="E23" s="3559" t="s">
        <v>3247</v>
      </c>
      <c r="F23" s="3559">
        <v>2016023009</v>
      </c>
      <c r="G23" s="3559" t="s">
        <v>3235</v>
      </c>
      <c r="H23" s="3559">
        <v>59388</v>
      </c>
      <c r="I23" s="3559">
        <v>178164</v>
      </c>
      <c r="J23" s="3559" t="s">
        <v>3236</v>
      </c>
      <c r="K23" s="3559" t="s">
        <v>3237</v>
      </c>
      <c r="L23" s="3559" t="s">
        <v>3248</v>
      </c>
      <c r="M23" s="3559" t="s">
        <v>3192</v>
      </c>
      <c r="N23" s="3559">
        <v>46025.69</v>
      </c>
      <c r="O23" s="3559">
        <v>516.66999999999996</v>
      </c>
      <c r="P23" s="3559">
        <v>2583.3200000000002</v>
      </c>
      <c r="Q23" s="3559">
        <v>14.81</v>
      </c>
      <c r="R23" s="3559">
        <v>40</v>
      </c>
    </row>
    <row r="24" spans="1:18">
      <c r="A24" s="3559" t="s">
        <v>3239</v>
      </c>
      <c r="B24" s="3559" t="s">
        <v>3180</v>
      </c>
      <c r="C24" s="3559" t="s">
        <v>3234</v>
      </c>
      <c r="D24" s="3559" t="s">
        <v>2816</v>
      </c>
      <c r="E24" s="3559" t="s">
        <v>3239</v>
      </c>
      <c r="F24" s="3559">
        <v>2016023005</v>
      </c>
      <c r="G24" s="3559" t="s">
        <v>3235</v>
      </c>
      <c r="H24" s="3559">
        <v>39547</v>
      </c>
      <c r="I24" s="3559">
        <v>118641</v>
      </c>
      <c r="J24" s="3559" t="s">
        <v>3236</v>
      </c>
      <c r="K24" s="3559" t="s">
        <v>3237</v>
      </c>
      <c r="L24" s="3559" t="s">
        <v>3249</v>
      </c>
      <c r="M24" s="3559" t="s">
        <v>3192</v>
      </c>
      <c r="N24" s="3559">
        <v>27682.9</v>
      </c>
      <c r="O24" s="3559">
        <v>466.67</v>
      </c>
      <c r="P24" s="3559">
        <v>2333.3200000000002</v>
      </c>
      <c r="Q24" s="3559">
        <v>16.670000000000002</v>
      </c>
      <c r="R24" s="3559">
        <v>40</v>
      </c>
    </row>
    <row r="25" spans="1:18">
      <c r="A25" s="3559" t="s">
        <v>3250</v>
      </c>
      <c r="B25" s="3559" t="s">
        <v>3180</v>
      </c>
      <c r="C25" s="3559" t="s">
        <v>3234</v>
      </c>
      <c r="D25" s="3559" t="s">
        <v>2816</v>
      </c>
      <c r="E25" s="3559" t="s">
        <v>3250</v>
      </c>
      <c r="F25" s="3559">
        <v>2016023011</v>
      </c>
      <c r="G25" s="3559" t="s">
        <v>3235</v>
      </c>
      <c r="H25" s="3559">
        <v>11327</v>
      </c>
      <c r="I25" s="3559">
        <v>33981</v>
      </c>
      <c r="J25" s="3559" t="s">
        <v>3236</v>
      </c>
      <c r="K25" s="3559" t="s">
        <v>3237</v>
      </c>
      <c r="L25" s="3559" t="s">
        <v>3251</v>
      </c>
      <c r="M25" s="3559" t="s">
        <v>3192</v>
      </c>
      <c r="N25" s="3559">
        <v>4870.6000000000004</v>
      </c>
      <c r="O25" s="3559">
        <v>286.67</v>
      </c>
      <c r="P25" s="3559">
        <v>1433.32</v>
      </c>
      <c r="Q25" s="3559">
        <v>30.3</v>
      </c>
      <c r="R25" s="3559">
        <v>40</v>
      </c>
    </row>
    <row r="26" spans="1:18">
      <c r="A26" s="3559" t="s">
        <v>3252</v>
      </c>
      <c r="B26" s="3559" t="s">
        <v>3180</v>
      </c>
      <c r="C26" s="3559" t="s">
        <v>3234</v>
      </c>
      <c r="D26" s="3559" t="s">
        <v>2816</v>
      </c>
      <c r="E26" s="3559" t="s">
        <v>3252</v>
      </c>
      <c r="F26" s="3559">
        <v>2016023008</v>
      </c>
      <c r="G26" s="3559" t="s">
        <v>3235</v>
      </c>
      <c r="H26" s="3559">
        <v>60412</v>
      </c>
      <c r="I26" s="3559">
        <v>181236</v>
      </c>
      <c r="J26" s="3559" t="s">
        <v>3236</v>
      </c>
      <c r="K26" s="3559" t="s">
        <v>3237</v>
      </c>
      <c r="L26" s="3559" t="s">
        <v>3253</v>
      </c>
      <c r="M26" s="3559" t="s">
        <v>3192</v>
      </c>
      <c r="N26" s="3559">
        <v>46819.3</v>
      </c>
      <c r="O26" s="3559">
        <v>516.66999999999996</v>
      </c>
      <c r="P26" s="3559">
        <v>2583.3200000000002</v>
      </c>
      <c r="Q26" s="3559">
        <v>14.81</v>
      </c>
      <c r="R26" s="3559">
        <v>40</v>
      </c>
    </row>
    <row r="27" spans="1:18">
      <c r="A27" s="3559" t="s">
        <v>3254</v>
      </c>
      <c r="B27" s="3559" t="s">
        <v>3180</v>
      </c>
      <c r="C27" s="3559" t="s">
        <v>3234</v>
      </c>
      <c r="D27" s="3559" t="s">
        <v>2816</v>
      </c>
      <c r="E27" s="3559" t="s">
        <v>3254</v>
      </c>
      <c r="F27" s="3559">
        <v>2016023001</v>
      </c>
      <c r="G27" s="3559" t="s">
        <v>3235</v>
      </c>
      <c r="H27" s="3559">
        <v>40246</v>
      </c>
      <c r="I27" s="3559">
        <v>120738</v>
      </c>
      <c r="J27" s="3559" t="s">
        <v>3236</v>
      </c>
      <c r="K27" s="3559" t="s">
        <v>3237</v>
      </c>
      <c r="L27" s="3559" t="s">
        <v>3255</v>
      </c>
      <c r="M27" s="3559" t="s">
        <v>3192</v>
      </c>
      <c r="N27" s="3559">
        <v>25153.75</v>
      </c>
      <c r="O27" s="3559">
        <v>416.67</v>
      </c>
      <c r="P27" s="3559">
        <v>2083.3200000000002</v>
      </c>
      <c r="Q27" s="3559">
        <v>19.05</v>
      </c>
      <c r="R27" s="3559">
        <v>40</v>
      </c>
    </row>
    <row r="28" spans="1:18">
      <c r="A28" s="3559" t="s">
        <v>3239</v>
      </c>
      <c r="B28" s="3559" t="s">
        <v>3180</v>
      </c>
      <c r="C28" s="3559" t="s">
        <v>3234</v>
      </c>
      <c r="D28" s="3559" t="s">
        <v>2816</v>
      </c>
      <c r="E28" s="3559" t="s">
        <v>3239</v>
      </c>
      <c r="F28" s="3559">
        <v>2016023006</v>
      </c>
      <c r="G28" s="3559" t="s">
        <v>3235</v>
      </c>
      <c r="H28" s="3559">
        <v>46815</v>
      </c>
      <c r="I28" s="3559">
        <v>140445</v>
      </c>
      <c r="J28" s="3559" t="s">
        <v>3236</v>
      </c>
      <c r="K28" s="3559" t="s">
        <v>3237</v>
      </c>
      <c r="L28" s="3559" t="s">
        <v>3256</v>
      </c>
      <c r="M28" s="3559" t="s">
        <v>3192</v>
      </c>
      <c r="N28" s="3559">
        <v>32770.5</v>
      </c>
      <c r="O28" s="3559">
        <v>466.67</v>
      </c>
      <c r="P28" s="3559">
        <v>2333.3200000000002</v>
      </c>
      <c r="Q28" s="3559">
        <v>16.670000000000002</v>
      </c>
      <c r="R28" s="3559">
        <v>40</v>
      </c>
    </row>
  </sheetData>
  <phoneticPr fontId="233" type="noConversion"/>
  <pageMargins left="0.75" right="0.75" top="1" bottom="1" header="0.5" footer="0.5"/>
  <pageSetup orientation="portrait" horizontalDpi="300" verticalDpi="300"/>
  <headerFooter alignWithMargins="0"/>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R101"/>
  <sheetViews>
    <sheetView topLeftCell="J1" workbookViewId="0">
      <selection activeCell="O68" sqref="O68"/>
    </sheetView>
  </sheetViews>
  <sheetFormatPr defaultRowHeight="12.75"/>
  <cols>
    <col min="1" max="1" width="29.375" style="3559" customWidth="1"/>
    <col min="2" max="2" width="6.25" style="3559" hidden="1" customWidth="1"/>
    <col min="3" max="3" width="7.875" style="3559" hidden="1" customWidth="1"/>
    <col min="4" max="4" width="4.625" style="3559" hidden="1" customWidth="1"/>
    <col min="5" max="5" width="29.375" style="3559" hidden="1" customWidth="1"/>
    <col min="6" max="6" width="9.625" style="3559" customWidth="1"/>
    <col min="7" max="7" width="17.875" style="3559" customWidth="1"/>
    <col min="8" max="9" width="13.875" style="3559" customWidth="1"/>
    <col min="10" max="10" width="9.625" style="3559" customWidth="1"/>
    <col min="11" max="11" width="9" style="3559" customWidth="1"/>
    <col min="12" max="12" width="20.125" style="3559" customWidth="1"/>
    <col min="13" max="13" width="27.75" style="3559" customWidth="1"/>
    <col min="14" max="14" width="10.625" style="3559" customWidth="1"/>
    <col min="15" max="15" width="16" style="3559" customWidth="1"/>
    <col min="16" max="16" width="14.375" style="3559" customWidth="1"/>
    <col min="17" max="17" width="6.25" style="3559" customWidth="1"/>
    <col min="18" max="18" width="7.875" style="3559" customWidth="1"/>
    <col min="19" max="256" width="9" style="3559"/>
    <col min="257" max="257" width="29.375" style="3559" customWidth="1"/>
    <col min="258" max="258" width="6.25" style="3559" customWidth="1"/>
    <col min="259" max="259" width="7.875" style="3559" customWidth="1"/>
    <col min="260" max="260" width="4.625" style="3559" customWidth="1"/>
    <col min="261" max="261" width="29.375" style="3559" customWidth="1"/>
    <col min="262" max="262" width="9.625" style="3559" customWidth="1"/>
    <col min="263" max="263" width="17.875" style="3559" customWidth="1"/>
    <col min="264" max="265" width="13.875" style="3559" customWidth="1"/>
    <col min="266" max="266" width="9.625" style="3559" customWidth="1"/>
    <col min="267" max="267" width="9" style="3559" customWidth="1"/>
    <col min="268" max="268" width="20.125" style="3559" customWidth="1"/>
    <col min="269" max="269" width="27.75" style="3559" customWidth="1"/>
    <col min="270" max="270" width="10.625" style="3559" customWidth="1"/>
    <col min="271" max="271" width="16" style="3559" customWidth="1"/>
    <col min="272" max="272" width="14.375" style="3559" customWidth="1"/>
    <col min="273" max="273" width="6.25" style="3559" customWidth="1"/>
    <col min="274" max="274" width="7.875" style="3559" customWidth="1"/>
    <col min="275" max="512" width="9" style="3559"/>
    <col min="513" max="513" width="29.375" style="3559" customWidth="1"/>
    <col min="514" max="514" width="6.25" style="3559" customWidth="1"/>
    <col min="515" max="515" width="7.875" style="3559" customWidth="1"/>
    <col min="516" max="516" width="4.625" style="3559" customWidth="1"/>
    <col min="517" max="517" width="29.375" style="3559" customWidth="1"/>
    <col min="518" max="518" width="9.625" style="3559" customWidth="1"/>
    <col min="519" max="519" width="17.875" style="3559" customWidth="1"/>
    <col min="520" max="521" width="13.875" style="3559" customWidth="1"/>
    <col min="522" max="522" width="9.625" style="3559" customWidth="1"/>
    <col min="523" max="523" width="9" style="3559" customWidth="1"/>
    <col min="524" max="524" width="20.125" style="3559" customWidth="1"/>
    <col min="525" max="525" width="27.75" style="3559" customWidth="1"/>
    <col min="526" max="526" width="10.625" style="3559" customWidth="1"/>
    <col min="527" max="527" width="16" style="3559" customWidth="1"/>
    <col min="528" max="528" width="14.375" style="3559" customWidth="1"/>
    <col min="529" max="529" width="6.25" style="3559" customWidth="1"/>
    <col min="530" max="530" width="7.875" style="3559" customWidth="1"/>
    <col min="531" max="768" width="9" style="3559"/>
    <col min="769" max="769" width="29.375" style="3559" customWidth="1"/>
    <col min="770" max="770" width="6.25" style="3559" customWidth="1"/>
    <col min="771" max="771" width="7.875" style="3559" customWidth="1"/>
    <col min="772" max="772" width="4.625" style="3559" customWidth="1"/>
    <col min="773" max="773" width="29.375" style="3559" customWidth="1"/>
    <col min="774" max="774" width="9.625" style="3559" customWidth="1"/>
    <col min="775" max="775" width="17.875" style="3559" customWidth="1"/>
    <col min="776" max="777" width="13.875" style="3559" customWidth="1"/>
    <col min="778" max="778" width="9.625" style="3559" customWidth="1"/>
    <col min="779" max="779" width="9" style="3559" customWidth="1"/>
    <col min="780" max="780" width="20.125" style="3559" customWidth="1"/>
    <col min="781" max="781" width="27.75" style="3559" customWidth="1"/>
    <col min="782" max="782" width="10.625" style="3559" customWidth="1"/>
    <col min="783" max="783" width="16" style="3559" customWidth="1"/>
    <col min="784" max="784" width="14.375" style="3559" customWidth="1"/>
    <col min="785" max="785" width="6.25" style="3559" customWidth="1"/>
    <col min="786" max="786" width="7.875" style="3559" customWidth="1"/>
    <col min="787" max="1024" width="9" style="3559"/>
    <col min="1025" max="1025" width="29.375" style="3559" customWidth="1"/>
    <col min="1026" max="1026" width="6.25" style="3559" customWidth="1"/>
    <col min="1027" max="1027" width="7.875" style="3559" customWidth="1"/>
    <col min="1028" max="1028" width="4.625" style="3559" customWidth="1"/>
    <col min="1029" max="1029" width="29.375" style="3559" customWidth="1"/>
    <col min="1030" max="1030" width="9.625" style="3559" customWidth="1"/>
    <col min="1031" max="1031" width="17.875" style="3559" customWidth="1"/>
    <col min="1032" max="1033" width="13.875" style="3559" customWidth="1"/>
    <col min="1034" max="1034" width="9.625" style="3559" customWidth="1"/>
    <col min="1035" max="1035" width="9" style="3559" customWidth="1"/>
    <col min="1036" max="1036" width="20.125" style="3559" customWidth="1"/>
    <col min="1037" max="1037" width="27.75" style="3559" customWidth="1"/>
    <col min="1038" max="1038" width="10.625" style="3559" customWidth="1"/>
    <col min="1039" max="1039" width="16" style="3559" customWidth="1"/>
    <col min="1040" max="1040" width="14.375" style="3559" customWidth="1"/>
    <col min="1041" max="1041" width="6.25" style="3559" customWidth="1"/>
    <col min="1042" max="1042" width="7.875" style="3559" customWidth="1"/>
    <col min="1043" max="1280" width="9" style="3559"/>
    <col min="1281" max="1281" width="29.375" style="3559" customWidth="1"/>
    <col min="1282" max="1282" width="6.25" style="3559" customWidth="1"/>
    <col min="1283" max="1283" width="7.875" style="3559" customWidth="1"/>
    <col min="1284" max="1284" width="4.625" style="3559" customWidth="1"/>
    <col min="1285" max="1285" width="29.375" style="3559" customWidth="1"/>
    <col min="1286" max="1286" width="9.625" style="3559" customWidth="1"/>
    <col min="1287" max="1287" width="17.875" style="3559" customWidth="1"/>
    <col min="1288" max="1289" width="13.875" style="3559" customWidth="1"/>
    <col min="1290" max="1290" width="9.625" style="3559" customWidth="1"/>
    <col min="1291" max="1291" width="9" style="3559" customWidth="1"/>
    <col min="1292" max="1292" width="20.125" style="3559" customWidth="1"/>
    <col min="1293" max="1293" width="27.75" style="3559" customWidth="1"/>
    <col min="1294" max="1294" width="10.625" style="3559" customWidth="1"/>
    <col min="1295" max="1295" width="16" style="3559" customWidth="1"/>
    <col min="1296" max="1296" width="14.375" style="3559" customWidth="1"/>
    <col min="1297" max="1297" width="6.25" style="3559" customWidth="1"/>
    <col min="1298" max="1298" width="7.875" style="3559" customWidth="1"/>
    <col min="1299" max="1536" width="9" style="3559"/>
    <col min="1537" max="1537" width="29.375" style="3559" customWidth="1"/>
    <col min="1538" max="1538" width="6.25" style="3559" customWidth="1"/>
    <col min="1539" max="1539" width="7.875" style="3559" customWidth="1"/>
    <col min="1540" max="1540" width="4.625" style="3559" customWidth="1"/>
    <col min="1541" max="1541" width="29.375" style="3559" customWidth="1"/>
    <col min="1542" max="1542" width="9.625" style="3559" customWidth="1"/>
    <col min="1543" max="1543" width="17.875" style="3559" customWidth="1"/>
    <col min="1544" max="1545" width="13.875" style="3559" customWidth="1"/>
    <col min="1546" max="1546" width="9.625" style="3559" customWidth="1"/>
    <col min="1547" max="1547" width="9" style="3559" customWidth="1"/>
    <col min="1548" max="1548" width="20.125" style="3559" customWidth="1"/>
    <col min="1549" max="1549" width="27.75" style="3559" customWidth="1"/>
    <col min="1550" max="1550" width="10.625" style="3559" customWidth="1"/>
    <col min="1551" max="1551" width="16" style="3559" customWidth="1"/>
    <col min="1552" max="1552" width="14.375" style="3559" customWidth="1"/>
    <col min="1553" max="1553" width="6.25" style="3559" customWidth="1"/>
    <col min="1554" max="1554" width="7.875" style="3559" customWidth="1"/>
    <col min="1555" max="1792" width="9" style="3559"/>
    <col min="1793" max="1793" width="29.375" style="3559" customWidth="1"/>
    <col min="1794" max="1794" width="6.25" style="3559" customWidth="1"/>
    <col min="1795" max="1795" width="7.875" style="3559" customWidth="1"/>
    <col min="1796" max="1796" width="4.625" style="3559" customWidth="1"/>
    <col min="1797" max="1797" width="29.375" style="3559" customWidth="1"/>
    <col min="1798" max="1798" width="9.625" style="3559" customWidth="1"/>
    <col min="1799" max="1799" width="17.875" style="3559" customWidth="1"/>
    <col min="1800" max="1801" width="13.875" style="3559" customWidth="1"/>
    <col min="1802" max="1802" width="9.625" style="3559" customWidth="1"/>
    <col min="1803" max="1803" width="9" style="3559" customWidth="1"/>
    <col min="1804" max="1804" width="20.125" style="3559" customWidth="1"/>
    <col min="1805" max="1805" width="27.75" style="3559" customWidth="1"/>
    <col min="1806" max="1806" width="10.625" style="3559" customWidth="1"/>
    <col min="1807" max="1807" width="16" style="3559" customWidth="1"/>
    <col min="1808" max="1808" width="14.375" style="3559" customWidth="1"/>
    <col min="1809" max="1809" width="6.25" style="3559" customWidth="1"/>
    <col min="1810" max="1810" width="7.875" style="3559" customWidth="1"/>
    <col min="1811" max="2048" width="9" style="3559"/>
    <col min="2049" max="2049" width="29.375" style="3559" customWidth="1"/>
    <col min="2050" max="2050" width="6.25" style="3559" customWidth="1"/>
    <col min="2051" max="2051" width="7.875" style="3559" customWidth="1"/>
    <col min="2052" max="2052" width="4.625" style="3559" customWidth="1"/>
    <col min="2053" max="2053" width="29.375" style="3559" customWidth="1"/>
    <col min="2054" max="2054" width="9.625" style="3559" customWidth="1"/>
    <col min="2055" max="2055" width="17.875" style="3559" customWidth="1"/>
    <col min="2056" max="2057" width="13.875" style="3559" customWidth="1"/>
    <col min="2058" max="2058" width="9.625" style="3559" customWidth="1"/>
    <col min="2059" max="2059" width="9" style="3559" customWidth="1"/>
    <col min="2060" max="2060" width="20.125" style="3559" customWidth="1"/>
    <col min="2061" max="2061" width="27.75" style="3559" customWidth="1"/>
    <col min="2062" max="2062" width="10.625" style="3559" customWidth="1"/>
    <col min="2063" max="2063" width="16" style="3559" customWidth="1"/>
    <col min="2064" max="2064" width="14.375" style="3559" customWidth="1"/>
    <col min="2065" max="2065" width="6.25" style="3559" customWidth="1"/>
    <col min="2066" max="2066" width="7.875" style="3559" customWidth="1"/>
    <col min="2067" max="2304" width="9" style="3559"/>
    <col min="2305" max="2305" width="29.375" style="3559" customWidth="1"/>
    <col min="2306" max="2306" width="6.25" style="3559" customWidth="1"/>
    <col min="2307" max="2307" width="7.875" style="3559" customWidth="1"/>
    <col min="2308" max="2308" width="4.625" style="3559" customWidth="1"/>
    <col min="2309" max="2309" width="29.375" style="3559" customWidth="1"/>
    <col min="2310" max="2310" width="9.625" style="3559" customWidth="1"/>
    <col min="2311" max="2311" width="17.875" style="3559" customWidth="1"/>
    <col min="2312" max="2313" width="13.875" style="3559" customWidth="1"/>
    <col min="2314" max="2314" width="9.625" style="3559" customWidth="1"/>
    <col min="2315" max="2315" width="9" style="3559" customWidth="1"/>
    <col min="2316" max="2316" width="20.125" style="3559" customWidth="1"/>
    <col min="2317" max="2317" width="27.75" style="3559" customWidth="1"/>
    <col min="2318" max="2318" width="10.625" style="3559" customWidth="1"/>
    <col min="2319" max="2319" width="16" style="3559" customWidth="1"/>
    <col min="2320" max="2320" width="14.375" style="3559" customWidth="1"/>
    <col min="2321" max="2321" width="6.25" style="3559" customWidth="1"/>
    <col min="2322" max="2322" width="7.875" style="3559" customWidth="1"/>
    <col min="2323" max="2560" width="9" style="3559"/>
    <col min="2561" max="2561" width="29.375" style="3559" customWidth="1"/>
    <col min="2562" max="2562" width="6.25" style="3559" customWidth="1"/>
    <col min="2563" max="2563" width="7.875" style="3559" customWidth="1"/>
    <col min="2564" max="2564" width="4.625" style="3559" customWidth="1"/>
    <col min="2565" max="2565" width="29.375" style="3559" customWidth="1"/>
    <col min="2566" max="2566" width="9.625" style="3559" customWidth="1"/>
    <col min="2567" max="2567" width="17.875" style="3559" customWidth="1"/>
    <col min="2568" max="2569" width="13.875" style="3559" customWidth="1"/>
    <col min="2570" max="2570" width="9.625" style="3559" customWidth="1"/>
    <col min="2571" max="2571" width="9" style="3559" customWidth="1"/>
    <col min="2572" max="2572" width="20.125" style="3559" customWidth="1"/>
    <col min="2573" max="2573" width="27.75" style="3559" customWidth="1"/>
    <col min="2574" max="2574" width="10.625" style="3559" customWidth="1"/>
    <col min="2575" max="2575" width="16" style="3559" customWidth="1"/>
    <col min="2576" max="2576" width="14.375" style="3559" customWidth="1"/>
    <col min="2577" max="2577" width="6.25" style="3559" customWidth="1"/>
    <col min="2578" max="2578" width="7.875" style="3559" customWidth="1"/>
    <col min="2579" max="2816" width="9" style="3559"/>
    <col min="2817" max="2817" width="29.375" style="3559" customWidth="1"/>
    <col min="2818" max="2818" width="6.25" style="3559" customWidth="1"/>
    <col min="2819" max="2819" width="7.875" style="3559" customWidth="1"/>
    <col min="2820" max="2820" width="4.625" style="3559" customWidth="1"/>
    <col min="2821" max="2821" width="29.375" style="3559" customWidth="1"/>
    <col min="2822" max="2822" width="9.625" style="3559" customWidth="1"/>
    <col min="2823" max="2823" width="17.875" style="3559" customWidth="1"/>
    <col min="2824" max="2825" width="13.875" style="3559" customWidth="1"/>
    <col min="2826" max="2826" width="9.625" style="3559" customWidth="1"/>
    <col min="2827" max="2827" width="9" style="3559" customWidth="1"/>
    <col min="2828" max="2828" width="20.125" style="3559" customWidth="1"/>
    <col min="2829" max="2829" width="27.75" style="3559" customWidth="1"/>
    <col min="2830" max="2830" width="10.625" style="3559" customWidth="1"/>
    <col min="2831" max="2831" width="16" style="3559" customWidth="1"/>
    <col min="2832" max="2832" width="14.375" style="3559" customWidth="1"/>
    <col min="2833" max="2833" width="6.25" style="3559" customWidth="1"/>
    <col min="2834" max="2834" width="7.875" style="3559" customWidth="1"/>
    <col min="2835" max="3072" width="9" style="3559"/>
    <col min="3073" max="3073" width="29.375" style="3559" customWidth="1"/>
    <col min="3074" max="3074" width="6.25" style="3559" customWidth="1"/>
    <col min="3075" max="3075" width="7.875" style="3559" customWidth="1"/>
    <col min="3076" max="3076" width="4.625" style="3559" customWidth="1"/>
    <col min="3077" max="3077" width="29.375" style="3559" customWidth="1"/>
    <col min="3078" max="3078" width="9.625" style="3559" customWidth="1"/>
    <col min="3079" max="3079" width="17.875" style="3559" customWidth="1"/>
    <col min="3080" max="3081" width="13.875" style="3559" customWidth="1"/>
    <col min="3082" max="3082" width="9.625" style="3559" customWidth="1"/>
    <col min="3083" max="3083" width="9" style="3559" customWidth="1"/>
    <col min="3084" max="3084" width="20.125" style="3559" customWidth="1"/>
    <col min="3085" max="3085" width="27.75" style="3559" customWidth="1"/>
    <col min="3086" max="3086" width="10.625" style="3559" customWidth="1"/>
    <col min="3087" max="3087" width="16" style="3559" customWidth="1"/>
    <col min="3088" max="3088" width="14.375" style="3559" customWidth="1"/>
    <col min="3089" max="3089" width="6.25" style="3559" customWidth="1"/>
    <col min="3090" max="3090" width="7.875" style="3559" customWidth="1"/>
    <col min="3091" max="3328" width="9" style="3559"/>
    <col min="3329" max="3329" width="29.375" style="3559" customWidth="1"/>
    <col min="3330" max="3330" width="6.25" style="3559" customWidth="1"/>
    <col min="3331" max="3331" width="7.875" style="3559" customWidth="1"/>
    <col min="3332" max="3332" width="4.625" style="3559" customWidth="1"/>
    <col min="3333" max="3333" width="29.375" style="3559" customWidth="1"/>
    <col min="3334" max="3334" width="9.625" style="3559" customWidth="1"/>
    <col min="3335" max="3335" width="17.875" style="3559" customWidth="1"/>
    <col min="3336" max="3337" width="13.875" style="3559" customWidth="1"/>
    <col min="3338" max="3338" width="9.625" style="3559" customWidth="1"/>
    <col min="3339" max="3339" width="9" style="3559" customWidth="1"/>
    <col min="3340" max="3340" width="20.125" style="3559" customWidth="1"/>
    <col min="3341" max="3341" width="27.75" style="3559" customWidth="1"/>
    <col min="3342" max="3342" width="10.625" style="3559" customWidth="1"/>
    <col min="3343" max="3343" width="16" style="3559" customWidth="1"/>
    <col min="3344" max="3344" width="14.375" style="3559" customWidth="1"/>
    <col min="3345" max="3345" width="6.25" style="3559" customWidth="1"/>
    <col min="3346" max="3346" width="7.875" style="3559" customWidth="1"/>
    <col min="3347" max="3584" width="9" style="3559"/>
    <col min="3585" max="3585" width="29.375" style="3559" customWidth="1"/>
    <col min="3586" max="3586" width="6.25" style="3559" customWidth="1"/>
    <col min="3587" max="3587" width="7.875" style="3559" customWidth="1"/>
    <col min="3588" max="3588" width="4.625" style="3559" customWidth="1"/>
    <col min="3589" max="3589" width="29.375" style="3559" customWidth="1"/>
    <col min="3590" max="3590" width="9.625" style="3559" customWidth="1"/>
    <col min="3591" max="3591" width="17.875" style="3559" customWidth="1"/>
    <col min="3592" max="3593" width="13.875" style="3559" customWidth="1"/>
    <col min="3594" max="3594" width="9.625" style="3559" customWidth="1"/>
    <col min="3595" max="3595" width="9" style="3559" customWidth="1"/>
    <col min="3596" max="3596" width="20.125" style="3559" customWidth="1"/>
    <col min="3597" max="3597" width="27.75" style="3559" customWidth="1"/>
    <col min="3598" max="3598" width="10.625" style="3559" customWidth="1"/>
    <col min="3599" max="3599" width="16" style="3559" customWidth="1"/>
    <col min="3600" max="3600" width="14.375" style="3559" customWidth="1"/>
    <col min="3601" max="3601" width="6.25" style="3559" customWidth="1"/>
    <col min="3602" max="3602" width="7.875" style="3559" customWidth="1"/>
    <col min="3603" max="3840" width="9" style="3559"/>
    <col min="3841" max="3841" width="29.375" style="3559" customWidth="1"/>
    <col min="3842" max="3842" width="6.25" style="3559" customWidth="1"/>
    <col min="3843" max="3843" width="7.875" style="3559" customWidth="1"/>
    <col min="3844" max="3844" width="4.625" style="3559" customWidth="1"/>
    <col min="3845" max="3845" width="29.375" style="3559" customWidth="1"/>
    <col min="3846" max="3846" width="9.625" style="3559" customWidth="1"/>
    <col min="3847" max="3847" width="17.875" style="3559" customWidth="1"/>
    <col min="3848" max="3849" width="13.875" style="3559" customWidth="1"/>
    <col min="3850" max="3850" width="9.625" style="3559" customWidth="1"/>
    <col min="3851" max="3851" width="9" style="3559" customWidth="1"/>
    <col min="3852" max="3852" width="20.125" style="3559" customWidth="1"/>
    <col min="3853" max="3853" width="27.75" style="3559" customWidth="1"/>
    <col min="3854" max="3854" width="10.625" style="3559" customWidth="1"/>
    <col min="3855" max="3855" width="16" style="3559" customWidth="1"/>
    <col min="3856" max="3856" width="14.375" style="3559" customWidth="1"/>
    <col min="3857" max="3857" width="6.25" style="3559" customWidth="1"/>
    <col min="3858" max="3858" width="7.875" style="3559" customWidth="1"/>
    <col min="3859" max="4096" width="9" style="3559"/>
    <col min="4097" max="4097" width="29.375" style="3559" customWidth="1"/>
    <col min="4098" max="4098" width="6.25" style="3559" customWidth="1"/>
    <col min="4099" max="4099" width="7.875" style="3559" customWidth="1"/>
    <col min="4100" max="4100" width="4.625" style="3559" customWidth="1"/>
    <col min="4101" max="4101" width="29.375" style="3559" customWidth="1"/>
    <col min="4102" max="4102" width="9.625" style="3559" customWidth="1"/>
    <col min="4103" max="4103" width="17.875" style="3559" customWidth="1"/>
    <col min="4104" max="4105" width="13.875" style="3559" customWidth="1"/>
    <col min="4106" max="4106" width="9.625" style="3559" customWidth="1"/>
    <col min="4107" max="4107" width="9" style="3559" customWidth="1"/>
    <col min="4108" max="4108" width="20.125" style="3559" customWidth="1"/>
    <col min="4109" max="4109" width="27.75" style="3559" customWidth="1"/>
    <col min="4110" max="4110" width="10.625" style="3559" customWidth="1"/>
    <col min="4111" max="4111" width="16" style="3559" customWidth="1"/>
    <col min="4112" max="4112" width="14.375" style="3559" customWidth="1"/>
    <col min="4113" max="4113" width="6.25" style="3559" customWidth="1"/>
    <col min="4114" max="4114" width="7.875" style="3559" customWidth="1"/>
    <col min="4115" max="4352" width="9" style="3559"/>
    <col min="4353" max="4353" width="29.375" style="3559" customWidth="1"/>
    <col min="4354" max="4354" width="6.25" style="3559" customWidth="1"/>
    <col min="4355" max="4355" width="7.875" style="3559" customWidth="1"/>
    <col min="4356" max="4356" width="4.625" style="3559" customWidth="1"/>
    <col min="4357" max="4357" width="29.375" style="3559" customWidth="1"/>
    <col min="4358" max="4358" width="9.625" style="3559" customWidth="1"/>
    <col min="4359" max="4359" width="17.875" style="3559" customWidth="1"/>
    <col min="4360" max="4361" width="13.875" style="3559" customWidth="1"/>
    <col min="4362" max="4362" width="9.625" style="3559" customWidth="1"/>
    <col min="4363" max="4363" width="9" style="3559" customWidth="1"/>
    <col min="4364" max="4364" width="20.125" style="3559" customWidth="1"/>
    <col min="4365" max="4365" width="27.75" style="3559" customWidth="1"/>
    <col min="4366" max="4366" width="10.625" style="3559" customWidth="1"/>
    <col min="4367" max="4367" width="16" style="3559" customWidth="1"/>
    <col min="4368" max="4368" width="14.375" style="3559" customWidth="1"/>
    <col min="4369" max="4369" width="6.25" style="3559" customWidth="1"/>
    <col min="4370" max="4370" width="7.875" style="3559" customWidth="1"/>
    <col min="4371" max="4608" width="9" style="3559"/>
    <col min="4609" max="4609" width="29.375" style="3559" customWidth="1"/>
    <col min="4610" max="4610" width="6.25" style="3559" customWidth="1"/>
    <col min="4611" max="4611" width="7.875" style="3559" customWidth="1"/>
    <col min="4612" max="4612" width="4.625" style="3559" customWidth="1"/>
    <col min="4613" max="4613" width="29.375" style="3559" customWidth="1"/>
    <col min="4614" max="4614" width="9.625" style="3559" customWidth="1"/>
    <col min="4615" max="4615" width="17.875" style="3559" customWidth="1"/>
    <col min="4616" max="4617" width="13.875" style="3559" customWidth="1"/>
    <col min="4618" max="4618" width="9.625" style="3559" customWidth="1"/>
    <col min="4619" max="4619" width="9" style="3559" customWidth="1"/>
    <col min="4620" max="4620" width="20.125" style="3559" customWidth="1"/>
    <col min="4621" max="4621" width="27.75" style="3559" customWidth="1"/>
    <col min="4622" max="4622" width="10.625" style="3559" customWidth="1"/>
    <col min="4623" max="4623" width="16" style="3559" customWidth="1"/>
    <col min="4624" max="4624" width="14.375" style="3559" customWidth="1"/>
    <col min="4625" max="4625" width="6.25" style="3559" customWidth="1"/>
    <col min="4626" max="4626" width="7.875" style="3559" customWidth="1"/>
    <col min="4627" max="4864" width="9" style="3559"/>
    <col min="4865" max="4865" width="29.375" style="3559" customWidth="1"/>
    <col min="4866" max="4866" width="6.25" style="3559" customWidth="1"/>
    <col min="4867" max="4867" width="7.875" style="3559" customWidth="1"/>
    <col min="4868" max="4868" width="4.625" style="3559" customWidth="1"/>
    <col min="4869" max="4869" width="29.375" style="3559" customWidth="1"/>
    <col min="4870" max="4870" width="9.625" style="3559" customWidth="1"/>
    <col min="4871" max="4871" width="17.875" style="3559" customWidth="1"/>
    <col min="4872" max="4873" width="13.875" style="3559" customWidth="1"/>
    <col min="4874" max="4874" width="9.625" style="3559" customWidth="1"/>
    <col min="4875" max="4875" width="9" style="3559" customWidth="1"/>
    <col min="4876" max="4876" width="20.125" style="3559" customWidth="1"/>
    <col min="4877" max="4877" width="27.75" style="3559" customWidth="1"/>
    <col min="4878" max="4878" width="10.625" style="3559" customWidth="1"/>
    <col min="4879" max="4879" width="16" style="3559" customWidth="1"/>
    <col min="4880" max="4880" width="14.375" style="3559" customWidth="1"/>
    <col min="4881" max="4881" width="6.25" style="3559" customWidth="1"/>
    <col min="4882" max="4882" width="7.875" style="3559" customWidth="1"/>
    <col min="4883" max="5120" width="9" style="3559"/>
    <col min="5121" max="5121" width="29.375" style="3559" customWidth="1"/>
    <col min="5122" max="5122" width="6.25" style="3559" customWidth="1"/>
    <col min="5123" max="5123" width="7.875" style="3559" customWidth="1"/>
    <col min="5124" max="5124" width="4.625" style="3559" customWidth="1"/>
    <col min="5125" max="5125" width="29.375" style="3559" customWidth="1"/>
    <col min="5126" max="5126" width="9.625" style="3559" customWidth="1"/>
    <col min="5127" max="5127" width="17.875" style="3559" customWidth="1"/>
    <col min="5128" max="5129" width="13.875" style="3559" customWidth="1"/>
    <col min="5130" max="5130" width="9.625" style="3559" customWidth="1"/>
    <col min="5131" max="5131" width="9" style="3559" customWidth="1"/>
    <col min="5132" max="5132" width="20.125" style="3559" customWidth="1"/>
    <col min="5133" max="5133" width="27.75" style="3559" customWidth="1"/>
    <col min="5134" max="5134" width="10.625" style="3559" customWidth="1"/>
    <col min="5135" max="5135" width="16" style="3559" customWidth="1"/>
    <col min="5136" max="5136" width="14.375" style="3559" customWidth="1"/>
    <col min="5137" max="5137" width="6.25" style="3559" customWidth="1"/>
    <col min="5138" max="5138" width="7.875" style="3559" customWidth="1"/>
    <col min="5139" max="5376" width="9" style="3559"/>
    <col min="5377" max="5377" width="29.375" style="3559" customWidth="1"/>
    <col min="5378" max="5378" width="6.25" style="3559" customWidth="1"/>
    <col min="5379" max="5379" width="7.875" style="3559" customWidth="1"/>
    <col min="5380" max="5380" width="4.625" style="3559" customWidth="1"/>
    <col min="5381" max="5381" width="29.375" style="3559" customWidth="1"/>
    <col min="5382" max="5382" width="9.625" style="3559" customWidth="1"/>
    <col min="5383" max="5383" width="17.875" style="3559" customWidth="1"/>
    <col min="5384" max="5385" width="13.875" style="3559" customWidth="1"/>
    <col min="5386" max="5386" width="9.625" style="3559" customWidth="1"/>
    <col min="5387" max="5387" width="9" style="3559" customWidth="1"/>
    <col min="5388" max="5388" width="20.125" style="3559" customWidth="1"/>
    <col min="5389" max="5389" width="27.75" style="3559" customWidth="1"/>
    <col min="5390" max="5390" width="10.625" style="3559" customWidth="1"/>
    <col min="5391" max="5391" width="16" style="3559" customWidth="1"/>
    <col min="5392" max="5392" width="14.375" style="3559" customWidth="1"/>
    <col min="5393" max="5393" width="6.25" style="3559" customWidth="1"/>
    <col min="5394" max="5394" width="7.875" style="3559" customWidth="1"/>
    <col min="5395" max="5632" width="9" style="3559"/>
    <col min="5633" max="5633" width="29.375" style="3559" customWidth="1"/>
    <col min="5634" max="5634" width="6.25" style="3559" customWidth="1"/>
    <col min="5635" max="5635" width="7.875" style="3559" customWidth="1"/>
    <col min="5636" max="5636" width="4.625" style="3559" customWidth="1"/>
    <col min="5637" max="5637" width="29.375" style="3559" customWidth="1"/>
    <col min="5638" max="5638" width="9.625" style="3559" customWidth="1"/>
    <col min="5639" max="5639" width="17.875" style="3559" customWidth="1"/>
    <col min="5640" max="5641" width="13.875" style="3559" customWidth="1"/>
    <col min="5642" max="5642" width="9.625" style="3559" customWidth="1"/>
    <col min="5643" max="5643" width="9" style="3559" customWidth="1"/>
    <col min="5644" max="5644" width="20.125" style="3559" customWidth="1"/>
    <col min="5645" max="5645" width="27.75" style="3559" customWidth="1"/>
    <col min="5646" max="5646" width="10.625" style="3559" customWidth="1"/>
    <col min="5647" max="5647" width="16" style="3559" customWidth="1"/>
    <col min="5648" max="5648" width="14.375" style="3559" customWidth="1"/>
    <col min="5649" max="5649" width="6.25" style="3559" customWidth="1"/>
    <col min="5650" max="5650" width="7.875" style="3559" customWidth="1"/>
    <col min="5651" max="5888" width="9" style="3559"/>
    <col min="5889" max="5889" width="29.375" style="3559" customWidth="1"/>
    <col min="5890" max="5890" width="6.25" style="3559" customWidth="1"/>
    <col min="5891" max="5891" width="7.875" style="3559" customWidth="1"/>
    <col min="5892" max="5892" width="4.625" style="3559" customWidth="1"/>
    <col min="5893" max="5893" width="29.375" style="3559" customWidth="1"/>
    <col min="5894" max="5894" width="9.625" style="3559" customWidth="1"/>
    <col min="5895" max="5895" width="17.875" style="3559" customWidth="1"/>
    <col min="5896" max="5897" width="13.875" style="3559" customWidth="1"/>
    <col min="5898" max="5898" width="9.625" style="3559" customWidth="1"/>
    <col min="5899" max="5899" width="9" style="3559" customWidth="1"/>
    <col min="5900" max="5900" width="20.125" style="3559" customWidth="1"/>
    <col min="5901" max="5901" width="27.75" style="3559" customWidth="1"/>
    <col min="5902" max="5902" width="10.625" style="3559" customWidth="1"/>
    <col min="5903" max="5903" width="16" style="3559" customWidth="1"/>
    <col min="5904" max="5904" width="14.375" style="3559" customWidth="1"/>
    <col min="5905" max="5905" width="6.25" style="3559" customWidth="1"/>
    <col min="5906" max="5906" width="7.875" style="3559" customWidth="1"/>
    <col min="5907" max="6144" width="9" style="3559"/>
    <col min="6145" max="6145" width="29.375" style="3559" customWidth="1"/>
    <col min="6146" max="6146" width="6.25" style="3559" customWidth="1"/>
    <col min="6147" max="6147" width="7.875" style="3559" customWidth="1"/>
    <col min="6148" max="6148" width="4.625" style="3559" customWidth="1"/>
    <col min="6149" max="6149" width="29.375" style="3559" customWidth="1"/>
    <col min="6150" max="6150" width="9.625" style="3559" customWidth="1"/>
    <col min="6151" max="6151" width="17.875" style="3559" customWidth="1"/>
    <col min="6152" max="6153" width="13.875" style="3559" customWidth="1"/>
    <col min="6154" max="6154" width="9.625" style="3559" customWidth="1"/>
    <col min="6155" max="6155" width="9" style="3559" customWidth="1"/>
    <col min="6156" max="6156" width="20.125" style="3559" customWidth="1"/>
    <col min="6157" max="6157" width="27.75" style="3559" customWidth="1"/>
    <col min="6158" max="6158" width="10.625" style="3559" customWidth="1"/>
    <col min="6159" max="6159" width="16" style="3559" customWidth="1"/>
    <col min="6160" max="6160" width="14.375" style="3559" customWidth="1"/>
    <col min="6161" max="6161" width="6.25" style="3559" customWidth="1"/>
    <col min="6162" max="6162" width="7.875" style="3559" customWidth="1"/>
    <col min="6163" max="6400" width="9" style="3559"/>
    <col min="6401" max="6401" width="29.375" style="3559" customWidth="1"/>
    <col min="6402" max="6402" width="6.25" style="3559" customWidth="1"/>
    <col min="6403" max="6403" width="7.875" style="3559" customWidth="1"/>
    <col min="6404" max="6404" width="4.625" style="3559" customWidth="1"/>
    <col min="6405" max="6405" width="29.375" style="3559" customWidth="1"/>
    <col min="6406" max="6406" width="9.625" style="3559" customWidth="1"/>
    <col min="6407" max="6407" width="17.875" style="3559" customWidth="1"/>
    <col min="6408" max="6409" width="13.875" style="3559" customWidth="1"/>
    <col min="6410" max="6410" width="9.625" style="3559" customWidth="1"/>
    <col min="6411" max="6411" width="9" style="3559" customWidth="1"/>
    <col min="6412" max="6412" width="20.125" style="3559" customWidth="1"/>
    <col min="6413" max="6413" width="27.75" style="3559" customWidth="1"/>
    <col min="6414" max="6414" width="10.625" style="3559" customWidth="1"/>
    <col min="6415" max="6415" width="16" style="3559" customWidth="1"/>
    <col min="6416" max="6416" width="14.375" style="3559" customWidth="1"/>
    <col min="6417" max="6417" width="6.25" style="3559" customWidth="1"/>
    <col min="6418" max="6418" width="7.875" style="3559" customWidth="1"/>
    <col min="6419" max="6656" width="9" style="3559"/>
    <col min="6657" max="6657" width="29.375" style="3559" customWidth="1"/>
    <col min="6658" max="6658" width="6.25" style="3559" customWidth="1"/>
    <col min="6659" max="6659" width="7.875" style="3559" customWidth="1"/>
    <col min="6660" max="6660" width="4.625" style="3559" customWidth="1"/>
    <col min="6661" max="6661" width="29.375" style="3559" customWidth="1"/>
    <col min="6662" max="6662" width="9.625" style="3559" customWidth="1"/>
    <col min="6663" max="6663" width="17.875" style="3559" customWidth="1"/>
    <col min="6664" max="6665" width="13.875" style="3559" customWidth="1"/>
    <col min="6666" max="6666" width="9.625" style="3559" customWidth="1"/>
    <col min="6667" max="6667" width="9" style="3559" customWidth="1"/>
    <col min="6668" max="6668" width="20.125" style="3559" customWidth="1"/>
    <col min="6669" max="6669" width="27.75" style="3559" customWidth="1"/>
    <col min="6670" max="6670" width="10.625" style="3559" customWidth="1"/>
    <col min="6671" max="6671" width="16" style="3559" customWidth="1"/>
    <col min="6672" max="6672" width="14.375" style="3559" customWidth="1"/>
    <col min="6673" max="6673" width="6.25" style="3559" customWidth="1"/>
    <col min="6674" max="6674" width="7.875" style="3559" customWidth="1"/>
    <col min="6675" max="6912" width="9" style="3559"/>
    <col min="6913" max="6913" width="29.375" style="3559" customWidth="1"/>
    <col min="6914" max="6914" width="6.25" style="3559" customWidth="1"/>
    <col min="6915" max="6915" width="7.875" style="3559" customWidth="1"/>
    <col min="6916" max="6916" width="4.625" style="3559" customWidth="1"/>
    <col min="6917" max="6917" width="29.375" style="3559" customWidth="1"/>
    <col min="6918" max="6918" width="9.625" style="3559" customWidth="1"/>
    <col min="6919" max="6919" width="17.875" style="3559" customWidth="1"/>
    <col min="6920" max="6921" width="13.875" style="3559" customWidth="1"/>
    <col min="6922" max="6922" width="9.625" style="3559" customWidth="1"/>
    <col min="6923" max="6923" width="9" style="3559" customWidth="1"/>
    <col min="6924" max="6924" width="20.125" style="3559" customWidth="1"/>
    <col min="6925" max="6925" width="27.75" style="3559" customWidth="1"/>
    <col min="6926" max="6926" width="10.625" style="3559" customWidth="1"/>
    <col min="6927" max="6927" width="16" style="3559" customWidth="1"/>
    <col min="6928" max="6928" width="14.375" style="3559" customWidth="1"/>
    <col min="6929" max="6929" width="6.25" style="3559" customWidth="1"/>
    <col min="6930" max="6930" width="7.875" style="3559" customWidth="1"/>
    <col min="6931" max="7168" width="9" style="3559"/>
    <col min="7169" max="7169" width="29.375" style="3559" customWidth="1"/>
    <col min="7170" max="7170" width="6.25" style="3559" customWidth="1"/>
    <col min="7171" max="7171" width="7.875" style="3559" customWidth="1"/>
    <col min="7172" max="7172" width="4.625" style="3559" customWidth="1"/>
    <col min="7173" max="7173" width="29.375" style="3559" customWidth="1"/>
    <col min="7174" max="7174" width="9.625" style="3559" customWidth="1"/>
    <col min="7175" max="7175" width="17.875" style="3559" customWidth="1"/>
    <col min="7176" max="7177" width="13.875" style="3559" customWidth="1"/>
    <col min="7178" max="7178" width="9.625" style="3559" customWidth="1"/>
    <col min="7179" max="7179" width="9" style="3559" customWidth="1"/>
    <col min="7180" max="7180" width="20.125" style="3559" customWidth="1"/>
    <col min="7181" max="7181" width="27.75" style="3559" customWidth="1"/>
    <col min="7182" max="7182" width="10.625" style="3559" customWidth="1"/>
    <col min="7183" max="7183" width="16" style="3559" customWidth="1"/>
    <col min="7184" max="7184" width="14.375" style="3559" customWidth="1"/>
    <col min="7185" max="7185" width="6.25" style="3559" customWidth="1"/>
    <col min="7186" max="7186" width="7.875" style="3559" customWidth="1"/>
    <col min="7187" max="7424" width="9" style="3559"/>
    <col min="7425" max="7425" width="29.375" style="3559" customWidth="1"/>
    <col min="7426" max="7426" width="6.25" style="3559" customWidth="1"/>
    <col min="7427" max="7427" width="7.875" style="3559" customWidth="1"/>
    <col min="7428" max="7428" width="4.625" style="3559" customWidth="1"/>
    <col min="7429" max="7429" width="29.375" style="3559" customWidth="1"/>
    <col min="7430" max="7430" width="9.625" style="3559" customWidth="1"/>
    <col min="7431" max="7431" width="17.875" style="3559" customWidth="1"/>
    <col min="7432" max="7433" width="13.875" style="3559" customWidth="1"/>
    <col min="7434" max="7434" width="9.625" style="3559" customWidth="1"/>
    <col min="7435" max="7435" width="9" style="3559" customWidth="1"/>
    <col min="7436" max="7436" width="20.125" style="3559" customWidth="1"/>
    <col min="7437" max="7437" width="27.75" style="3559" customWidth="1"/>
    <col min="7438" max="7438" width="10.625" style="3559" customWidth="1"/>
    <col min="7439" max="7439" width="16" style="3559" customWidth="1"/>
    <col min="7440" max="7440" width="14.375" style="3559" customWidth="1"/>
    <col min="7441" max="7441" width="6.25" style="3559" customWidth="1"/>
    <col min="7442" max="7442" width="7.875" style="3559" customWidth="1"/>
    <col min="7443" max="7680" width="9" style="3559"/>
    <col min="7681" max="7681" width="29.375" style="3559" customWidth="1"/>
    <col min="7682" max="7682" width="6.25" style="3559" customWidth="1"/>
    <col min="7683" max="7683" width="7.875" style="3559" customWidth="1"/>
    <col min="7684" max="7684" width="4.625" style="3559" customWidth="1"/>
    <col min="7685" max="7685" width="29.375" style="3559" customWidth="1"/>
    <col min="7686" max="7686" width="9.625" style="3559" customWidth="1"/>
    <col min="7687" max="7687" width="17.875" style="3559" customWidth="1"/>
    <col min="7688" max="7689" width="13.875" style="3559" customWidth="1"/>
    <col min="7690" max="7690" width="9.625" style="3559" customWidth="1"/>
    <col min="7691" max="7691" width="9" style="3559" customWidth="1"/>
    <col min="7692" max="7692" width="20.125" style="3559" customWidth="1"/>
    <col min="7693" max="7693" width="27.75" style="3559" customWidth="1"/>
    <col min="7694" max="7694" width="10.625" style="3559" customWidth="1"/>
    <col min="7695" max="7695" width="16" style="3559" customWidth="1"/>
    <col min="7696" max="7696" width="14.375" style="3559" customWidth="1"/>
    <col min="7697" max="7697" width="6.25" style="3559" customWidth="1"/>
    <col min="7698" max="7698" width="7.875" style="3559" customWidth="1"/>
    <col min="7699" max="7936" width="9" style="3559"/>
    <col min="7937" max="7937" width="29.375" style="3559" customWidth="1"/>
    <col min="7938" max="7938" width="6.25" style="3559" customWidth="1"/>
    <col min="7939" max="7939" width="7.875" style="3559" customWidth="1"/>
    <col min="7940" max="7940" width="4.625" style="3559" customWidth="1"/>
    <col min="7941" max="7941" width="29.375" style="3559" customWidth="1"/>
    <col min="7942" max="7942" width="9.625" style="3559" customWidth="1"/>
    <col min="7943" max="7943" width="17.875" style="3559" customWidth="1"/>
    <col min="7944" max="7945" width="13.875" style="3559" customWidth="1"/>
    <col min="7946" max="7946" width="9.625" style="3559" customWidth="1"/>
    <col min="7947" max="7947" width="9" style="3559" customWidth="1"/>
    <col min="7948" max="7948" width="20.125" style="3559" customWidth="1"/>
    <col min="7949" max="7949" width="27.75" style="3559" customWidth="1"/>
    <col min="7950" max="7950" width="10.625" style="3559" customWidth="1"/>
    <col min="7951" max="7951" width="16" style="3559" customWidth="1"/>
    <col min="7952" max="7952" width="14.375" style="3559" customWidth="1"/>
    <col min="7953" max="7953" width="6.25" style="3559" customWidth="1"/>
    <col min="7954" max="7954" width="7.875" style="3559" customWidth="1"/>
    <col min="7955" max="8192" width="9" style="3559"/>
    <col min="8193" max="8193" width="29.375" style="3559" customWidth="1"/>
    <col min="8194" max="8194" width="6.25" style="3559" customWidth="1"/>
    <col min="8195" max="8195" width="7.875" style="3559" customWidth="1"/>
    <col min="8196" max="8196" width="4.625" style="3559" customWidth="1"/>
    <col min="8197" max="8197" width="29.375" style="3559" customWidth="1"/>
    <col min="8198" max="8198" width="9.625" style="3559" customWidth="1"/>
    <col min="8199" max="8199" width="17.875" style="3559" customWidth="1"/>
    <col min="8200" max="8201" width="13.875" style="3559" customWidth="1"/>
    <col min="8202" max="8202" width="9.625" style="3559" customWidth="1"/>
    <col min="8203" max="8203" width="9" style="3559" customWidth="1"/>
    <col min="8204" max="8204" width="20.125" style="3559" customWidth="1"/>
    <col min="8205" max="8205" width="27.75" style="3559" customWidth="1"/>
    <col min="8206" max="8206" width="10.625" style="3559" customWidth="1"/>
    <col min="8207" max="8207" width="16" style="3559" customWidth="1"/>
    <col min="8208" max="8208" width="14.375" style="3559" customWidth="1"/>
    <col min="8209" max="8209" width="6.25" style="3559" customWidth="1"/>
    <col min="8210" max="8210" width="7.875" style="3559" customWidth="1"/>
    <col min="8211" max="8448" width="9" style="3559"/>
    <col min="8449" max="8449" width="29.375" style="3559" customWidth="1"/>
    <col min="8450" max="8450" width="6.25" style="3559" customWidth="1"/>
    <col min="8451" max="8451" width="7.875" style="3559" customWidth="1"/>
    <col min="8452" max="8452" width="4.625" style="3559" customWidth="1"/>
    <col min="8453" max="8453" width="29.375" style="3559" customWidth="1"/>
    <col min="8454" max="8454" width="9.625" style="3559" customWidth="1"/>
    <col min="8455" max="8455" width="17.875" style="3559" customWidth="1"/>
    <col min="8456" max="8457" width="13.875" style="3559" customWidth="1"/>
    <col min="8458" max="8458" width="9.625" style="3559" customWidth="1"/>
    <col min="8459" max="8459" width="9" style="3559" customWidth="1"/>
    <col min="8460" max="8460" width="20.125" style="3559" customWidth="1"/>
    <col min="8461" max="8461" width="27.75" style="3559" customWidth="1"/>
    <col min="8462" max="8462" width="10.625" style="3559" customWidth="1"/>
    <col min="8463" max="8463" width="16" style="3559" customWidth="1"/>
    <col min="8464" max="8464" width="14.375" style="3559" customWidth="1"/>
    <col min="8465" max="8465" width="6.25" style="3559" customWidth="1"/>
    <col min="8466" max="8466" width="7.875" style="3559" customWidth="1"/>
    <col min="8467" max="8704" width="9" style="3559"/>
    <col min="8705" max="8705" width="29.375" style="3559" customWidth="1"/>
    <col min="8706" max="8706" width="6.25" style="3559" customWidth="1"/>
    <col min="8707" max="8707" width="7.875" style="3559" customWidth="1"/>
    <col min="8708" max="8708" width="4.625" style="3559" customWidth="1"/>
    <col min="8709" max="8709" width="29.375" style="3559" customWidth="1"/>
    <col min="8710" max="8710" width="9.625" style="3559" customWidth="1"/>
    <col min="8711" max="8711" width="17.875" style="3559" customWidth="1"/>
    <col min="8712" max="8713" width="13.875" style="3559" customWidth="1"/>
    <col min="8714" max="8714" width="9.625" style="3559" customWidth="1"/>
    <col min="8715" max="8715" width="9" style="3559" customWidth="1"/>
    <col min="8716" max="8716" width="20.125" style="3559" customWidth="1"/>
    <col min="8717" max="8717" width="27.75" style="3559" customWidth="1"/>
    <col min="8718" max="8718" width="10.625" style="3559" customWidth="1"/>
    <col min="8719" max="8719" width="16" style="3559" customWidth="1"/>
    <col min="8720" max="8720" width="14.375" style="3559" customWidth="1"/>
    <col min="8721" max="8721" width="6.25" style="3559" customWidth="1"/>
    <col min="8722" max="8722" width="7.875" style="3559" customWidth="1"/>
    <col min="8723" max="8960" width="9" style="3559"/>
    <col min="8961" max="8961" width="29.375" style="3559" customWidth="1"/>
    <col min="8962" max="8962" width="6.25" style="3559" customWidth="1"/>
    <col min="8963" max="8963" width="7.875" style="3559" customWidth="1"/>
    <col min="8964" max="8964" width="4.625" style="3559" customWidth="1"/>
    <col min="8965" max="8965" width="29.375" style="3559" customWidth="1"/>
    <col min="8966" max="8966" width="9.625" style="3559" customWidth="1"/>
    <col min="8967" max="8967" width="17.875" style="3559" customWidth="1"/>
    <col min="8968" max="8969" width="13.875" style="3559" customWidth="1"/>
    <col min="8970" max="8970" width="9.625" style="3559" customWidth="1"/>
    <col min="8971" max="8971" width="9" style="3559" customWidth="1"/>
    <col min="8972" max="8972" width="20.125" style="3559" customWidth="1"/>
    <col min="8973" max="8973" width="27.75" style="3559" customWidth="1"/>
    <col min="8974" max="8974" width="10.625" style="3559" customWidth="1"/>
    <col min="8975" max="8975" width="16" style="3559" customWidth="1"/>
    <col min="8976" max="8976" width="14.375" style="3559" customWidth="1"/>
    <col min="8977" max="8977" width="6.25" style="3559" customWidth="1"/>
    <col min="8978" max="8978" width="7.875" style="3559" customWidth="1"/>
    <col min="8979" max="9216" width="9" style="3559"/>
    <col min="9217" max="9217" width="29.375" style="3559" customWidth="1"/>
    <col min="9218" max="9218" width="6.25" style="3559" customWidth="1"/>
    <col min="9219" max="9219" width="7.875" style="3559" customWidth="1"/>
    <col min="9220" max="9220" width="4.625" style="3559" customWidth="1"/>
    <col min="9221" max="9221" width="29.375" style="3559" customWidth="1"/>
    <col min="9222" max="9222" width="9.625" style="3559" customWidth="1"/>
    <col min="9223" max="9223" width="17.875" style="3559" customWidth="1"/>
    <col min="9224" max="9225" width="13.875" style="3559" customWidth="1"/>
    <col min="9226" max="9226" width="9.625" style="3559" customWidth="1"/>
    <col min="9227" max="9227" width="9" style="3559" customWidth="1"/>
    <col min="9228" max="9228" width="20.125" style="3559" customWidth="1"/>
    <col min="9229" max="9229" width="27.75" style="3559" customWidth="1"/>
    <col min="9230" max="9230" width="10.625" style="3559" customWidth="1"/>
    <col min="9231" max="9231" width="16" style="3559" customWidth="1"/>
    <col min="9232" max="9232" width="14.375" style="3559" customWidth="1"/>
    <col min="9233" max="9233" width="6.25" style="3559" customWidth="1"/>
    <col min="9234" max="9234" width="7.875" style="3559" customWidth="1"/>
    <col min="9235" max="9472" width="9" style="3559"/>
    <col min="9473" max="9473" width="29.375" style="3559" customWidth="1"/>
    <col min="9474" max="9474" width="6.25" style="3559" customWidth="1"/>
    <col min="9475" max="9475" width="7.875" style="3559" customWidth="1"/>
    <col min="9476" max="9476" width="4.625" style="3559" customWidth="1"/>
    <col min="9477" max="9477" width="29.375" style="3559" customWidth="1"/>
    <col min="9478" max="9478" width="9.625" style="3559" customWidth="1"/>
    <col min="9479" max="9479" width="17.875" style="3559" customWidth="1"/>
    <col min="9480" max="9481" width="13.875" style="3559" customWidth="1"/>
    <col min="9482" max="9482" width="9.625" style="3559" customWidth="1"/>
    <col min="9483" max="9483" width="9" style="3559" customWidth="1"/>
    <col min="9484" max="9484" width="20.125" style="3559" customWidth="1"/>
    <col min="9485" max="9485" width="27.75" style="3559" customWidth="1"/>
    <col min="9486" max="9486" width="10.625" style="3559" customWidth="1"/>
    <col min="9487" max="9487" width="16" style="3559" customWidth="1"/>
    <col min="9488" max="9488" width="14.375" style="3559" customWidth="1"/>
    <col min="9489" max="9489" width="6.25" style="3559" customWidth="1"/>
    <col min="9490" max="9490" width="7.875" style="3559" customWidth="1"/>
    <col min="9491" max="9728" width="9" style="3559"/>
    <col min="9729" max="9729" width="29.375" style="3559" customWidth="1"/>
    <col min="9730" max="9730" width="6.25" style="3559" customWidth="1"/>
    <col min="9731" max="9731" width="7.875" style="3559" customWidth="1"/>
    <col min="9732" max="9732" width="4.625" style="3559" customWidth="1"/>
    <col min="9733" max="9733" width="29.375" style="3559" customWidth="1"/>
    <col min="9734" max="9734" width="9.625" style="3559" customWidth="1"/>
    <col min="9735" max="9735" width="17.875" style="3559" customWidth="1"/>
    <col min="9736" max="9737" width="13.875" style="3559" customWidth="1"/>
    <col min="9738" max="9738" width="9.625" style="3559" customWidth="1"/>
    <col min="9739" max="9739" width="9" style="3559" customWidth="1"/>
    <col min="9740" max="9740" width="20.125" style="3559" customWidth="1"/>
    <col min="9741" max="9741" width="27.75" style="3559" customWidth="1"/>
    <col min="9742" max="9742" width="10.625" style="3559" customWidth="1"/>
    <col min="9743" max="9743" width="16" style="3559" customWidth="1"/>
    <col min="9744" max="9744" width="14.375" style="3559" customWidth="1"/>
    <col min="9745" max="9745" width="6.25" style="3559" customWidth="1"/>
    <col min="9746" max="9746" width="7.875" style="3559" customWidth="1"/>
    <col min="9747" max="9984" width="9" style="3559"/>
    <col min="9985" max="9985" width="29.375" style="3559" customWidth="1"/>
    <col min="9986" max="9986" width="6.25" style="3559" customWidth="1"/>
    <col min="9987" max="9987" width="7.875" style="3559" customWidth="1"/>
    <col min="9988" max="9988" width="4.625" style="3559" customWidth="1"/>
    <col min="9989" max="9989" width="29.375" style="3559" customWidth="1"/>
    <col min="9990" max="9990" width="9.625" style="3559" customWidth="1"/>
    <col min="9991" max="9991" width="17.875" style="3559" customWidth="1"/>
    <col min="9992" max="9993" width="13.875" style="3559" customWidth="1"/>
    <col min="9994" max="9994" width="9.625" style="3559" customWidth="1"/>
    <col min="9995" max="9995" width="9" style="3559" customWidth="1"/>
    <col min="9996" max="9996" width="20.125" style="3559" customWidth="1"/>
    <col min="9997" max="9997" width="27.75" style="3559" customWidth="1"/>
    <col min="9998" max="9998" width="10.625" style="3559" customWidth="1"/>
    <col min="9999" max="9999" width="16" style="3559" customWidth="1"/>
    <col min="10000" max="10000" width="14.375" style="3559" customWidth="1"/>
    <col min="10001" max="10001" width="6.25" style="3559" customWidth="1"/>
    <col min="10002" max="10002" width="7.875" style="3559" customWidth="1"/>
    <col min="10003" max="10240" width="9" style="3559"/>
    <col min="10241" max="10241" width="29.375" style="3559" customWidth="1"/>
    <col min="10242" max="10242" width="6.25" style="3559" customWidth="1"/>
    <col min="10243" max="10243" width="7.875" style="3559" customWidth="1"/>
    <col min="10244" max="10244" width="4.625" style="3559" customWidth="1"/>
    <col min="10245" max="10245" width="29.375" style="3559" customWidth="1"/>
    <col min="10246" max="10246" width="9.625" style="3559" customWidth="1"/>
    <col min="10247" max="10247" width="17.875" style="3559" customWidth="1"/>
    <col min="10248" max="10249" width="13.875" style="3559" customWidth="1"/>
    <col min="10250" max="10250" width="9.625" style="3559" customWidth="1"/>
    <col min="10251" max="10251" width="9" style="3559" customWidth="1"/>
    <col min="10252" max="10252" width="20.125" style="3559" customWidth="1"/>
    <col min="10253" max="10253" width="27.75" style="3559" customWidth="1"/>
    <col min="10254" max="10254" width="10.625" style="3559" customWidth="1"/>
    <col min="10255" max="10255" width="16" style="3559" customWidth="1"/>
    <col min="10256" max="10256" width="14.375" style="3559" customWidth="1"/>
    <col min="10257" max="10257" width="6.25" style="3559" customWidth="1"/>
    <col min="10258" max="10258" width="7.875" style="3559" customWidth="1"/>
    <col min="10259" max="10496" width="9" style="3559"/>
    <col min="10497" max="10497" width="29.375" style="3559" customWidth="1"/>
    <col min="10498" max="10498" width="6.25" style="3559" customWidth="1"/>
    <col min="10499" max="10499" width="7.875" style="3559" customWidth="1"/>
    <col min="10500" max="10500" width="4.625" style="3559" customWidth="1"/>
    <col min="10501" max="10501" width="29.375" style="3559" customWidth="1"/>
    <col min="10502" max="10502" width="9.625" style="3559" customWidth="1"/>
    <col min="10503" max="10503" width="17.875" style="3559" customWidth="1"/>
    <col min="10504" max="10505" width="13.875" style="3559" customWidth="1"/>
    <col min="10506" max="10506" width="9.625" style="3559" customWidth="1"/>
    <col min="10507" max="10507" width="9" style="3559" customWidth="1"/>
    <col min="10508" max="10508" width="20.125" style="3559" customWidth="1"/>
    <col min="10509" max="10509" width="27.75" style="3559" customWidth="1"/>
    <col min="10510" max="10510" width="10.625" style="3559" customWidth="1"/>
    <col min="10511" max="10511" width="16" style="3559" customWidth="1"/>
    <col min="10512" max="10512" width="14.375" style="3559" customWidth="1"/>
    <col min="10513" max="10513" width="6.25" style="3559" customWidth="1"/>
    <col min="10514" max="10514" width="7.875" style="3559" customWidth="1"/>
    <col min="10515" max="10752" width="9" style="3559"/>
    <col min="10753" max="10753" width="29.375" style="3559" customWidth="1"/>
    <col min="10754" max="10754" width="6.25" style="3559" customWidth="1"/>
    <col min="10755" max="10755" width="7.875" style="3559" customWidth="1"/>
    <col min="10756" max="10756" width="4.625" style="3559" customWidth="1"/>
    <col min="10757" max="10757" width="29.375" style="3559" customWidth="1"/>
    <col min="10758" max="10758" width="9.625" style="3559" customWidth="1"/>
    <col min="10759" max="10759" width="17.875" style="3559" customWidth="1"/>
    <col min="10760" max="10761" width="13.875" style="3559" customWidth="1"/>
    <col min="10762" max="10762" width="9.625" style="3559" customWidth="1"/>
    <col min="10763" max="10763" width="9" style="3559" customWidth="1"/>
    <col min="10764" max="10764" width="20.125" style="3559" customWidth="1"/>
    <col min="10765" max="10765" width="27.75" style="3559" customWidth="1"/>
    <col min="10766" max="10766" width="10.625" style="3559" customWidth="1"/>
    <col min="10767" max="10767" width="16" style="3559" customWidth="1"/>
    <col min="10768" max="10768" width="14.375" style="3559" customWidth="1"/>
    <col min="10769" max="10769" width="6.25" style="3559" customWidth="1"/>
    <col min="10770" max="10770" width="7.875" style="3559" customWidth="1"/>
    <col min="10771" max="11008" width="9" style="3559"/>
    <col min="11009" max="11009" width="29.375" style="3559" customWidth="1"/>
    <col min="11010" max="11010" width="6.25" style="3559" customWidth="1"/>
    <col min="11011" max="11011" width="7.875" style="3559" customWidth="1"/>
    <col min="11012" max="11012" width="4.625" style="3559" customWidth="1"/>
    <col min="11013" max="11013" width="29.375" style="3559" customWidth="1"/>
    <col min="11014" max="11014" width="9.625" style="3559" customWidth="1"/>
    <col min="11015" max="11015" width="17.875" style="3559" customWidth="1"/>
    <col min="11016" max="11017" width="13.875" style="3559" customWidth="1"/>
    <col min="11018" max="11018" width="9.625" style="3559" customWidth="1"/>
    <col min="11019" max="11019" width="9" style="3559" customWidth="1"/>
    <col min="11020" max="11020" width="20.125" style="3559" customWidth="1"/>
    <col min="11021" max="11021" width="27.75" style="3559" customWidth="1"/>
    <col min="11022" max="11022" width="10.625" style="3559" customWidth="1"/>
    <col min="11023" max="11023" width="16" style="3559" customWidth="1"/>
    <col min="11024" max="11024" width="14.375" style="3559" customWidth="1"/>
    <col min="11025" max="11025" width="6.25" style="3559" customWidth="1"/>
    <col min="11026" max="11026" width="7.875" style="3559" customWidth="1"/>
    <col min="11027" max="11264" width="9" style="3559"/>
    <col min="11265" max="11265" width="29.375" style="3559" customWidth="1"/>
    <col min="11266" max="11266" width="6.25" style="3559" customWidth="1"/>
    <col min="11267" max="11267" width="7.875" style="3559" customWidth="1"/>
    <col min="11268" max="11268" width="4.625" style="3559" customWidth="1"/>
    <col min="11269" max="11269" width="29.375" style="3559" customWidth="1"/>
    <col min="11270" max="11270" width="9.625" style="3559" customWidth="1"/>
    <col min="11271" max="11271" width="17.875" style="3559" customWidth="1"/>
    <col min="11272" max="11273" width="13.875" style="3559" customWidth="1"/>
    <col min="11274" max="11274" width="9.625" style="3559" customWidth="1"/>
    <col min="11275" max="11275" width="9" style="3559" customWidth="1"/>
    <col min="11276" max="11276" width="20.125" style="3559" customWidth="1"/>
    <col min="11277" max="11277" width="27.75" style="3559" customWidth="1"/>
    <col min="11278" max="11278" width="10.625" style="3559" customWidth="1"/>
    <col min="11279" max="11279" width="16" style="3559" customWidth="1"/>
    <col min="11280" max="11280" width="14.375" style="3559" customWidth="1"/>
    <col min="11281" max="11281" width="6.25" style="3559" customWidth="1"/>
    <col min="11282" max="11282" width="7.875" style="3559" customWidth="1"/>
    <col min="11283" max="11520" width="9" style="3559"/>
    <col min="11521" max="11521" width="29.375" style="3559" customWidth="1"/>
    <col min="11522" max="11522" width="6.25" style="3559" customWidth="1"/>
    <col min="11523" max="11523" width="7.875" style="3559" customWidth="1"/>
    <col min="11524" max="11524" width="4.625" style="3559" customWidth="1"/>
    <col min="11525" max="11525" width="29.375" style="3559" customWidth="1"/>
    <col min="11526" max="11526" width="9.625" style="3559" customWidth="1"/>
    <col min="11527" max="11527" width="17.875" style="3559" customWidth="1"/>
    <col min="11528" max="11529" width="13.875" style="3559" customWidth="1"/>
    <col min="11530" max="11530" width="9.625" style="3559" customWidth="1"/>
    <col min="11531" max="11531" width="9" style="3559" customWidth="1"/>
    <col min="11532" max="11532" width="20.125" style="3559" customWidth="1"/>
    <col min="11533" max="11533" width="27.75" style="3559" customWidth="1"/>
    <col min="11534" max="11534" width="10.625" style="3559" customWidth="1"/>
    <col min="11535" max="11535" width="16" style="3559" customWidth="1"/>
    <col min="11536" max="11536" width="14.375" style="3559" customWidth="1"/>
    <col min="11537" max="11537" width="6.25" style="3559" customWidth="1"/>
    <col min="11538" max="11538" width="7.875" style="3559" customWidth="1"/>
    <col min="11539" max="11776" width="9" style="3559"/>
    <col min="11777" max="11777" width="29.375" style="3559" customWidth="1"/>
    <col min="11778" max="11778" width="6.25" style="3559" customWidth="1"/>
    <col min="11779" max="11779" width="7.875" style="3559" customWidth="1"/>
    <col min="11780" max="11780" width="4.625" style="3559" customWidth="1"/>
    <col min="11781" max="11781" width="29.375" style="3559" customWidth="1"/>
    <col min="11782" max="11782" width="9.625" style="3559" customWidth="1"/>
    <col min="11783" max="11783" width="17.875" style="3559" customWidth="1"/>
    <col min="11784" max="11785" width="13.875" style="3559" customWidth="1"/>
    <col min="11786" max="11786" width="9.625" style="3559" customWidth="1"/>
    <col min="11787" max="11787" width="9" style="3559" customWidth="1"/>
    <col min="11788" max="11788" width="20.125" style="3559" customWidth="1"/>
    <col min="11789" max="11789" width="27.75" style="3559" customWidth="1"/>
    <col min="11790" max="11790" width="10.625" style="3559" customWidth="1"/>
    <col min="11791" max="11791" width="16" style="3559" customWidth="1"/>
    <col min="11792" max="11792" width="14.375" style="3559" customWidth="1"/>
    <col min="11793" max="11793" width="6.25" style="3559" customWidth="1"/>
    <col min="11794" max="11794" width="7.875" style="3559" customWidth="1"/>
    <col min="11795" max="12032" width="9" style="3559"/>
    <col min="12033" max="12033" width="29.375" style="3559" customWidth="1"/>
    <col min="12034" max="12034" width="6.25" style="3559" customWidth="1"/>
    <col min="12035" max="12035" width="7.875" style="3559" customWidth="1"/>
    <col min="12036" max="12036" width="4.625" style="3559" customWidth="1"/>
    <col min="12037" max="12037" width="29.375" style="3559" customWidth="1"/>
    <col min="12038" max="12038" width="9.625" style="3559" customWidth="1"/>
    <col min="12039" max="12039" width="17.875" style="3559" customWidth="1"/>
    <col min="12040" max="12041" width="13.875" style="3559" customWidth="1"/>
    <col min="12042" max="12042" width="9.625" style="3559" customWidth="1"/>
    <col min="12043" max="12043" width="9" style="3559" customWidth="1"/>
    <col min="12044" max="12044" width="20.125" style="3559" customWidth="1"/>
    <col min="12045" max="12045" width="27.75" style="3559" customWidth="1"/>
    <col min="12046" max="12046" width="10.625" style="3559" customWidth="1"/>
    <col min="12047" max="12047" width="16" style="3559" customWidth="1"/>
    <col min="12048" max="12048" width="14.375" style="3559" customWidth="1"/>
    <col min="12049" max="12049" width="6.25" style="3559" customWidth="1"/>
    <col min="12050" max="12050" width="7.875" style="3559" customWidth="1"/>
    <col min="12051" max="12288" width="9" style="3559"/>
    <col min="12289" max="12289" width="29.375" style="3559" customWidth="1"/>
    <col min="12290" max="12290" width="6.25" style="3559" customWidth="1"/>
    <col min="12291" max="12291" width="7.875" style="3559" customWidth="1"/>
    <col min="12292" max="12292" width="4.625" style="3559" customWidth="1"/>
    <col min="12293" max="12293" width="29.375" style="3559" customWidth="1"/>
    <col min="12294" max="12294" width="9.625" style="3559" customWidth="1"/>
    <col min="12295" max="12295" width="17.875" style="3559" customWidth="1"/>
    <col min="12296" max="12297" width="13.875" style="3559" customWidth="1"/>
    <col min="12298" max="12298" width="9.625" style="3559" customWidth="1"/>
    <col min="12299" max="12299" width="9" style="3559" customWidth="1"/>
    <col min="12300" max="12300" width="20.125" style="3559" customWidth="1"/>
    <col min="12301" max="12301" width="27.75" style="3559" customWidth="1"/>
    <col min="12302" max="12302" width="10.625" style="3559" customWidth="1"/>
    <col min="12303" max="12303" width="16" style="3559" customWidth="1"/>
    <col min="12304" max="12304" width="14.375" style="3559" customWidth="1"/>
    <col min="12305" max="12305" width="6.25" style="3559" customWidth="1"/>
    <col min="12306" max="12306" width="7.875" style="3559" customWidth="1"/>
    <col min="12307" max="12544" width="9" style="3559"/>
    <col min="12545" max="12545" width="29.375" style="3559" customWidth="1"/>
    <col min="12546" max="12546" width="6.25" style="3559" customWidth="1"/>
    <col min="12547" max="12547" width="7.875" style="3559" customWidth="1"/>
    <col min="12548" max="12548" width="4.625" style="3559" customWidth="1"/>
    <col min="12549" max="12549" width="29.375" style="3559" customWidth="1"/>
    <col min="12550" max="12550" width="9.625" style="3559" customWidth="1"/>
    <col min="12551" max="12551" width="17.875" style="3559" customWidth="1"/>
    <col min="12552" max="12553" width="13.875" style="3559" customWidth="1"/>
    <col min="12554" max="12554" width="9.625" style="3559" customWidth="1"/>
    <col min="12555" max="12555" width="9" style="3559" customWidth="1"/>
    <col min="12556" max="12556" width="20.125" style="3559" customWidth="1"/>
    <col min="12557" max="12557" width="27.75" style="3559" customWidth="1"/>
    <col min="12558" max="12558" width="10.625" style="3559" customWidth="1"/>
    <col min="12559" max="12559" width="16" style="3559" customWidth="1"/>
    <col min="12560" max="12560" width="14.375" style="3559" customWidth="1"/>
    <col min="12561" max="12561" width="6.25" style="3559" customWidth="1"/>
    <col min="12562" max="12562" width="7.875" style="3559" customWidth="1"/>
    <col min="12563" max="12800" width="9" style="3559"/>
    <col min="12801" max="12801" width="29.375" style="3559" customWidth="1"/>
    <col min="12802" max="12802" width="6.25" style="3559" customWidth="1"/>
    <col min="12803" max="12803" width="7.875" style="3559" customWidth="1"/>
    <col min="12804" max="12804" width="4.625" style="3559" customWidth="1"/>
    <col min="12805" max="12805" width="29.375" style="3559" customWidth="1"/>
    <col min="12806" max="12806" width="9.625" style="3559" customWidth="1"/>
    <col min="12807" max="12807" width="17.875" style="3559" customWidth="1"/>
    <col min="12808" max="12809" width="13.875" style="3559" customWidth="1"/>
    <col min="12810" max="12810" width="9.625" style="3559" customWidth="1"/>
    <col min="12811" max="12811" width="9" style="3559" customWidth="1"/>
    <col min="12812" max="12812" width="20.125" style="3559" customWidth="1"/>
    <col min="12813" max="12813" width="27.75" style="3559" customWidth="1"/>
    <col min="12814" max="12814" width="10.625" style="3559" customWidth="1"/>
    <col min="12815" max="12815" width="16" style="3559" customWidth="1"/>
    <col min="12816" max="12816" width="14.375" style="3559" customWidth="1"/>
    <col min="12817" max="12817" width="6.25" style="3559" customWidth="1"/>
    <col min="12818" max="12818" width="7.875" style="3559" customWidth="1"/>
    <col min="12819" max="13056" width="9" style="3559"/>
    <col min="13057" max="13057" width="29.375" style="3559" customWidth="1"/>
    <col min="13058" max="13058" width="6.25" style="3559" customWidth="1"/>
    <col min="13059" max="13059" width="7.875" style="3559" customWidth="1"/>
    <col min="13060" max="13060" width="4.625" style="3559" customWidth="1"/>
    <col min="13061" max="13061" width="29.375" style="3559" customWidth="1"/>
    <col min="13062" max="13062" width="9.625" style="3559" customWidth="1"/>
    <col min="13063" max="13063" width="17.875" style="3559" customWidth="1"/>
    <col min="13064" max="13065" width="13.875" style="3559" customWidth="1"/>
    <col min="13066" max="13066" width="9.625" style="3559" customWidth="1"/>
    <col min="13067" max="13067" width="9" style="3559" customWidth="1"/>
    <col min="13068" max="13068" width="20.125" style="3559" customWidth="1"/>
    <col min="13069" max="13069" width="27.75" style="3559" customWidth="1"/>
    <col min="13070" max="13070" width="10.625" style="3559" customWidth="1"/>
    <col min="13071" max="13071" width="16" style="3559" customWidth="1"/>
    <col min="13072" max="13072" width="14.375" style="3559" customWidth="1"/>
    <col min="13073" max="13073" width="6.25" style="3559" customWidth="1"/>
    <col min="13074" max="13074" width="7.875" style="3559" customWidth="1"/>
    <col min="13075" max="13312" width="9" style="3559"/>
    <col min="13313" max="13313" width="29.375" style="3559" customWidth="1"/>
    <col min="13314" max="13314" width="6.25" style="3559" customWidth="1"/>
    <col min="13315" max="13315" width="7.875" style="3559" customWidth="1"/>
    <col min="13316" max="13316" width="4.625" style="3559" customWidth="1"/>
    <col min="13317" max="13317" width="29.375" style="3559" customWidth="1"/>
    <col min="13318" max="13318" width="9.625" style="3559" customWidth="1"/>
    <col min="13319" max="13319" width="17.875" style="3559" customWidth="1"/>
    <col min="13320" max="13321" width="13.875" style="3559" customWidth="1"/>
    <col min="13322" max="13322" width="9.625" style="3559" customWidth="1"/>
    <col min="13323" max="13323" width="9" style="3559" customWidth="1"/>
    <col min="13324" max="13324" width="20.125" style="3559" customWidth="1"/>
    <col min="13325" max="13325" width="27.75" style="3559" customWidth="1"/>
    <col min="13326" max="13326" width="10.625" style="3559" customWidth="1"/>
    <col min="13327" max="13327" width="16" style="3559" customWidth="1"/>
    <col min="13328" max="13328" width="14.375" style="3559" customWidth="1"/>
    <col min="13329" max="13329" width="6.25" style="3559" customWidth="1"/>
    <col min="13330" max="13330" width="7.875" style="3559" customWidth="1"/>
    <col min="13331" max="13568" width="9" style="3559"/>
    <col min="13569" max="13569" width="29.375" style="3559" customWidth="1"/>
    <col min="13570" max="13570" width="6.25" style="3559" customWidth="1"/>
    <col min="13571" max="13571" width="7.875" style="3559" customWidth="1"/>
    <col min="13572" max="13572" width="4.625" style="3559" customWidth="1"/>
    <col min="13573" max="13573" width="29.375" style="3559" customWidth="1"/>
    <col min="13574" max="13574" width="9.625" style="3559" customWidth="1"/>
    <col min="13575" max="13575" width="17.875" style="3559" customWidth="1"/>
    <col min="13576" max="13577" width="13.875" style="3559" customWidth="1"/>
    <col min="13578" max="13578" width="9.625" style="3559" customWidth="1"/>
    <col min="13579" max="13579" width="9" style="3559" customWidth="1"/>
    <col min="13580" max="13580" width="20.125" style="3559" customWidth="1"/>
    <col min="13581" max="13581" width="27.75" style="3559" customWidth="1"/>
    <col min="13582" max="13582" width="10.625" style="3559" customWidth="1"/>
    <col min="13583" max="13583" width="16" style="3559" customWidth="1"/>
    <col min="13584" max="13584" width="14.375" style="3559" customWidth="1"/>
    <col min="13585" max="13585" width="6.25" style="3559" customWidth="1"/>
    <col min="13586" max="13586" width="7.875" style="3559" customWidth="1"/>
    <col min="13587" max="13824" width="9" style="3559"/>
    <col min="13825" max="13825" width="29.375" style="3559" customWidth="1"/>
    <col min="13826" max="13826" width="6.25" style="3559" customWidth="1"/>
    <col min="13827" max="13827" width="7.875" style="3559" customWidth="1"/>
    <col min="13828" max="13828" width="4.625" style="3559" customWidth="1"/>
    <col min="13829" max="13829" width="29.375" style="3559" customWidth="1"/>
    <col min="13830" max="13830" width="9.625" style="3559" customWidth="1"/>
    <col min="13831" max="13831" width="17.875" style="3559" customWidth="1"/>
    <col min="13832" max="13833" width="13.875" style="3559" customWidth="1"/>
    <col min="13834" max="13834" width="9.625" style="3559" customWidth="1"/>
    <col min="13835" max="13835" width="9" style="3559" customWidth="1"/>
    <col min="13836" max="13836" width="20.125" style="3559" customWidth="1"/>
    <col min="13837" max="13837" width="27.75" style="3559" customWidth="1"/>
    <col min="13838" max="13838" width="10.625" style="3559" customWidth="1"/>
    <col min="13839" max="13839" width="16" style="3559" customWidth="1"/>
    <col min="13840" max="13840" width="14.375" style="3559" customWidth="1"/>
    <col min="13841" max="13841" width="6.25" style="3559" customWidth="1"/>
    <col min="13842" max="13842" width="7.875" style="3559" customWidth="1"/>
    <col min="13843" max="14080" width="9" style="3559"/>
    <col min="14081" max="14081" width="29.375" style="3559" customWidth="1"/>
    <col min="14082" max="14082" width="6.25" style="3559" customWidth="1"/>
    <col min="14083" max="14083" width="7.875" style="3559" customWidth="1"/>
    <col min="14084" max="14084" width="4.625" style="3559" customWidth="1"/>
    <col min="14085" max="14085" width="29.375" style="3559" customWidth="1"/>
    <col min="14086" max="14086" width="9.625" style="3559" customWidth="1"/>
    <col min="14087" max="14087" width="17.875" style="3559" customWidth="1"/>
    <col min="14088" max="14089" width="13.875" style="3559" customWidth="1"/>
    <col min="14090" max="14090" width="9.625" style="3559" customWidth="1"/>
    <col min="14091" max="14091" width="9" style="3559" customWidth="1"/>
    <col min="14092" max="14092" width="20.125" style="3559" customWidth="1"/>
    <col min="14093" max="14093" width="27.75" style="3559" customWidth="1"/>
    <col min="14094" max="14094" width="10.625" style="3559" customWidth="1"/>
    <col min="14095" max="14095" width="16" style="3559" customWidth="1"/>
    <col min="14096" max="14096" width="14.375" style="3559" customWidth="1"/>
    <col min="14097" max="14097" width="6.25" style="3559" customWidth="1"/>
    <col min="14098" max="14098" width="7.875" style="3559" customWidth="1"/>
    <col min="14099" max="14336" width="9" style="3559"/>
    <col min="14337" max="14337" width="29.375" style="3559" customWidth="1"/>
    <col min="14338" max="14338" width="6.25" style="3559" customWidth="1"/>
    <col min="14339" max="14339" width="7.875" style="3559" customWidth="1"/>
    <col min="14340" max="14340" width="4.625" style="3559" customWidth="1"/>
    <col min="14341" max="14341" width="29.375" style="3559" customWidth="1"/>
    <col min="14342" max="14342" width="9.625" style="3559" customWidth="1"/>
    <col min="14343" max="14343" width="17.875" style="3559" customWidth="1"/>
    <col min="14344" max="14345" width="13.875" style="3559" customWidth="1"/>
    <col min="14346" max="14346" width="9.625" style="3559" customWidth="1"/>
    <col min="14347" max="14347" width="9" style="3559" customWidth="1"/>
    <col min="14348" max="14348" width="20.125" style="3559" customWidth="1"/>
    <col min="14349" max="14349" width="27.75" style="3559" customWidth="1"/>
    <col min="14350" max="14350" width="10.625" style="3559" customWidth="1"/>
    <col min="14351" max="14351" width="16" style="3559" customWidth="1"/>
    <col min="14352" max="14352" width="14.375" style="3559" customWidth="1"/>
    <col min="14353" max="14353" width="6.25" style="3559" customWidth="1"/>
    <col min="14354" max="14354" width="7.875" style="3559" customWidth="1"/>
    <col min="14355" max="14592" width="9" style="3559"/>
    <col min="14593" max="14593" width="29.375" style="3559" customWidth="1"/>
    <col min="14594" max="14594" width="6.25" style="3559" customWidth="1"/>
    <col min="14595" max="14595" width="7.875" style="3559" customWidth="1"/>
    <col min="14596" max="14596" width="4.625" style="3559" customWidth="1"/>
    <col min="14597" max="14597" width="29.375" style="3559" customWidth="1"/>
    <col min="14598" max="14598" width="9.625" style="3559" customWidth="1"/>
    <col min="14599" max="14599" width="17.875" style="3559" customWidth="1"/>
    <col min="14600" max="14601" width="13.875" style="3559" customWidth="1"/>
    <col min="14602" max="14602" width="9.625" style="3559" customWidth="1"/>
    <col min="14603" max="14603" width="9" style="3559" customWidth="1"/>
    <col min="14604" max="14604" width="20.125" style="3559" customWidth="1"/>
    <col min="14605" max="14605" width="27.75" style="3559" customWidth="1"/>
    <col min="14606" max="14606" width="10.625" style="3559" customWidth="1"/>
    <col min="14607" max="14607" width="16" style="3559" customWidth="1"/>
    <col min="14608" max="14608" width="14.375" style="3559" customWidth="1"/>
    <col min="14609" max="14609" width="6.25" style="3559" customWidth="1"/>
    <col min="14610" max="14610" width="7.875" style="3559" customWidth="1"/>
    <col min="14611" max="14848" width="9" style="3559"/>
    <col min="14849" max="14849" width="29.375" style="3559" customWidth="1"/>
    <col min="14850" max="14850" width="6.25" style="3559" customWidth="1"/>
    <col min="14851" max="14851" width="7.875" style="3559" customWidth="1"/>
    <col min="14852" max="14852" width="4.625" style="3559" customWidth="1"/>
    <col min="14853" max="14853" width="29.375" style="3559" customWidth="1"/>
    <col min="14854" max="14854" width="9.625" style="3559" customWidth="1"/>
    <col min="14855" max="14855" width="17.875" style="3559" customWidth="1"/>
    <col min="14856" max="14857" width="13.875" style="3559" customWidth="1"/>
    <col min="14858" max="14858" width="9.625" style="3559" customWidth="1"/>
    <col min="14859" max="14859" width="9" style="3559" customWidth="1"/>
    <col min="14860" max="14860" width="20.125" style="3559" customWidth="1"/>
    <col min="14861" max="14861" width="27.75" style="3559" customWidth="1"/>
    <col min="14862" max="14862" width="10.625" style="3559" customWidth="1"/>
    <col min="14863" max="14863" width="16" style="3559" customWidth="1"/>
    <col min="14864" max="14864" width="14.375" style="3559" customWidth="1"/>
    <col min="14865" max="14865" width="6.25" style="3559" customWidth="1"/>
    <col min="14866" max="14866" width="7.875" style="3559" customWidth="1"/>
    <col min="14867" max="15104" width="9" style="3559"/>
    <col min="15105" max="15105" width="29.375" style="3559" customWidth="1"/>
    <col min="15106" max="15106" width="6.25" style="3559" customWidth="1"/>
    <col min="15107" max="15107" width="7.875" style="3559" customWidth="1"/>
    <col min="15108" max="15108" width="4.625" style="3559" customWidth="1"/>
    <col min="15109" max="15109" width="29.375" style="3559" customWidth="1"/>
    <col min="15110" max="15110" width="9.625" style="3559" customWidth="1"/>
    <col min="15111" max="15111" width="17.875" style="3559" customWidth="1"/>
    <col min="15112" max="15113" width="13.875" style="3559" customWidth="1"/>
    <col min="15114" max="15114" width="9.625" style="3559" customWidth="1"/>
    <col min="15115" max="15115" width="9" style="3559" customWidth="1"/>
    <col min="15116" max="15116" width="20.125" style="3559" customWidth="1"/>
    <col min="15117" max="15117" width="27.75" style="3559" customWidth="1"/>
    <col min="15118" max="15118" width="10.625" style="3559" customWidth="1"/>
    <col min="15119" max="15119" width="16" style="3559" customWidth="1"/>
    <col min="15120" max="15120" width="14.375" style="3559" customWidth="1"/>
    <col min="15121" max="15121" width="6.25" style="3559" customWidth="1"/>
    <col min="15122" max="15122" width="7.875" style="3559" customWidth="1"/>
    <col min="15123" max="15360" width="9" style="3559"/>
    <col min="15361" max="15361" width="29.375" style="3559" customWidth="1"/>
    <col min="15362" max="15362" width="6.25" style="3559" customWidth="1"/>
    <col min="15363" max="15363" width="7.875" style="3559" customWidth="1"/>
    <col min="15364" max="15364" width="4.625" style="3559" customWidth="1"/>
    <col min="15365" max="15365" width="29.375" style="3559" customWidth="1"/>
    <col min="15366" max="15366" width="9.625" style="3559" customWidth="1"/>
    <col min="15367" max="15367" width="17.875" style="3559" customWidth="1"/>
    <col min="15368" max="15369" width="13.875" style="3559" customWidth="1"/>
    <col min="15370" max="15370" width="9.625" style="3559" customWidth="1"/>
    <col min="15371" max="15371" width="9" style="3559" customWidth="1"/>
    <col min="15372" max="15372" width="20.125" style="3559" customWidth="1"/>
    <col min="15373" max="15373" width="27.75" style="3559" customWidth="1"/>
    <col min="15374" max="15374" width="10.625" style="3559" customWidth="1"/>
    <col min="15375" max="15375" width="16" style="3559" customWidth="1"/>
    <col min="15376" max="15376" width="14.375" style="3559" customWidth="1"/>
    <col min="15377" max="15377" width="6.25" style="3559" customWidth="1"/>
    <col min="15378" max="15378" width="7.875" style="3559" customWidth="1"/>
    <col min="15379" max="15616" width="9" style="3559"/>
    <col min="15617" max="15617" width="29.375" style="3559" customWidth="1"/>
    <col min="15618" max="15618" width="6.25" style="3559" customWidth="1"/>
    <col min="15619" max="15619" width="7.875" style="3559" customWidth="1"/>
    <col min="15620" max="15620" width="4.625" style="3559" customWidth="1"/>
    <col min="15621" max="15621" width="29.375" style="3559" customWidth="1"/>
    <col min="15622" max="15622" width="9.625" style="3559" customWidth="1"/>
    <col min="15623" max="15623" width="17.875" style="3559" customWidth="1"/>
    <col min="15624" max="15625" width="13.875" style="3559" customWidth="1"/>
    <col min="15626" max="15626" width="9.625" style="3559" customWidth="1"/>
    <col min="15627" max="15627" width="9" style="3559" customWidth="1"/>
    <col min="15628" max="15628" width="20.125" style="3559" customWidth="1"/>
    <col min="15629" max="15629" width="27.75" style="3559" customWidth="1"/>
    <col min="15630" max="15630" width="10.625" style="3559" customWidth="1"/>
    <col min="15631" max="15631" width="16" style="3559" customWidth="1"/>
    <col min="15632" max="15632" width="14.375" style="3559" customWidth="1"/>
    <col min="15633" max="15633" width="6.25" style="3559" customWidth="1"/>
    <col min="15634" max="15634" width="7.875" style="3559" customWidth="1"/>
    <col min="15635" max="15872" width="9" style="3559"/>
    <col min="15873" max="15873" width="29.375" style="3559" customWidth="1"/>
    <col min="15874" max="15874" width="6.25" style="3559" customWidth="1"/>
    <col min="15875" max="15875" width="7.875" style="3559" customWidth="1"/>
    <col min="15876" max="15876" width="4.625" style="3559" customWidth="1"/>
    <col min="15877" max="15877" width="29.375" style="3559" customWidth="1"/>
    <col min="15878" max="15878" width="9.625" style="3559" customWidth="1"/>
    <col min="15879" max="15879" width="17.875" style="3559" customWidth="1"/>
    <col min="15880" max="15881" width="13.875" style="3559" customWidth="1"/>
    <col min="15882" max="15882" width="9.625" style="3559" customWidth="1"/>
    <col min="15883" max="15883" width="9" style="3559" customWidth="1"/>
    <col min="15884" max="15884" width="20.125" style="3559" customWidth="1"/>
    <col min="15885" max="15885" width="27.75" style="3559" customWidth="1"/>
    <col min="15886" max="15886" width="10.625" style="3559" customWidth="1"/>
    <col min="15887" max="15887" width="16" style="3559" customWidth="1"/>
    <col min="15888" max="15888" width="14.375" style="3559" customWidth="1"/>
    <col min="15889" max="15889" width="6.25" style="3559" customWidth="1"/>
    <col min="15890" max="15890" width="7.875" style="3559" customWidth="1"/>
    <col min="15891" max="16128" width="9" style="3559"/>
    <col min="16129" max="16129" width="29.375" style="3559" customWidth="1"/>
    <col min="16130" max="16130" width="6.25" style="3559" customWidth="1"/>
    <col min="16131" max="16131" width="7.875" style="3559" customWidth="1"/>
    <col min="16132" max="16132" width="4.625" style="3559" customWidth="1"/>
    <col min="16133" max="16133" width="29.375" style="3559" customWidth="1"/>
    <col min="16134" max="16134" width="9.625" style="3559" customWidth="1"/>
    <col min="16135" max="16135" width="17.875" style="3559" customWidth="1"/>
    <col min="16136" max="16137" width="13.875" style="3559" customWidth="1"/>
    <col min="16138" max="16138" width="9.625" style="3559" customWidth="1"/>
    <col min="16139" max="16139" width="9" style="3559" customWidth="1"/>
    <col min="16140" max="16140" width="20.125" style="3559" customWidth="1"/>
    <col min="16141" max="16141" width="27.75" style="3559" customWidth="1"/>
    <col min="16142" max="16142" width="10.625" style="3559" customWidth="1"/>
    <col min="16143" max="16143" width="16" style="3559" customWidth="1"/>
    <col min="16144" max="16144" width="14.375" style="3559" customWidth="1"/>
    <col min="16145" max="16145" width="6.25" style="3559" customWidth="1"/>
    <col min="16146" max="16146" width="7.875" style="3559" customWidth="1"/>
    <col min="16147" max="16384" width="9" style="3559"/>
  </cols>
  <sheetData>
    <row r="1" spans="1:18">
      <c r="A1" s="3559" t="s">
        <v>3116</v>
      </c>
      <c r="B1" s="3559" t="s">
        <v>3117</v>
      </c>
      <c r="C1" s="3559" t="s">
        <v>3118</v>
      </c>
      <c r="D1" s="3559" t="s">
        <v>3174</v>
      </c>
      <c r="E1" s="3559" t="s">
        <v>3175</v>
      </c>
      <c r="F1" s="3559" t="s">
        <v>3176</v>
      </c>
      <c r="G1" s="3559" t="s">
        <v>3120</v>
      </c>
      <c r="H1" s="3559" t="s">
        <v>3121</v>
      </c>
      <c r="I1" s="3559" t="s">
        <v>3122</v>
      </c>
      <c r="J1" s="3559" t="s">
        <v>2031</v>
      </c>
      <c r="K1" s="3559" t="s">
        <v>3123</v>
      </c>
      <c r="L1" s="3559" t="s">
        <v>3177</v>
      </c>
      <c r="M1" s="3559" t="s">
        <v>3124</v>
      </c>
      <c r="N1" s="3559" t="s">
        <v>3125</v>
      </c>
      <c r="O1" s="3559" t="s">
        <v>3178</v>
      </c>
      <c r="P1" s="3559" t="s">
        <v>3126</v>
      </c>
      <c r="Q1" s="3559" t="s">
        <v>3127</v>
      </c>
      <c r="R1" s="3559" t="s">
        <v>3128</v>
      </c>
    </row>
    <row r="2" spans="1:18">
      <c r="A2" s="3559" t="s">
        <v>3400</v>
      </c>
      <c r="B2" s="3559" t="s">
        <v>3180</v>
      </c>
      <c r="C2" s="3559" t="s">
        <v>3181</v>
      </c>
      <c r="D2" s="3559" t="s">
        <v>2816</v>
      </c>
      <c r="E2" s="3559" t="s">
        <v>3400</v>
      </c>
      <c r="F2" s="3559">
        <v>2018029003</v>
      </c>
      <c r="G2" s="3559" t="s">
        <v>3182</v>
      </c>
      <c r="H2" s="3559">
        <v>32514.5</v>
      </c>
      <c r="I2" s="3559">
        <v>107297.9</v>
      </c>
      <c r="J2" s="3559" t="s">
        <v>3401</v>
      </c>
      <c r="K2" s="3559" t="s">
        <v>3402</v>
      </c>
      <c r="L2" s="3559" t="s">
        <v>3403</v>
      </c>
      <c r="M2" s="3559" t="s">
        <v>3404</v>
      </c>
      <c r="N2" s="3559">
        <v>19508.7</v>
      </c>
      <c r="O2" s="3559">
        <v>400</v>
      </c>
      <c r="P2" s="3559">
        <v>1818.18</v>
      </c>
      <c r="Q2" s="3559">
        <v>0</v>
      </c>
      <c r="R2" s="3559" t="s">
        <v>3187</v>
      </c>
    </row>
    <row r="3" spans="1:18">
      <c r="A3" s="3559" t="s">
        <v>3405</v>
      </c>
      <c r="B3" s="3559" t="s">
        <v>3180</v>
      </c>
      <c r="C3" s="3559" t="s">
        <v>3181</v>
      </c>
      <c r="D3" s="3559" t="s">
        <v>2816</v>
      </c>
      <c r="E3" s="3559" t="s">
        <v>3405</v>
      </c>
      <c r="F3" s="3559">
        <v>2018029010</v>
      </c>
      <c r="G3" s="3559" t="s">
        <v>3182</v>
      </c>
      <c r="H3" s="3559">
        <v>12599</v>
      </c>
      <c r="I3" s="3559">
        <v>37797</v>
      </c>
      <c r="J3" s="3559" t="s">
        <v>3206</v>
      </c>
      <c r="K3" s="3559" t="s">
        <v>3402</v>
      </c>
      <c r="L3" s="3559" t="s">
        <v>3406</v>
      </c>
      <c r="M3" s="3559" t="s">
        <v>3404</v>
      </c>
      <c r="N3" s="3559">
        <v>11339.1</v>
      </c>
      <c r="O3" s="3559">
        <v>600</v>
      </c>
      <c r="P3" s="3559">
        <v>3000</v>
      </c>
      <c r="Q3" s="3559">
        <v>0</v>
      </c>
      <c r="R3" s="3559" t="s">
        <v>3187</v>
      </c>
    </row>
    <row r="4" spans="1:18">
      <c r="A4" s="3559" t="s">
        <v>3400</v>
      </c>
      <c r="B4" s="3559" t="s">
        <v>3180</v>
      </c>
      <c r="C4" s="3559" t="s">
        <v>3181</v>
      </c>
      <c r="D4" s="3559" t="s">
        <v>2816</v>
      </c>
      <c r="E4" s="3559" t="s">
        <v>3400</v>
      </c>
      <c r="F4" s="3559">
        <v>2018029008</v>
      </c>
      <c r="G4" s="3559" t="s">
        <v>3182</v>
      </c>
      <c r="H4" s="3559">
        <v>32517.3</v>
      </c>
      <c r="I4" s="3559">
        <v>107307.1</v>
      </c>
      <c r="J4" s="3559" t="s">
        <v>3401</v>
      </c>
      <c r="K4" s="3559" t="s">
        <v>3402</v>
      </c>
      <c r="L4" s="3559" t="s">
        <v>3407</v>
      </c>
      <c r="M4" s="3559" t="s">
        <v>3404</v>
      </c>
      <c r="N4" s="3559">
        <v>19510.38</v>
      </c>
      <c r="O4" s="3559">
        <v>400</v>
      </c>
      <c r="P4" s="3559">
        <v>1818.18</v>
      </c>
      <c r="Q4" s="3559">
        <v>0</v>
      </c>
      <c r="R4" s="3559" t="s">
        <v>3187</v>
      </c>
    </row>
    <row r="5" spans="1:18">
      <c r="A5" s="3559" t="s">
        <v>3408</v>
      </c>
      <c r="B5" s="3559" t="s">
        <v>3180</v>
      </c>
      <c r="C5" s="3559" t="s">
        <v>3181</v>
      </c>
      <c r="D5" s="3559" t="s">
        <v>2816</v>
      </c>
      <c r="E5" s="3559" t="s">
        <v>3408</v>
      </c>
      <c r="F5" s="3559">
        <v>2018029002</v>
      </c>
      <c r="G5" s="3559" t="s">
        <v>3182</v>
      </c>
      <c r="H5" s="3559">
        <v>16399</v>
      </c>
      <c r="I5" s="3559">
        <v>49197</v>
      </c>
      <c r="J5" s="3559" t="s">
        <v>3206</v>
      </c>
      <c r="K5" s="3559" t="s">
        <v>3402</v>
      </c>
      <c r="L5" s="3559" t="s">
        <v>3409</v>
      </c>
      <c r="M5" s="3559" t="s">
        <v>3404</v>
      </c>
      <c r="N5" s="3559">
        <v>14759.1</v>
      </c>
      <c r="O5" s="3559">
        <v>600</v>
      </c>
      <c r="P5" s="3559">
        <v>3000</v>
      </c>
      <c r="Q5" s="3559">
        <v>0</v>
      </c>
      <c r="R5" s="3559" t="s">
        <v>3187</v>
      </c>
    </row>
    <row r="6" spans="1:18">
      <c r="A6" s="3559" t="s">
        <v>3400</v>
      </c>
      <c r="B6" s="3559" t="s">
        <v>3180</v>
      </c>
      <c r="C6" s="3559" t="s">
        <v>3181</v>
      </c>
      <c r="D6" s="3559" t="s">
        <v>2816</v>
      </c>
      <c r="E6" s="3559" t="s">
        <v>3400</v>
      </c>
      <c r="F6" s="3559">
        <v>2018029006</v>
      </c>
      <c r="G6" s="3559" t="s">
        <v>3182</v>
      </c>
      <c r="H6" s="3559">
        <v>32087.7</v>
      </c>
      <c r="I6" s="3559">
        <v>105889.4</v>
      </c>
      <c r="J6" s="3559" t="s">
        <v>3401</v>
      </c>
      <c r="K6" s="3559" t="s">
        <v>3402</v>
      </c>
      <c r="L6" s="3559" t="s">
        <v>3410</v>
      </c>
      <c r="M6" s="3559" t="s">
        <v>3404</v>
      </c>
      <c r="N6" s="3559">
        <v>19252.61</v>
      </c>
      <c r="O6" s="3559">
        <v>400</v>
      </c>
      <c r="P6" s="3559">
        <v>1818.18</v>
      </c>
      <c r="Q6" s="3559">
        <v>0</v>
      </c>
      <c r="R6" s="3559" t="s">
        <v>3187</v>
      </c>
    </row>
    <row r="7" spans="1:18">
      <c r="A7" s="3559" t="s">
        <v>3400</v>
      </c>
      <c r="B7" s="3559" t="s">
        <v>3180</v>
      </c>
      <c r="C7" s="3559" t="s">
        <v>3181</v>
      </c>
      <c r="D7" s="3559" t="s">
        <v>2816</v>
      </c>
      <c r="E7" s="3559" t="s">
        <v>3400</v>
      </c>
      <c r="F7" s="3559">
        <v>2018029007</v>
      </c>
      <c r="G7" s="3559" t="s">
        <v>3182</v>
      </c>
      <c r="H7" s="3559">
        <v>32006.2</v>
      </c>
      <c r="I7" s="3559">
        <v>105620.5</v>
      </c>
      <c r="J7" s="3559" t="s">
        <v>3401</v>
      </c>
      <c r="K7" s="3559" t="s">
        <v>3402</v>
      </c>
      <c r="L7" s="3559" t="s">
        <v>3411</v>
      </c>
      <c r="M7" s="3559" t="s">
        <v>3404</v>
      </c>
      <c r="N7" s="3559">
        <v>19203.72</v>
      </c>
      <c r="O7" s="3559">
        <v>400</v>
      </c>
      <c r="P7" s="3559">
        <v>1818.18</v>
      </c>
      <c r="Q7" s="3559">
        <v>0</v>
      </c>
      <c r="R7" s="3559" t="s">
        <v>3187</v>
      </c>
    </row>
    <row r="8" spans="1:18">
      <c r="A8" s="3559" t="s">
        <v>3412</v>
      </c>
      <c r="B8" s="3559" t="s">
        <v>3180</v>
      </c>
      <c r="C8" s="3559" t="s">
        <v>3181</v>
      </c>
      <c r="D8" s="3559" t="s">
        <v>2816</v>
      </c>
      <c r="E8" s="3559" t="s">
        <v>3412</v>
      </c>
      <c r="F8" s="3559">
        <v>2018029011</v>
      </c>
      <c r="G8" s="3559" t="s">
        <v>3182</v>
      </c>
      <c r="H8" s="3559">
        <v>8704</v>
      </c>
      <c r="I8" s="3559">
        <v>26112</v>
      </c>
      <c r="J8" s="3559" t="s">
        <v>3206</v>
      </c>
      <c r="K8" s="3559" t="s">
        <v>3402</v>
      </c>
      <c r="L8" s="3559" t="s">
        <v>3413</v>
      </c>
      <c r="M8" s="3559" t="s">
        <v>3404</v>
      </c>
      <c r="N8" s="3559">
        <v>7833.6</v>
      </c>
      <c r="O8" s="3559">
        <v>600</v>
      </c>
      <c r="P8" s="3559">
        <v>3000</v>
      </c>
      <c r="Q8" s="3559">
        <v>0</v>
      </c>
      <c r="R8" s="3559" t="s">
        <v>3187</v>
      </c>
    </row>
    <row r="9" spans="1:18">
      <c r="A9" s="3559" t="s">
        <v>3414</v>
      </c>
      <c r="B9" s="3559" t="s">
        <v>3180</v>
      </c>
      <c r="C9" s="3559" t="s">
        <v>3181</v>
      </c>
      <c r="D9" s="3559" t="s">
        <v>2816</v>
      </c>
      <c r="E9" s="3559" t="s">
        <v>3414</v>
      </c>
      <c r="F9" s="3559">
        <v>2018029012</v>
      </c>
      <c r="G9" s="3559" t="s">
        <v>3182</v>
      </c>
      <c r="H9" s="3559">
        <v>23548</v>
      </c>
      <c r="I9" s="3559">
        <v>70644</v>
      </c>
      <c r="J9" s="3559" t="s">
        <v>3206</v>
      </c>
      <c r="K9" s="3559" t="s">
        <v>3402</v>
      </c>
      <c r="L9" s="3559" t="s">
        <v>3415</v>
      </c>
      <c r="M9" s="3559" t="s">
        <v>3404</v>
      </c>
      <c r="N9" s="3559">
        <v>21193.200000000001</v>
      </c>
      <c r="O9" s="3559">
        <v>600</v>
      </c>
      <c r="P9" s="3559">
        <v>3000</v>
      </c>
      <c r="Q9" s="3559">
        <v>0</v>
      </c>
      <c r="R9" s="3559" t="s">
        <v>3187</v>
      </c>
    </row>
    <row r="10" spans="1:18">
      <c r="A10" s="3559" t="s">
        <v>3400</v>
      </c>
      <c r="B10" s="3559" t="s">
        <v>3180</v>
      </c>
      <c r="C10" s="3559" t="s">
        <v>3181</v>
      </c>
      <c r="D10" s="3559" t="s">
        <v>2816</v>
      </c>
      <c r="E10" s="3559" t="s">
        <v>3400</v>
      </c>
      <c r="F10" s="3559">
        <v>2018029004</v>
      </c>
      <c r="G10" s="3559" t="s">
        <v>3182</v>
      </c>
      <c r="H10" s="3559">
        <v>32219</v>
      </c>
      <c r="I10" s="3559">
        <v>106322.7</v>
      </c>
      <c r="J10" s="3559" t="s">
        <v>3401</v>
      </c>
      <c r="K10" s="3559" t="s">
        <v>3402</v>
      </c>
      <c r="L10" s="3559" t="s">
        <v>3416</v>
      </c>
      <c r="M10" s="3559" t="s">
        <v>3404</v>
      </c>
      <c r="N10" s="3559">
        <v>19331.400000000001</v>
      </c>
      <c r="O10" s="3559">
        <v>400</v>
      </c>
      <c r="P10" s="3559">
        <v>1818.18</v>
      </c>
      <c r="Q10" s="3559">
        <v>0</v>
      </c>
      <c r="R10" s="3559" t="s">
        <v>3187</v>
      </c>
    </row>
    <row r="11" spans="1:18">
      <c r="A11" s="3559" t="s">
        <v>3417</v>
      </c>
      <c r="B11" s="3559" t="s">
        <v>3180</v>
      </c>
      <c r="C11" s="3559" t="s">
        <v>3181</v>
      </c>
      <c r="D11" s="3559" t="s">
        <v>2816</v>
      </c>
      <c r="E11" s="3559" t="s">
        <v>3417</v>
      </c>
      <c r="F11" s="3559">
        <v>2018029001</v>
      </c>
      <c r="G11" s="3559" t="s">
        <v>3182</v>
      </c>
      <c r="H11" s="3559">
        <v>591.53</v>
      </c>
      <c r="I11" s="3559">
        <v>1774.59</v>
      </c>
      <c r="J11" s="3559" t="s">
        <v>3206</v>
      </c>
      <c r="K11" s="3559" t="s">
        <v>3402</v>
      </c>
      <c r="L11" s="3559" t="s">
        <v>3418</v>
      </c>
      <c r="M11" s="3559" t="s">
        <v>3404</v>
      </c>
      <c r="N11" s="3559">
        <v>532.37</v>
      </c>
      <c r="O11" s="3559">
        <v>599.99</v>
      </c>
      <c r="P11" s="3559">
        <v>3000.01</v>
      </c>
      <c r="Q11" s="3559">
        <v>0</v>
      </c>
      <c r="R11" s="3559" t="s">
        <v>3187</v>
      </c>
    </row>
    <row r="12" spans="1:18">
      <c r="A12" s="3559" t="s">
        <v>3400</v>
      </c>
      <c r="B12" s="3559" t="s">
        <v>3180</v>
      </c>
      <c r="C12" s="3559" t="s">
        <v>3181</v>
      </c>
      <c r="D12" s="3559" t="s">
        <v>2816</v>
      </c>
      <c r="E12" s="3559" t="s">
        <v>3400</v>
      </c>
      <c r="F12" s="3559">
        <v>2018029005</v>
      </c>
      <c r="G12" s="3559" t="s">
        <v>3182</v>
      </c>
      <c r="H12" s="3559">
        <v>31990</v>
      </c>
      <c r="I12" s="3559">
        <v>105567</v>
      </c>
      <c r="J12" s="3559" t="s">
        <v>3401</v>
      </c>
      <c r="K12" s="3559" t="s">
        <v>3402</v>
      </c>
      <c r="L12" s="3559" t="s">
        <v>3419</v>
      </c>
      <c r="M12" s="3559" t="s">
        <v>3404</v>
      </c>
      <c r="N12" s="3559">
        <v>19194</v>
      </c>
      <c r="O12" s="3559">
        <v>400</v>
      </c>
      <c r="P12" s="3559">
        <v>1818.18</v>
      </c>
      <c r="Q12" s="3559">
        <v>0</v>
      </c>
      <c r="R12" s="3559" t="s">
        <v>3187</v>
      </c>
    </row>
    <row r="13" spans="1:18">
      <c r="A13" s="3559" t="s">
        <v>3258</v>
      </c>
      <c r="B13" s="3559" t="s">
        <v>3180</v>
      </c>
      <c r="C13" s="3559" t="s">
        <v>3181</v>
      </c>
      <c r="D13" s="3559" t="s">
        <v>2816</v>
      </c>
      <c r="E13" s="3559" t="s">
        <v>3258</v>
      </c>
      <c r="F13" s="3559">
        <v>2018023004</v>
      </c>
      <c r="G13" s="3559" t="s">
        <v>3182</v>
      </c>
      <c r="H13" s="3559">
        <v>7543</v>
      </c>
      <c r="I13" s="3559">
        <v>24137.599999999999</v>
      </c>
      <c r="J13" s="3559" t="s">
        <v>3189</v>
      </c>
      <c r="K13" s="3559" t="s">
        <v>3184</v>
      </c>
      <c r="L13" s="3559" t="s">
        <v>3259</v>
      </c>
      <c r="M13" s="3559" t="s">
        <v>3260</v>
      </c>
      <c r="N13" s="3559">
        <v>5204.67</v>
      </c>
      <c r="O13" s="3559">
        <v>460</v>
      </c>
      <c r="P13" s="3559">
        <v>2156.25</v>
      </c>
      <c r="Q13" s="3559">
        <v>0</v>
      </c>
      <c r="R13" s="3559" t="s">
        <v>3187</v>
      </c>
    </row>
    <row r="14" spans="1:18">
      <c r="A14" s="3559" t="s">
        <v>3261</v>
      </c>
      <c r="B14" s="3559" t="s">
        <v>3180</v>
      </c>
      <c r="C14" s="3559" t="s">
        <v>3181</v>
      </c>
      <c r="D14" s="3559" t="s">
        <v>2816</v>
      </c>
      <c r="E14" s="3559" t="s">
        <v>3261</v>
      </c>
      <c r="F14" s="3559">
        <v>2018023005</v>
      </c>
      <c r="G14" s="3559" t="s">
        <v>3182</v>
      </c>
      <c r="H14" s="3559">
        <v>10155</v>
      </c>
      <c r="I14" s="3559">
        <v>32496</v>
      </c>
      <c r="J14" s="3559" t="s">
        <v>3189</v>
      </c>
      <c r="K14" s="3559" t="s">
        <v>3184</v>
      </c>
      <c r="L14" s="3559" t="s">
        <v>3262</v>
      </c>
      <c r="M14" s="3559" t="s">
        <v>3260</v>
      </c>
      <c r="N14" s="3559">
        <v>7006.94</v>
      </c>
      <c r="O14" s="3559">
        <v>460</v>
      </c>
      <c r="P14" s="3559">
        <v>2156.25</v>
      </c>
      <c r="Q14" s="3559">
        <v>0</v>
      </c>
      <c r="R14" s="3559" t="s">
        <v>3187</v>
      </c>
    </row>
    <row r="15" spans="1:18">
      <c r="A15" s="3559" t="s">
        <v>3263</v>
      </c>
      <c r="B15" s="3559" t="s">
        <v>3180</v>
      </c>
      <c r="C15" s="3559" t="s">
        <v>3181</v>
      </c>
      <c r="D15" s="3559" t="s">
        <v>2816</v>
      </c>
      <c r="E15" s="3559" t="s">
        <v>3263</v>
      </c>
      <c r="F15" s="3559">
        <v>2018023001</v>
      </c>
      <c r="G15" s="3559" t="s">
        <v>3182</v>
      </c>
      <c r="H15" s="3559">
        <v>7715</v>
      </c>
      <c r="I15" s="3559">
        <v>24688</v>
      </c>
      <c r="J15" s="3559" t="s">
        <v>3189</v>
      </c>
      <c r="K15" s="3559" t="s">
        <v>3184</v>
      </c>
      <c r="L15" s="3559" t="s">
        <v>3264</v>
      </c>
      <c r="M15" s="3559" t="s">
        <v>3260</v>
      </c>
      <c r="N15" s="3559">
        <v>5323.35</v>
      </c>
      <c r="O15" s="3559">
        <v>460</v>
      </c>
      <c r="P15" s="3559">
        <v>2156.25</v>
      </c>
      <c r="Q15" s="3559">
        <v>0</v>
      </c>
      <c r="R15" s="3559" t="s">
        <v>3187</v>
      </c>
    </row>
    <row r="16" spans="1:18" s="3578" customFormat="1">
      <c r="A16" s="3578" t="s">
        <v>3179</v>
      </c>
      <c r="B16" s="3578" t="s">
        <v>3180</v>
      </c>
      <c r="C16" s="3578" t="s">
        <v>3181</v>
      </c>
      <c r="D16" s="3578" t="s">
        <v>2816</v>
      </c>
      <c r="E16" s="3578" t="s">
        <v>3179</v>
      </c>
      <c r="F16" s="3578">
        <v>2018028001</v>
      </c>
      <c r="G16" s="3578" t="s">
        <v>3182</v>
      </c>
      <c r="H16" s="3578">
        <v>152625</v>
      </c>
      <c r="I16" s="3578">
        <v>396825</v>
      </c>
      <c r="J16" s="3578" t="s">
        <v>3183</v>
      </c>
      <c r="K16" s="3578" t="s">
        <v>3184</v>
      </c>
      <c r="L16" s="3578" t="s">
        <v>3185</v>
      </c>
      <c r="M16" s="3578" t="s">
        <v>3186</v>
      </c>
      <c r="N16" s="3578">
        <v>91575</v>
      </c>
      <c r="O16" s="3578">
        <v>400</v>
      </c>
      <c r="P16" s="3578">
        <v>2307.69</v>
      </c>
      <c r="Q16" s="3578">
        <v>0</v>
      </c>
      <c r="R16" s="3578" t="s">
        <v>3187</v>
      </c>
    </row>
    <row r="17" spans="1:18">
      <c r="A17" s="3559" t="s">
        <v>3265</v>
      </c>
      <c r="B17" s="3559" t="s">
        <v>3180</v>
      </c>
      <c r="C17" s="3559" t="s">
        <v>3181</v>
      </c>
      <c r="D17" s="3559" t="s">
        <v>2816</v>
      </c>
      <c r="E17" s="3559" t="s">
        <v>3265</v>
      </c>
      <c r="F17" s="3559">
        <v>2018023008</v>
      </c>
      <c r="G17" s="3559" t="s">
        <v>3182</v>
      </c>
      <c r="H17" s="3559">
        <v>14616</v>
      </c>
      <c r="I17" s="3559">
        <v>46771.199999999997</v>
      </c>
      <c r="J17" s="3559" t="s">
        <v>3189</v>
      </c>
      <c r="K17" s="3559" t="s">
        <v>3184</v>
      </c>
      <c r="L17" s="3559" t="s">
        <v>3266</v>
      </c>
      <c r="M17" s="3559" t="s">
        <v>3260</v>
      </c>
      <c r="N17" s="3559">
        <v>10085.040000000001</v>
      </c>
      <c r="O17" s="3559">
        <v>460</v>
      </c>
      <c r="P17" s="3559">
        <v>2156.25</v>
      </c>
      <c r="Q17" s="3559">
        <v>0</v>
      </c>
      <c r="R17" s="3559" t="s">
        <v>3187</v>
      </c>
    </row>
    <row r="18" spans="1:18">
      <c r="A18" s="3559" t="s">
        <v>3263</v>
      </c>
      <c r="B18" s="3559" t="s">
        <v>3180</v>
      </c>
      <c r="C18" s="3559" t="s">
        <v>3181</v>
      </c>
      <c r="D18" s="3559" t="s">
        <v>2816</v>
      </c>
      <c r="E18" s="3559" t="s">
        <v>3263</v>
      </c>
      <c r="F18" s="3559">
        <v>2018023002</v>
      </c>
      <c r="G18" s="3559" t="s">
        <v>3182</v>
      </c>
      <c r="H18" s="3559">
        <v>9233</v>
      </c>
      <c r="I18" s="3559">
        <v>29545.599999999999</v>
      </c>
      <c r="J18" s="3559" t="s">
        <v>3189</v>
      </c>
      <c r="K18" s="3559" t="s">
        <v>3184</v>
      </c>
      <c r="L18" s="3559" t="s">
        <v>3267</v>
      </c>
      <c r="M18" s="3559" t="s">
        <v>3260</v>
      </c>
      <c r="N18" s="3559">
        <v>6370.77</v>
      </c>
      <c r="O18" s="3559">
        <v>460</v>
      </c>
      <c r="P18" s="3559">
        <v>2156.25</v>
      </c>
      <c r="Q18" s="3559">
        <v>0</v>
      </c>
      <c r="R18" s="3559" t="s">
        <v>3187</v>
      </c>
    </row>
    <row r="19" spans="1:18">
      <c r="A19" s="3559" t="s">
        <v>3268</v>
      </c>
      <c r="B19" s="3559" t="s">
        <v>3180</v>
      </c>
      <c r="C19" s="3559" t="s">
        <v>3181</v>
      </c>
      <c r="D19" s="3559" t="s">
        <v>2816</v>
      </c>
      <c r="E19" s="3559" t="s">
        <v>3268</v>
      </c>
      <c r="F19" s="3559">
        <v>2018022011</v>
      </c>
      <c r="G19" s="3559" t="s">
        <v>3182</v>
      </c>
      <c r="H19" s="3559">
        <v>13991</v>
      </c>
      <c r="I19" s="3559">
        <v>41973</v>
      </c>
      <c r="J19" s="3559" t="s">
        <v>3206</v>
      </c>
      <c r="K19" s="3559" t="s">
        <v>3190</v>
      </c>
      <c r="L19" s="3559" t="s">
        <v>3269</v>
      </c>
      <c r="M19" s="3559" t="s">
        <v>3192</v>
      </c>
      <c r="N19" s="3559">
        <v>10493.25</v>
      </c>
      <c r="O19" s="3559">
        <v>500</v>
      </c>
      <c r="P19" s="3559">
        <v>2500</v>
      </c>
      <c r="Q19" s="3559">
        <v>0</v>
      </c>
      <c r="R19" s="3559" t="s">
        <v>3187</v>
      </c>
    </row>
    <row r="20" spans="1:18">
      <c r="A20" s="3559" t="s">
        <v>3270</v>
      </c>
      <c r="B20" s="3559" t="s">
        <v>3180</v>
      </c>
      <c r="C20" s="3559" t="s">
        <v>3181</v>
      </c>
      <c r="D20" s="3559" t="s">
        <v>2816</v>
      </c>
      <c r="E20" s="3559" t="s">
        <v>3270</v>
      </c>
      <c r="F20" s="3559">
        <v>2018022008</v>
      </c>
      <c r="G20" s="3559" t="s">
        <v>3182</v>
      </c>
      <c r="H20" s="3559">
        <v>6444.4</v>
      </c>
      <c r="I20" s="3559">
        <v>19333.2</v>
      </c>
      <c r="J20" s="3559" t="s">
        <v>3206</v>
      </c>
      <c r="K20" s="3559" t="s">
        <v>3190</v>
      </c>
      <c r="L20" s="3559" t="s">
        <v>3271</v>
      </c>
      <c r="M20" s="3559" t="s">
        <v>3192</v>
      </c>
      <c r="N20" s="3559">
        <v>2899.98</v>
      </c>
      <c r="O20" s="3559">
        <v>300</v>
      </c>
      <c r="P20" s="3559">
        <v>1500</v>
      </c>
      <c r="Q20" s="3559">
        <v>0</v>
      </c>
      <c r="R20" s="3559" t="s">
        <v>3187</v>
      </c>
    </row>
    <row r="21" spans="1:18" s="3578" customFormat="1">
      <c r="A21" s="3578" t="s">
        <v>3188</v>
      </c>
      <c r="B21" s="3578" t="s">
        <v>3180</v>
      </c>
      <c r="C21" s="3578" t="s">
        <v>3181</v>
      </c>
      <c r="D21" s="3578" t="s">
        <v>2816</v>
      </c>
      <c r="E21" s="3578" t="s">
        <v>3188</v>
      </c>
      <c r="F21" s="3578">
        <v>2018022013</v>
      </c>
      <c r="G21" s="3578" t="s">
        <v>3182</v>
      </c>
      <c r="H21" s="3578">
        <v>52899</v>
      </c>
      <c r="I21" s="3578">
        <v>169276.79999999999</v>
      </c>
      <c r="J21" s="3578" t="s">
        <v>3189</v>
      </c>
      <c r="K21" s="3578" t="s">
        <v>3190</v>
      </c>
      <c r="L21" s="3578" t="s">
        <v>3191</v>
      </c>
      <c r="M21" s="3578" t="s">
        <v>3192</v>
      </c>
      <c r="N21" s="3578">
        <v>31739.4</v>
      </c>
      <c r="O21" s="3578">
        <v>400</v>
      </c>
      <c r="P21" s="3578">
        <v>1875</v>
      </c>
      <c r="Q21" s="3578">
        <v>0</v>
      </c>
      <c r="R21" s="3578" t="s">
        <v>3187</v>
      </c>
    </row>
    <row r="22" spans="1:18">
      <c r="A22" s="3559" t="s">
        <v>3272</v>
      </c>
      <c r="B22" s="3559" t="s">
        <v>3180</v>
      </c>
      <c r="C22" s="3559" t="s">
        <v>3181</v>
      </c>
      <c r="D22" s="3559" t="s">
        <v>2816</v>
      </c>
      <c r="E22" s="3559" t="s">
        <v>3272</v>
      </c>
      <c r="F22" s="3559">
        <v>2018022004</v>
      </c>
      <c r="G22" s="3559" t="s">
        <v>3182</v>
      </c>
      <c r="H22" s="3559">
        <v>1840.4</v>
      </c>
      <c r="I22" s="3559">
        <v>5521.2</v>
      </c>
      <c r="J22" s="3559" t="s">
        <v>3206</v>
      </c>
      <c r="K22" s="3559" t="s">
        <v>3190</v>
      </c>
      <c r="L22" s="3559" t="s">
        <v>3273</v>
      </c>
      <c r="M22" s="3559" t="s">
        <v>3192</v>
      </c>
      <c r="N22" s="3559">
        <v>828.17</v>
      </c>
      <c r="O22" s="3559">
        <v>300</v>
      </c>
      <c r="P22" s="3559">
        <v>1500</v>
      </c>
      <c r="Q22" s="3559">
        <v>0</v>
      </c>
      <c r="R22" s="3559" t="s">
        <v>3187</v>
      </c>
    </row>
    <row r="23" spans="1:18">
      <c r="A23" s="3559" t="s">
        <v>3274</v>
      </c>
      <c r="B23" s="3559" t="s">
        <v>3180</v>
      </c>
      <c r="C23" s="3559" t="s">
        <v>3181</v>
      </c>
      <c r="D23" s="3559" t="s">
        <v>2816</v>
      </c>
      <c r="E23" s="3559" t="s">
        <v>3274</v>
      </c>
      <c r="F23" s="3559">
        <v>2018022002</v>
      </c>
      <c r="G23" s="3559" t="s">
        <v>3182</v>
      </c>
      <c r="H23" s="3559">
        <v>6817.38</v>
      </c>
      <c r="I23" s="3559">
        <v>20452.14</v>
      </c>
      <c r="J23" s="3559" t="s">
        <v>3206</v>
      </c>
      <c r="K23" s="3559" t="s">
        <v>3190</v>
      </c>
      <c r="L23" s="3559" t="s">
        <v>3275</v>
      </c>
      <c r="M23" s="3559" t="s">
        <v>3192</v>
      </c>
      <c r="N23" s="3559">
        <v>4601.72</v>
      </c>
      <c r="O23" s="3559">
        <v>450</v>
      </c>
      <c r="P23" s="3559">
        <v>2250</v>
      </c>
      <c r="Q23" s="3559">
        <v>0</v>
      </c>
      <c r="R23" s="3559" t="s">
        <v>3187</v>
      </c>
    </row>
    <row r="24" spans="1:18">
      <c r="A24" s="3559" t="s">
        <v>3276</v>
      </c>
      <c r="B24" s="3559" t="s">
        <v>3180</v>
      </c>
      <c r="C24" s="3559" t="s">
        <v>3181</v>
      </c>
      <c r="D24" s="3559" t="s">
        <v>2816</v>
      </c>
      <c r="E24" s="3559" t="s">
        <v>3276</v>
      </c>
      <c r="F24" s="3559">
        <v>2018022012</v>
      </c>
      <c r="G24" s="3559" t="s">
        <v>3182</v>
      </c>
      <c r="H24" s="3559">
        <v>41437</v>
      </c>
      <c r="I24" s="3559">
        <v>124311</v>
      </c>
      <c r="J24" s="3559" t="s">
        <v>3206</v>
      </c>
      <c r="K24" s="3559" t="s">
        <v>3190</v>
      </c>
      <c r="L24" s="3559" t="s">
        <v>3277</v>
      </c>
      <c r="M24" s="3559" t="s">
        <v>3192</v>
      </c>
      <c r="N24" s="3559">
        <v>21754.43</v>
      </c>
      <c r="O24" s="3559">
        <v>350</v>
      </c>
      <c r="P24" s="3559">
        <v>1750</v>
      </c>
      <c r="Q24" s="3559">
        <v>0</v>
      </c>
      <c r="R24" s="3559" t="s">
        <v>3187</v>
      </c>
    </row>
    <row r="25" spans="1:18">
      <c r="A25" s="3559" t="s">
        <v>3193</v>
      </c>
      <c r="B25" s="3559" t="s">
        <v>3180</v>
      </c>
      <c r="C25" s="3559" t="s">
        <v>3181</v>
      </c>
      <c r="D25" s="3559" t="s">
        <v>2816</v>
      </c>
      <c r="E25" s="3559" t="s">
        <v>3193</v>
      </c>
      <c r="F25" s="3559">
        <v>2018022014</v>
      </c>
      <c r="G25" s="3559" t="s">
        <v>3182</v>
      </c>
      <c r="H25" s="3559">
        <v>52298</v>
      </c>
      <c r="I25" s="3559">
        <v>167353.60000000001</v>
      </c>
      <c r="J25" s="3559" t="s">
        <v>3189</v>
      </c>
      <c r="K25" s="3559" t="s">
        <v>3190</v>
      </c>
      <c r="L25" s="3559" t="s">
        <v>3194</v>
      </c>
      <c r="M25" s="3559" t="s">
        <v>3192</v>
      </c>
      <c r="N25" s="3559">
        <v>27456.45</v>
      </c>
      <c r="O25" s="3559">
        <v>350</v>
      </c>
      <c r="P25" s="3559">
        <v>1640.61</v>
      </c>
      <c r="Q25" s="3559">
        <v>0</v>
      </c>
      <c r="R25" s="3559" t="s">
        <v>3187</v>
      </c>
    </row>
    <row r="26" spans="1:18">
      <c r="A26" s="3559" t="s">
        <v>3278</v>
      </c>
      <c r="B26" s="3559" t="s">
        <v>3180</v>
      </c>
      <c r="C26" s="3559" t="s">
        <v>3181</v>
      </c>
      <c r="D26" s="3559" t="s">
        <v>2816</v>
      </c>
      <c r="E26" s="3559" t="s">
        <v>3278</v>
      </c>
      <c r="F26" s="3559">
        <v>2018022005</v>
      </c>
      <c r="G26" s="3559" t="s">
        <v>3182</v>
      </c>
      <c r="H26" s="3559">
        <v>1903.8</v>
      </c>
      <c r="I26" s="3559">
        <v>5711.4</v>
      </c>
      <c r="J26" s="3559" t="s">
        <v>3206</v>
      </c>
      <c r="K26" s="3559" t="s">
        <v>3190</v>
      </c>
      <c r="L26" s="3559" t="s">
        <v>3279</v>
      </c>
      <c r="M26" s="3559" t="s">
        <v>3192</v>
      </c>
      <c r="N26" s="3559">
        <v>856.71</v>
      </c>
      <c r="O26" s="3559">
        <v>300</v>
      </c>
      <c r="P26" s="3559">
        <v>1500</v>
      </c>
      <c r="Q26" s="3559">
        <v>0</v>
      </c>
      <c r="R26" s="3559" t="s">
        <v>3187</v>
      </c>
    </row>
    <row r="27" spans="1:18" s="3578" customFormat="1">
      <c r="A27" s="3578" t="s">
        <v>3280</v>
      </c>
      <c r="B27" s="3578" t="s">
        <v>3180</v>
      </c>
      <c r="C27" s="3578" t="s">
        <v>3181</v>
      </c>
      <c r="D27" s="3578" t="s">
        <v>2816</v>
      </c>
      <c r="E27" s="3578" t="s">
        <v>3280</v>
      </c>
      <c r="F27" s="3578">
        <v>2018022015</v>
      </c>
      <c r="G27" s="3578" t="s">
        <v>3182</v>
      </c>
      <c r="H27" s="3578">
        <v>33335</v>
      </c>
      <c r="I27" s="3578">
        <v>106672</v>
      </c>
      <c r="J27" s="3578" t="s">
        <v>3189</v>
      </c>
      <c r="K27" s="3578" t="s">
        <v>3190</v>
      </c>
      <c r="L27" s="3578" t="s">
        <v>3281</v>
      </c>
      <c r="M27" s="3578" t="s">
        <v>3192</v>
      </c>
      <c r="N27" s="3578">
        <v>20001</v>
      </c>
      <c r="O27" s="3578">
        <v>400</v>
      </c>
      <c r="P27" s="3578">
        <v>1875</v>
      </c>
      <c r="Q27" s="3578">
        <v>0</v>
      </c>
      <c r="R27" s="3578" t="s">
        <v>3187</v>
      </c>
    </row>
    <row r="28" spans="1:18">
      <c r="A28" s="3559" t="s">
        <v>3282</v>
      </c>
      <c r="B28" s="3559" t="s">
        <v>3180</v>
      </c>
      <c r="C28" s="3559" t="s">
        <v>3181</v>
      </c>
      <c r="D28" s="3559" t="s">
        <v>2816</v>
      </c>
      <c r="E28" s="3559" t="s">
        <v>3282</v>
      </c>
      <c r="F28" s="3559">
        <v>2018022003</v>
      </c>
      <c r="G28" s="3559" t="s">
        <v>3182</v>
      </c>
      <c r="H28" s="3559">
        <v>4408.2700000000004</v>
      </c>
      <c r="I28" s="3559">
        <v>13224.81</v>
      </c>
      <c r="J28" s="3559" t="s">
        <v>3206</v>
      </c>
      <c r="K28" s="3559" t="s">
        <v>3190</v>
      </c>
      <c r="L28" s="3559" t="s">
        <v>3283</v>
      </c>
      <c r="M28" s="3559" t="s">
        <v>3192</v>
      </c>
      <c r="N28" s="3559">
        <v>2975.57</v>
      </c>
      <c r="O28" s="3559">
        <v>450</v>
      </c>
      <c r="P28" s="3559">
        <v>2250</v>
      </c>
      <c r="Q28" s="3559">
        <v>0</v>
      </c>
      <c r="R28" s="3559" t="s">
        <v>3187</v>
      </c>
    </row>
    <row r="29" spans="1:18">
      <c r="A29" s="3559" t="s">
        <v>3284</v>
      </c>
      <c r="B29" s="3559" t="s">
        <v>3180</v>
      </c>
      <c r="C29" s="3559" t="s">
        <v>3181</v>
      </c>
      <c r="D29" s="3559" t="s">
        <v>2816</v>
      </c>
      <c r="E29" s="3559" t="s">
        <v>3284</v>
      </c>
      <c r="F29" s="3559">
        <v>2018022007</v>
      </c>
      <c r="G29" s="3559" t="s">
        <v>3182</v>
      </c>
      <c r="H29" s="3559">
        <v>3220</v>
      </c>
      <c r="I29" s="3559">
        <v>9660</v>
      </c>
      <c r="J29" s="3559" t="s">
        <v>3206</v>
      </c>
      <c r="K29" s="3559" t="s">
        <v>3190</v>
      </c>
      <c r="L29" s="3559" t="s">
        <v>3285</v>
      </c>
      <c r="M29" s="3559" t="s">
        <v>3192</v>
      </c>
      <c r="N29" s="3559">
        <v>1449</v>
      </c>
      <c r="O29" s="3559">
        <v>300</v>
      </c>
      <c r="P29" s="3559">
        <v>1500</v>
      </c>
      <c r="Q29" s="3559">
        <v>0</v>
      </c>
      <c r="R29" s="3559" t="s">
        <v>3187</v>
      </c>
    </row>
    <row r="30" spans="1:18">
      <c r="A30" s="3559" t="s">
        <v>3286</v>
      </c>
      <c r="B30" s="3559" t="s">
        <v>3180</v>
      </c>
      <c r="C30" s="3559" t="s">
        <v>3181</v>
      </c>
      <c r="D30" s="3559" t="s">
        <v>2816</v>
      </c>
      <c r="E30" s="3559" t="s">
        <v>3286</v>
      </c>
      <c r="F30" s="3559">
        <v>2018022009</v>
      </c>
      <c r="G30" s="3559" t="s">
        <v>3182</v>
      </c>
      <c r="H30" s="3559">
        <v>9363.1</v>
      </c>
      <c r="I30" s="3559">
        <v>28089.3</v>
      </c>
      <c r="J30" s="3559" t="s">
        <v>3206</v>
      </c>
      <c r="K30" s="3559" t="s">
        <v>3190</v>
      </c>
      <c r="L30" s="3559" t="s">
        <v>3287</v>
      </c>
      <c r="M30" s="3559" t="s">
        <v>3192</v>
      </c>
      <c r="N30" s="3559">
        <v>4213.3900000000003</v>
      </c>
      <c r="O30" s="3559">
        <v>300</v>
      </c>
      <c r="P30" s="3559">
        <v>1500</v>
      </c>
      <c r="Q30" s="3559">
        <v>0</v>
      </c>
      <c r="R30" s="3559" t="s">
        <v>3187</v>
      </c>
    </row>
    <row r="31" spans="1:18">
      <c r="A31" s="3559" t="s">
        <v>3288</v>
      </c>
      <c r="B31" s="3559" t="s">
        <v>3180</v>
      </c>
      <c r="C31" s="3559" t="s">
        <v>3181</v>
      </c>
      <c r="D31" s="3559" t="s">
        <v>2816</v>
      </c>
      <c r="E31" s="3559" t="s">
        <v>3288</v>
      </c>
      <c r="F31" s="3559">
        <v>2018022006</v>
      </c>
      <c r="G31" s="3559" t="s">
        <v>3182</v>
      </c>
      <c r="H31" s="3559">
        <v>2942.2</v>
      </c>
      <c r="I31" s="3559">
        <v>8826.6</v>
      </c>
      <c r="J31" s="3559" t="s">
        <v>3206</v>
      </c>
      <c r="K31" s="3559" t="s">
        <v>3190</v>
      </c>
      <c r="L31" s="3559" t="s">
        <v>3289</v>
      </c>
      <c r="M31" s="3559" t="s">
        <v>3192</v>
      </c>
      <c r="N31" s="3559">
        <v>1323.99</v>
      </c>
      <c r="O31" s="3559">
        <v>300</v>
      </c>
      <c r="P31" s="3559">
        <v>1500</v>
      </c>
      <c r="Q31" s="3559">
        <v>0</v>
      </c>
      <c r="R31" s="3559" t="s">
        <v>3187</v>
      </c>
    </row>
    <row r="32" spans="1:18">
      <c r="A32" s="3559" t="s">
        <v>3290</v>
      </c>
      <c r="B32" s="3559" t="s">
        <v>3180</v>
      </c>
      <c r="C32" s="3559" t="s">
        <v>3181</v>
      </c>
      <c r="D32" s="3559" t="s">
        <v>2816</v>
      </c>
      <c r="E32" s="3559" t="s">
        <v>3290</v>
      </c>
      <c r="F32" s="3559">
        <v>2018022010</v>
      </c>
      <c r="G32" s="3559" t="s">
        <v>3182</v>
      </c>
      <c r="H32" s="3559">
        <v>4290.8999999999996</v>
      </c>
      <c r="I32" s="3559">
        <v>12872.7</v>
      </c>
      <c r="J32" s="3559" t="s">
        <v>3206</v>
      </c>
      <c r="K32" s="3559" t="s">
        <v>3190</v>
      </c>
      <c r="L32" s="3559" t="s">
        <v>3291</v>
      </c>
      <c r="M32" s="3559" t="s">
        <v>3192</v>
      </c>
      <c r="N32" s="3559">
        <v>1930.91</v>
      </c>
      <c r="O32" s="3559">
        <v>300</v>
      </c>
      <c r="P32" s="3559">
        <v>1500</v>
      </c>
      <c r="Q32" s="3559">
        <v>0</v>
      </c>
      <c r="R32" s="3559" t="s">
        <v>3187</v>
      </c>
    </row>
    <row r="33" spans="1:18">
      <c r="A33" s="3559" t="s">
        <v>3292</v>
      </c>
      <c r="B33" s="3559" t="s">
        <v>3180</v>
      </c>
      <c r="C33" s="3559" t="s">
        <v>3181</v>
      </c>
      <c r="D33" s="3559" t="s">
        <v>2816</v>
      </c>
      <c r="E33" s="3559" t="s">
        <v>3292</v>
      </c>
      <c r="F33" s="3559">
        <v>2018022001</v>
      </c>
      <c r="G33" s="3559" t="s">
        <v>3182</v>
      </c>
      <c r="H33" s="3559">
        <v>5883</v>
      </c>
      <c r="I33" s="3559">
        <v>17649</v>
      </c>
      <c r="J33" s="3559" t="s">
        <v>3206</v>
      </c>
      <c r="K33" s="3559" t="s">
        <v>3190</v>
      </c>
      <c r="L33" s="3559" t="s">
        <v>3293</v>
      </c>
      <c r="M33" s="3559" t="s">
        <v>3192</v>
      </c>
      <c r="N33" s="3559">
        <v>3529.8</v>
      </c>
      <c r="O33" s="3559">
        <v>400</v>
      </c>
      <c r="P33" s="3559">
        <v>2000</v>
      </c>
      <c r="Q33" s="3559">
        <v>0</v>
      </c>
      <c r="R33" s="3559" t="s">
        <v>3187</v>
      </c>
    </row>
    <row r="34" spans="1:18">
      <c r="A34" s="3559" t="s">
        <v>3294</v>
      </c>
      <c r="B34" s="3559" t="s">
        <v>3180</v>
      </c>
      <c r="C34" s="3559" t="s">
        <v>3181</v>
      </c>
      <c r="D34" s="3559" t="s">
        <v>2816</v>
      </c>
      <c r="E34" s="3559" t="s">
        <v>3294</v>
      </c>
      <c r="F34" s="3559">
        <v>2018018004</v>
      </c>
      <c r="G34" s="3559" t="s">
        <v>3182</v>
      </c>
      <c r="H34" s="3559">
        <v>25321</v>
      </c>
      <c r="I34" s="3559">
        <v>81027.199999999997</v>
      </c>
      <c r="J34" s="3559" t="s">
        <v>3189</v>
      </c>
      <c r="K34" s="3559" t="s">
        <v>3295</v>
      </c>
      <c r="L34" s="3559" t="s">
        <v>3296</v>
      </c>
      <c r="M34" s="3559" t="s">
        <v>3297</v>
      </c>
      <c r="N34" s="3559">
        <v>13977.19</v>
      </c>
      <c r="O34" s="3559">
        <v>368</v>
      </c>
      <c r="P34" s="3559">
        <v>1725</v>
      </c>
      <c r="Q34" s="3559">
        <v>0</v>
      </c>
      <c r="R34" s="3559" t="s">
        <v>3187</v>
      </c>
    </row>
    <row r="35" spans="1:18">
      <c r="A35" s="3559" t="s">
        <v>3298</v>
      </c>
      <c r="B35" s="3559" t="s">
        <v>3180</v>
      </c>
      <c r="C35" s="3559" t="s">
        <v>3181</v>
      </c>
      <c r="D35" s="3559" t="s">
        <v>2816</v>
      </c>
      <c r="E35" s="3559" t="s">
        <v>3298</v>
      </c>
      <c r="F35" s="3559">
        <v>2018018003</v>
      </c>
      <c r="G35" s="3559" t="s">
        <v>3182</v>
      </c>
      <c r="H35" s="3559">
        <v>18071.400000000001</v>
      </c>
      <c r="I35" s="3559">
        <v>57828.480000000003</v>
      </c>
      <c r="J35" s="3559" t="s">
        <v>3189</v>
      </c>
      <c r="K35" s="3559" t="s">
        <v>3295</v>
      </c>
      <c r="L35" s="3559" t="s">
        <v>3299</v>
      </c>
      <c r="M35" s="3559" t="s">
        <v>3297</v>
      </c>
      <c r="N35" s="3559">
        <v>9975.4</v>
      </c>
      <c r="O35" s="3559">
        <v>368</v>
      </c>
      <c r="P35" s="3559">
        <v>1725</v>
      </c>
      <c r="Q35" s="3559">
        <v>0</v>
      </c>
      <c r="R35" s="3559" t="s">
        <v>3187</v>
      </c>
    </row>
    <row r="36" spans="1:18">
      <c r="A36" s="3559" t="s">
        <v>3300</v>
      </c>
      <c r="B36" s="3559" t="s">
        <v>3180</v>
      </c>
      <c r="C36" s="3559" t="s">
        <v>3181</v>
      </c>
      <c r="D36" s="3559" t="s">
        <v>2816</v>
      </c>
      <c r="E36" s="3559" t="s">
        <v>3300</v>
      </c>
      <c r="F36" s="3559">
        <v>2018012001</v>
      </c>
      <c r="G36" s="3559" t="s">
        <v>3182</v>
      </c>
      <c r="H36" s="3559">
        <v>11008.41</v>
      </c>
      <c r="I36" s="3559">
        <v>35226.910000000003</v>
      </c>
      <c r="J36" s="3559" t="s">
        <v>3189</v>
      </c>
      <c r="K36" s="3559" t="s">
        <v>3301</v>
      </c>
      <c r="L36" s="3559" t="s">
        <v>3302</v>
      </c>
      <c r="M36" s="3559" t="s">
        <v>3303</v>
      </c>
      <c r="N36" s="3559">
        <v>7937.06</v>
      </c>
      <c r="O36" s="3559">
        <v>480.67</v>
      </c>
      <c r="P36" s="3559">
        <v>2253.11</v>
      </c>
      <c r="Q36" s="3559">
        <v>0.14000000000000001</v>
      </c>
      <c r="R36" s="3559" t="s">
        <v>3187</v>
      </c>
    </row>
    <row r="37" spans="1:18">
      <c r="A37" s="3559" t="s">
        <v>3304</v>
      </c>
      <c r="B37" s="3559" t="s">
        <v>3180</v>
      </c>
      <c r="C37" s="3559" t="s">
        <v>3181</v>
      </c>
      <c r="D37" s="3559" t="s">
        <v>2816</v>
      </c>
      <c r="E37" s="3559" t="s">
        <v>3304</v>
      </c>
      <c r="F37" s="3559">
        <v>2018011008</v>
      </c>
      <c r="G37" s="3559" t="s">
        <v>3182</v>
      </c>
      <c r="H37" s="3559">
        <v>3243</v>
      </c>
      <c r="I37" s="3559">
        <v>10377.6</v>
      </c>
      <c r="J37" s="3559" t="s">
        <v>3189</v>
      </c>
      <c r="K37" s="3559" t="s">
        <v>3305</v>
      </c>
      <c r="L37" s="3559" t="s">
        <v>3306</v>
      </c>
      <c r="M37" s="3559" t="s">
        <v>3307</v>
      </c>
      <c r="N37" s="3559">
        <v>1847.85</v>
      </c>
      <c r="O37" s="3559">
        <v>379.86</v>
      </c>
      <c r="P37" s="3559">
        <v>1780.61</v>
      </c>
      <c r="Q37" s="3559">
        <v>0</v>
      </c>
      <c r="R37" s="3559" t="s">
        <v>3187</v>
      </c>
    </row>
    <row r="38" spans="1:18">
      <c r="A38" s="3559" t="s">
        <v>3308</v>
      </c>
      <c r="B38" s="3559" t="s">
        <v>3180</v>
      </c>
      <c r="C38" s="3559" t="s">
        <v>3181</v>
      </c>
      <c r="D38" s="3559" t="s">
        <v>2816</v>
      </c>
      <c r="E38" s="3559" t="s">
        <v>3308</v>
      </c>
      <c r="F38" s="3559">
        <v>2018011013</v>
      </c>
      <c r="G38" s="3559" t="s">
        <v>3182</v>
      </c>
      <c r="H38" s="3559">
        <v>6484</v>
      </c>
      <c r="I38" s="3559">
        <v>20748.8</v>
      </c>
      <c r="J38" s="3559" t="s">
        <v>3189</v>
      </c>
      <c r="K38" s="3559" t="s">
        <v>3305</v>
      </c>
      <c r="L38" s="3559" t="s">
        <v>3309</v>
      </c>
      <c r="M38" s="3559" t="s">
        <v>3307</v>
      </c>
      <c r="N38" s="3559">
        <v>3694.57</v>
      </c>
      <c r="O38" s="3559">
        <v>379.87</v>
      </c>
      <c r="P38" s="3559">
        <v>1780.61</v>
      </c>
      <c r="Q38" s="3559">
        <v>0</v>
      </c>
      <c r="R38" s="3559" t="s">
        <v>3187</v>
      </c>
    </row>
    <row r="39" spans="1:18">
      <c r="A39" s="3559" t="s">
        <v>3310</v>
      </c>
      <c r="B39" s="3559" t="s">
        <v>3180</v>
      </c>
      <c r="C39" s="3559" t="s">
        <v>3181</v>
      </c>
      <c r="D39" s="3559" t="s">
        <v>2816</v>
      </c>
      <c r="E39" s="3559" t="s">
        <v>3310</v>
      </c>
      <c r="F39" s="3559">
        <v>2018011004</v>
      </c>
      <c r="G39" s="3559" t="s">
        <v>3182</v>
      </c>
      <c r="H39" s="3559">
        <v>4310</v>
      </c>
      <c r="I39" s="3559">
        <v>13792</v>
      </c>
      <c r="J39" s="3559" t="s">
        <v>3189</v>
      </c>
      <c r="K39" s="3559" t="s">
        <v>3305</v>
      </c>
      <c r="L39" s="3559" t="s">
        <v>3311</v>
      </c>
      <c r="M39" s="3559" t="s">
        <v>3307</v>
      </c>
      <c r="N39" s="3559">
        <v>2455.84</v>
      </c>
      <c r="O39" s="3559">
        <v>379.87</v>
      </c>
      <c r="P39" s="3559">
        <v>1780.63</v>
      </c>
      <c r="Q39" s="3559">
        <v>0</v>
      </c>
      <c r="R39" s="3559" t="s">
        <v>3187</v>
      </c>
    </row>
    <row r="40" spans="1:18">
      <c r="A40" s="3559" t="s">
        <v>3312</v>
      </c>
      <c r="B40" s="3559" t="s">
        <v>3180</v>
      </c>
      <c r="C40" s="3559" t="s">
        <v>3181</v>
      </c>
      <c r="D40" s="3559" t="s">
        <v>2816</v>
      </c>
      <c r="E40" s="3559" t="s">
        <v>3312</v>
      </c>
      <c r="F40" s="3559">
        <v>2018011014</v>
      </c>
      <c r="G40" s="3559" t="s">
        <v>3182</v>
      </c>
      <c r="H40" s="3559">
        <v>4950</v>
      </c>
      <c r="I40" s="3559">
        <v>15840</v>
      </c>
      <c r="J40" s="3559" t="s">
        <v>3189</v>
      </c>
      <c r="K40" s="3559" t="s">
        <v>3305</v>
      </c>
      <c r="L40" s="3559" t="s">
        <v>3313</v>
      </c>
      <c r="M40" s="3559" t="s">
        <v>3307</v>
      </c>
      <c r="N40" s="3559">
        <v>2820.51</v>
      </c>
      <c r="O40" s="3559">
        <v>379.87</v>
      </c>
      <c r="P40" s="3559">
        <v>1780.61</v>
      </c>
      <c r="Q40" s="3559">
        <v>0</v>
      </c>
      <c r="R40" s="3559" t="s">
        <v>3187</v>
      </c>
    </row>
    <row r="41" spans="1:18">
      <c r="A41" s="3559" t="s">
        <v>3314</v>
      </c>
      <c r="B41" s="3559" t="s">
        <v>3180</v>
      </c>
      <c r="C41" s="3559" t="s">
        <v>3181</v>
      </c>
      <c r="D41" s="3559" t="s">
        <v>2816</v>
      </c>
      <c r="E41" s="3559" t="s">
        <v>3314</v>
      </c>
      <c r="F41" s="3559">
        <v>2018011001</v>
      </c>
      <c r="G41" s="3559" t="s">
        <v>3182</v>
      </c>
      <c r="H41" s="3559">
        <v>1556</v>
      </c>
      <c r="I41" s="3559">
        <v>4979.2</v>
      </c>
      <c r="J41" s="3559" t="s">
        <v>3189</v>
      </c>
      <c r="K41" s="3559" t="s">
        <v>3305</v>
      </c>
      <c r="L41" s="3559" t="s">
        <v>3315</v>
      </c>
      <c r="M41" s="3559" t="s">
        <v>3307</v>
      </c>
      <c r="N41" s="3559">
        <v>886.61</v>
      </c>
      <c r="O41" s="3559">
        <v>379.87</v>
      </c>
      <c r="P41" s="3559">
        <v>1780.63</v>
      </c>
      <c r="Q41" s="3559">
        <v>0</v>
      </c>
      <c r="R41" s="3559" t="s">
        <v>3187</v>
      </c>
    </row>
    <row r="42" spans="1:18">
      <c r="A42" s="3559" t="s">
        <v>3316</v>
      </c>
      <c r="B42" s="3559" t="s">
        <v>3180</v>
      </c>
      <c r="C42" s="3559" t="s">
        <v>3181</v>
      </c>
      <c r="D42" s="3559" t="s">
        <v>2816</v>
      </c>
      <c r="E42" s="3559" t="s">
        <v>3316</v>
      </c>
      <c r="F42" s="3559">
        <v>2018011010</v>
      </c>
      <c r="G42" s="3559" t="s">
        <v>3182</v>
      </c>
      <c r="H42" s="3559">
        <v>3519</v>
      </c>
      <c r="I42" s="3559">
        <v>11260.8</v>
      </c>
      <c r="J42" s="3559" t="s">
        <v>3189</v>
      </c>
      <c r="K42" s="3559" t="s">
        <v>3305</v>
      </c>
      <c r="L42" s="3559" t="s">
        <v>3317</v>
      </c>
      <c r="M42" s="3559" t="s">
        <v>3307</v>
      </c>
      <c r="N42" s="3559">
        <v>2005.13</v>
      </c>
      <c r="O42" s="3559">
        <v>379.87</v>
      </c>
      <c r="P42" s="3559">
        <v>1780.63</v>
      </c>
      <c r="Q42" s="3559">
        <v>0</v>
      </c>
      <c r="R42" s="3559" t="s">
        <v>3187</v>
      </c>
    </row>
    <row r="43" spans="1:18">
      <c r="A43" s="3559" t="s">
        <v>3318</v>
      </c>
      <c r="B43" s="3559" t="s">
        <v>3180</v>
      </c>
      <c r="C43" s="3559" t="s">
        <v>3181</v>
      </c>
      <c r="D43" s="3559" t="s">
        <v>2816</v>
      </c>
      <c r="E43" s="3559" t="s">
        <v>3318</v>
      </c>
      <c r="F43" s="3559">
        <v>2018011006</v>
      </c>
      <c r="G43" s="3559" t="s">
        <v>3182</v>
      </c>
      <c r="H43" s="3559">
        <v>7526</v>
      </c>
      <c r="I43" s="3559">
        <v>24083.200000000001</v>
      </c>
      <c r="J43" s="3559" t="s">
        <v>3189</v>
      </c>
      <c r="K43" s="3559" t="s">
        <v>3305</v>
      </c>
      <c r="L43" s="3559" t="s">
        <v>3319</v>
      </c>
      <c r="M43" s="3559" t="s">
        <v>3307</v>
      </c>
      <c r="N43" s="3559">
        <v>4288.3100000000004</v>
      </c>
      <c r="O43" s="3559">
        <v>379.87</v>
      </c>
      <c r="P43" s="3559">
        <v>1780.61</v>
      </c>
      <c r="Q43" s="3559">
        <v>0</v>
      </c>
      <c r="R43" s="3559" t="s">
        <v>3187</v>
      </c>
    </row>
    <row r="44" spans="1:18">
      <c r="A44" s="3559" t="s">
        <v>3320</v>
      </c>
      <c r="B44" s="3559" t="s">
        <v>3180</v>
      </c>
      <c r="C44" s="3559" t="s">
        <v>3181</v>
      </c>
      <c r="D44" s="3559" t="s">
        <v>2816</v>
      </c>
      <c r="E44" s="3559" t="s">
        <v>3320</v>
      </c>
      <c r="F44" s="3559">
        <v>2018011005</v>
      </c>
      <c r="G44" s="3559" t="s">
        <v>3182</v>
      </c>
      <c r="H44" s="3559">
        <v>3649</v>
      </c>
      <c r="I44" s="3559">
        <v>11676.8</v>
      </c>
      <c r="J44" s="3559" t="s">
        <v>3189</v>
      </c>
      <c r="K44" s="3559" t="s">
        <v>3305</v>
      </c>
      <c r="L44" s="3559" t="s">
        <v>3321</v>
      </c>
      <c r="M44" s="3559" t="s">
        <v>3307</v>
      </c>
      <c r="N44" s="3559">
        <v>2079.19</v>
      </c>
      <c r="O44" s="3559">
        <v>379.86</v>
      </c>
      <c r="P44" s="3559">
        <v>1780.61</v>
      </c>
      <c r="Q44" s="3559">
        <v>0</v>
      </c>
      <c r="R44" s="3559" t="s">
        <v>3187</v>
      </c>
    </row>
    <row r="45" spans="1:18">
      <c r="A45" s="3559" t="s">
        <v>3322</v>
      </c>
      <c r="B45" s="3559" t="s">
        <v>3180</v>
      </c>
      <c r="C45" s="3559" t="s">
        <v>3181</v>
      </c>
      <c r="D45" s="3559" t="s">
        <v>2816</v>
      </c>
      <c r="E45" s="3559" t="s">
        <v>3322</v>
      </c>
      <c r="F45" s="3559">
        <v>2018011011</v>
      </c>
      <c r="G45" s="3559" t="s">
        <v>3182</v>
      </c>
      <c r="H45" s="3559">
        <v>2143</v>
      </c>
      <c r="I45" s="3559">
        <v>6857.6</v>
      </c>
      <c r="J45" s="3559" t="s">
        <v>3189</v>
      </c>
      <c r="K45" s="3559" t="s">
        <v>3305</v>
      </c>
      <c r="L45" s="3559" t="s">
        <v>3323</v>
      </c>
      <c r="M45" s="3559" t="s">
        <v>3307</v>
      </c>
      <c r="N45" s="3559">
        <v>1221.07</v>
      </c>
      <c r="O45" s="3559">
        <v>379.86</v>
      </c>
      <c r="P45" s="3559">
        <v>1780.61</v>
      </c>
      <c r="Q45" s="3559">
        <v>0</v>
      </c>
      <c r="R45" s="3559" t="s">
        <v>3187</v>
      </c>
    </row>
    <row r="46" spans="1:18">
      <c r="A46" s="3559" t="s">
        <v>3324</v>
      </c>
      <c r="B46" s="3559" t="s">
        <v>3180</v>
      </c>
      <c r="C46" s="3559" t="s">
        <v>3181</v>
      </c>
      <c r="D46" s="3559" t="s">
        <v>2816</v>
      </c>
      <c r="E46" s="3559" t="s">
        <v>3324</v>
      </c>
      <c r="F46" s="3559">
        <v>2018011012</v>
      </c>
      <c r="G46" s="3559" t="s">
        <v>3182</v>
      </c>
      <c r="H46" s="3559">
        <v>13260</v>
      </c>
      <c r="I46" s="3559">
        <v>42432</v>
      </c>
      <c r="J46" s="3559" t="s">
        <v>3189</v>
      </c>
      <c r="K46" s="3559" t="s">
        <v>3305</v>
      </c>
      <c r="L46" s="3559" t="s">
        <v>3325</v>
      </c>
      <c r="M46" s="3559" t="s">
        <v>3307</v>
      </c>
      <c r="N46" s="3559">
        <v>7555.55</v>
      </c>
      <c r="O46" s="3559">
        <v>379.87</v>
      </c>
      <c r="P46" s="3559">
        <v>1780.63</v>
      </c>
      <c r="Q46" s="3559">
        <v>0</v>
      </c>
      <c r="R46" s="3559" t="s">
        <v>3187</v>
      </c>
    </row>
    <row r="47" spans="1:18">
      <c r="A47" s="3559" t="s">
        <v>3314</v>
      </c>
      <c r="B47" s="3559" t="s">
        <v>3180</v>
      </c>
      <c r="C47" s="3559" t="s">
        <v>3181</v>
      </c>
      <c r="D47" s="3559" t="s">
        <v>2816</v>
      </c>
      <c r="E47" s="3559" t="s">
        <v>3314</v>
      </c>
      <c r="F47" s="3559">
        <v>2018011002</v>
      </c>
      <c r="G47" s="3559" t="s">
        <v>3182</v>
      </c>
      <c r="H47" s="3559">
        <v>4115</v>
      </c>
      <c r="I47" s="3559">
        <v>13168</v>
      </c>
      <c r="J47" s="3559" t="s">
        <v>3189</v>
      </c>
      <c r="K47" s="3559" t="s">
        <v>3305</v>
      </c>
      <c r="L47" s="3559" t="s">
        <v>3326</v>
      </c>
      <c r="M47" s="3559" t="s">
        <v>3307</v>
      </c>
      <c r="N47" s="3559">
        <v>2344.73</v>
      </c>
      <c r="O47" s="3559">
        <v>379.87</v>
      </c>
      <c r="P47" s="3559">
        <v>1780.63</v>
      </c>
      <c r="Q47" s="3559">
        <v>0</v>
      </c>
      <c r="R47" s="3559" t="s">
        <v>3187</v>
      </c>
    </row>
    <row r="48" spans="1:18">
      <c r="A48" s="3559" t="s">
        <v>3327</v>
      </c>
      <c r="B48" s="3559" t="s">
        <v>3180</v>
      </c>
      <c r="C48" s="3559" t="s">
        <v>3181</v>
      </c>
      <c r="D48" s="3559" t="s">
        <v>2816</v>
      </c>
      <c r="E48" s="3559" t="s">
        <v>3327</v>
      </c>
      <c r="F48" s="3559">
        <v>2018011015</v>
      </c>
      <c r="G48" s="3559" t="s">
        <v>3182</v>
      </c>
      <c r="H48" s="3559">
        <v>6466</v>
      </c>
      <c r="I48" s="3559">
        <v>20691.2</v>
      </c>
      <c r="J48" s="3559" t="s">
        <v>3189</v>
      </c>
      <c r="K48" s="3559" t="s">
        <v>3305</v>
      </c>
      <c r="L48" s="3559" t="s">
        <v>3328</v>
      </c>
      <c r="M48" s="3559" t="s">
        <v>3307</v>
      </c>
      <c r="N48" s="3559">
        <v>3684.32</v>
      </c>
      <c r="O48" s="3559">
        <v>379.87</v>
      </c>
      <c r="P48" s="3559">
        <v>1780.63</v>
      </c>
      <c r="Q48" s="3559">
        <v>0</v>
      </c>
      <c r="R48" s="3559" t="s">
        <v>3187</v>
      </c>
    </row>
    <row r="49" spans="1:18">
      <c r="A49" s="3559" t="s">
        <v>3329</v>
      </c>
      <c r="B49" s="3559" t="s">
        <v>3180</v>
      </c>
      <c r="C49" s="3559" t="s">
        <v>3181</v>
      </c>
      <c r="D49" s="3559" t="s">
        <v>2816</v>
      </c>
      <c r="E49" s="3559" t="s">
        <v>3329</v>
      </c>
      <c r="F49" s="3559">
        <v>2018011007</v>
      </c>
      <c r="G49" s="3559" t="s">
        <v>3182</v>
      </c>
      <c r="H49" s="3559">
        <v>4096</v>
      </c>
      <c r="I49" s="3559">
        <v>13107.2</v>
      </c>
      <c r="J49" s="3559" t="s">
        <v>3189</v>
      </c>
      <c r="K49" s="3559" t="s">
        <v>3305</v>
      </c>
      <c r="L49" s="3559" t="s">
        <v>3330</v>
      </c>
      <c r="M49" s="3559" t="s">
        <v>3307</v>
      </c>
      <c r="N49" s="3559">
        <v>2333.9</v>
      </c>
      <c r="O49" s="3559">
        <v>379.87</v>
      </c>
      <c r="P49" s="3559">
        <v>1780.61</v>
      </c>
      <c r="Q49" s="3559">
        <v>0</v>
      </c>
      <c r="R49" s="3559" t="s">
        <v>3187</v>
      </c>
    </row>
    <row r="50" spans="1:18">
      <c r="A50" s="3559" t="s">
        <v>3331</v>
      </c>
      <c r="B50" s="3559" t="s">
        <v>3180</v>
      </c>
      <c r="C50" s="3559" t="s">
        <v>3181</v>
      </c>
      <c r="D50" s="3559" t="s">
        <v>2816</v>
      </c>
      <c r="E50" s="3559" t="s">
        <v>3331</v>
      </c>
      <c r="F50" s="3559">
        <v>2018011003</v>
      </c>
      <c r="G50" s="3559" t="s">
        <v>3182</v>
      </c>
      <c r="H50" s="3559">
        <v>2452</v>
      </c>
      <c r="I50" s="3559">
        <v>7846.4</v>
      </c>
      <c r="J50" s="3559" t="s">
        <v>3189</v>
      </c>
      <c r="K50" s="3559" t="s">
        <v>3305</v>
      </c>
      <c r="L50" s="3559" t="s">
        <v>3332</v>
      </c>
      <c r="M50" s="3559" t="s">
        <v>3307</v>
      </c>
      <c r="N50" s="3559">
        <v>1397.15</v>
      </c>
      <c r="O50" s="3559">
        <v>379.87</v>
      </c>
      <c r="P50" s="3559">
        <v>1780.63</v>
      </c>
      <c r="Q50" s="3559">
        <v>0</v>
      </c>
      <c r="R50" s="3559" t="s">
        <v>3187</v>
      </c>
    </row>
    <row r="51" spans="1:18">
      <c r="A51" s="3559" t="s">
        <v>3195</v>
      </c>
      <c r="B51" s="3559" t="s">
        <v>3180</v>
      </c>
      <c r="C51" s="3559" t="s">
        <v>3181</v>
      </c>
      <c r="D51" s="3559" t="s">
        <v>2816</v>
      </c>
      <c r="E51" s="3559" t="s">
        <v>3195</v>
      </c>
      <c r="F51" s="3559">
        <v>2018009003</v>
      </c>
      <c r="G51" s="3559" t="s">
        <v>3182</v>
      </c>
      <c r="H51" s="3559">
        <v>12684.6</v>
      </c>
      <c r="I51" s="3559">
        <v>32979.96</v>
      </c>
      <c r="J51" s="3559" t="s">
        <v>3196</v>
      </c>
      <c r="K51" s="3559" t="s">
        <v>3197</v>
      </c>
      <c r="L51" s="3559" t="s">
        <v>3198</v>
      </c>
      <c r="M51" s="3559" t="s">
        <v>3199</v>
      </c>
      <c r="N51" s="3559">
        <v>3716.59</v>
      </c>
      <c r="O51" s="3559">
        <v>195.33</v>
      </c>
      <c r="P51" s="3559">
        <v>1126.92</v>
      </c>
      <c r="Q51" s="3559">
        <v>0</v>
      </c>
      <c r="R51" s="3559" t="s">
        <v>3187</v>
      </c>
    </row>
    <row r="52" spans="1:18">
      <c r="A52" s="3559" t="s">
        <v>3200</v>
      </c>
      <c r="B52" s="3559" t="s">
        <v>3180</v>
      </c>
      <c r="C52" s="3559" t="s">
        <v>3181</v>
      </c>
      <c r="D52" s="3559" t="s">
        <v>2816</v>
      </c>
      <c r="E52" s="3559" t="s">
        <v>3200</v>
      </c>
      <c r="F52" s="3559">
        <v>2018009002</v>
      </c>
      <c r="G52" s="3559" t="s">
        <v>3182</v>
      </c>
      <c r="H52" s="3559">
        <v>18447</v>
      </c>
      <c r="I52" s="3559">
        <v>47962.2</v>
      </c>
      <c r="J52" s="3559" t="s">
        <v>3196</v>
      </c>
      <c r="K52" s="3559" t="s">
        <v>3197</v>
      </c>
      <c r="L52" s="3559" t="s">
        <v>3201</v>
      </c>
      <c r="M52" s="3559" t="s">
        <v>3199</v>
      </c>
      <c r="N52" s="3559">
        <v>5404.97</v>
      </c>
      <c r="O52" s="3559">
        <v>195.33</v>
      </c>
      <c r="P52" s="3559">
        <v>1126.92</v>
      </c>
      <c r="Q52" s="3559">
        <v>0</v>
      </c>
      <c r="R52" s="3559" t="s">
        <v>3187</v>
      </c>
    </row>
    <row r="53" spans="1:18">
      <c r="A53" s="3559" t="s">
        <v>3202</v>
      </c>
      <c r="B53" s="3559" t="s">
        <v>3180</v>
      </c>
      <c r="C53" s="3559" t="s">
        <v>3181</v>
      </c>
      <c r="D53" s="3559" t="s">
        <v>2816</v>
      </c>
      <c r="E53" s="3559" t="s">
        <v>3202</v>
      </c>
      <c r="F53" s="3559">
        <v>2018009004</v>
      </c>
      <c r="G53" s="3559" t="s">
        <v>3182</v>
      </c>
      <c r="H53" s="3559">
        <v>15352.6</v>
      </c>
      <c r="I53" s="3559">
        <v>39916.76</v>
      </c>
      <c r="J53" s="3559" t="s">
        <v>3196</v>
      </c>
      <c r="K53" s="3559" t="s">
        <v>3197</v>
      </c>
      <c r="L53" s="3559" t="s">
        <v>3203</v>
      </c>
      <c r="M53" s="3559" t="s">
        <v>3199</v>
      </c>
      <c r="N53" s="3559">
        <v>4498.3100000000004</v>
      </c>
      <c r="O53" s="3559">
        <v>195.33</v>
      </c>
      <c r="P53" s="3559">
        <v>1126.92</v>
      </c>
      <c r="Q53" s="3559">
        <v>0</v>
      </c>
      <c r="R53" s="3559" t="s">
        <v>3187</v>
      </c>
    </row>
    <row r="54" spans="1:18">
      <c r="A54" s="3559" t="s">
        <v>3202</v>
      </c>
      <c r="B54" s="3559" t="s">
        <v>3180</v>
      </c>
      <c r="C54" s="3559" t="s">
        <v>3181</v>
      </c>
      <c r="D54" s="3559" t="s">
        <v>2816</v>
      </c>
      <c r="E54" s="3559" t="s">
        <v>3202</v>
      </c>
      <c r="F54" s="3559">
        <v>2018009001</v>
      </c>
      <c r="G54" s="3559" t="s">
        <v>3182</v>
      </c>
      <c r="H54" s="3559">
        <v>29937.4</v>
      </c>
      <c r="I54" s="3559">
        <v>77837.240000000005</v>
      </c>
      <c r="J54" s="3559" t="s">
        <v>3196</v>
      </c>
      <c r="K54" s="3559" t="s">
        <v>3197</v>
      </c>
      <c r="L54" s="3559" t="s">
        <v>3204</v>
      </c>
      <c r="M54" s="3559" t="s">
        <v>3199</v>
      </c>
      <c r="N54" s="3559">
        <v>8771.65</v>
      </c>
      <c r="O54" s="3559">
        <v>195.33</v>
      </c>
      <c r="P54" s="3559">
        <v>1126.92</v>
      </c>
      <c r="Q54" s="3559">
        <v>0</v>
      </c>
      <c r="R54" s="3559" t="s">
        <v>3187</v>
      </c>
    </row>
    <row r="55" spans="1:18" s="3577" customFormat="1">
      <c r="A55" s="3577" t="s">
        <v>3205</v>
      </c>
      <c r="B55" s="3577" t="s">
        <v>3180</v>
      </c>
      <c r="C55" s="3577" t="s">
        <v>3181</v>
      </c>
      <c r="D55" s="3577" t="s">
        <v>2816</v>
      </c>
      <c r="E55" s="3577" t="s">
        <v>3205</v>
      </c>
      <c r="F55" s="3577">
        <v>2018008002</v>
      </c>
      <c r="G55" s="3577" t="s">
        <v>3182</v>
      </c>
      <c r="H55" s="3577">
        <v>13513</v>
      </c>
      <c r="I55" s="3577">
        <v>40539</v>
      </c>
      <c r="J55" s="3577" t="s">
        <v>3206</v>
      </c>
      <c r="K55" s="3577" t="s">
        <v>3207</v>
      </c>
      <c r="L55" s="3577" t="s">
        <v>3208</v>
      </c>
      <c r="M55" s="3577" t="s">
        <v>3209</v>
      </c>
      <c r="N55" s="3577">
        <v>5270.06</v>
      </c>
      <c r="O55" s="3577">
        <v>260</v>
      </c>
      <c r="P55" s="3577">
        <v>1300</v>
      </c>
      <c r="Q55" s="3577">
        <v>0</v>
      </c>
      <c r="R55" s="3577" t="s">
        <v>3187</v>
      </c>
    </row>
    <row r="56" spans="1:18" s="3577" customFormat="1">
      <c r="A56" s="3577" t="s">
        <v>3210</v>
      </c>
      <c r="B56" s="3577" t="s">
        <v>3180</v>
      </c>
      <c r="C56" s="3577" t="s">
        <v>3181</v>
      </c>
      <c r="D56" s="3577" t="s">
        <v>2816</v>
      </c>
      <c r="E56" s="3577" t="s">
        <v>3210</v>
      </c>
      <c r="F56" s="3577">
        <v>2018008003</v>
      </c>
      <c r="G56" s="3577" t="s">
        <v>3182</v>
      </c>
      <c r="H56" s="3577">
        <v>38144</v>
      </c>
      <c r="I56" s="3577">
        <v>114432</v>
      </c>
      <c r="J56" s="3577" t="s">
        <v>3206</v>
      </c>
      <c r="K56" s="3577" t="s">
        <v>3207</v>
      </c>
      <c r="L56" s="3577" t="s">
        <v>3211</v>
      </c>
      <c r="M56" s="3577" t="s">
        <v>3209</v>
      </c>
      <c r="N56" s="3577">
        <v>14876.15</v>
      </c>
      <c r="O56" s="3577">
        <v>260</v>
      </c>
      <c r="P56" s="3577">
        <v>1300</v>
      </c>
      <c r="Q56" s="3577">
        <v>0</v>
      </c>
      <c r="R56" s="3577" t="s">
        <v>3187</v>
      </c>
    </row>
    <row r="57" spans="1:18">
      <c r="A57" s="3559" t="s">
        <v>3300</v>
      </c>
      <c r="B57" s="3559" t="s">
        <v>3180</v>
      </c>
      <c r="C57" s="3559" t="s">
        <v>3181</v>
      </c>
      <c r="D57" s="3559" t="s">
        <v>2816</v>
      </c>
      <c r="E57" s="3559" t="s">
        <v>3300</v>
      </c>
      <c r="F57" s="3559">
        <v>2018007001</v>
      </c>
      <c r="G57" s="3559" t="s">
        <v>3182</v>
      </c>
      <c r="H57" s="3559">
        <v>16663.59</v>
      </c>
      <c r="I57" s="3559">
        <v>53323.49</v>
      </c>
      <c r="J57" s="3559" t="s">
        <v>3189</v>
      </c>
      <c r="K57" s="3559" t="s">
        <v>3333</v>
      </c>
      <c r="L57" s="3559" t="s">
        <v>3334</v>
      </c>
      <c r="M57" s="3559" t="s">
        <v>3303</v>
      </c>
      <c r="N57" s="3559">
        <v>12014.45</v>
      </c>
      <c r="O57" s="3559">
        <v>480.67</v>
      </c>
      <c r="P57" s="3559">
        <v>2253.13</v>
      </c>
      <c r="Q57" s="3559">
        <v>0.14000000000000001</v>
      </c>
      <c r="R57" s="3559" t="s">
        <v>3187</v>
      </c>
    </row>
    <row r="58" spans="1:18">
      <c r="A58" s="3559" t="s">
        <v>3335</v>
      </c>
      <c r="B58" s="3559" t="s">
        <v>3180</v>
      </c>
      <c r="C58" s="3559" t="s">
        <v>3181</v>
      </c>
      <c r="D58" s="3559" t="s">
        <v>2816</v>
      </c>
      <c r="E58" s="3559" t="s">
        <v>3335</v>
      </c>
      <c r="F58" s="3559">
        <v>2018003003</v>
      </c>
      <c r="G58" s="3559" t="s">
        <v>3182</v>
      </c>
      <c r="H58" s="3559">
        <v>6667</v>
      </c>
      <c r="I58" s="3559">
        <v>18667.599999999999</v>
      </c>
      <c r="J58" s="3559" t="s">
        <v>3336</v>
      </c>
      <c r="K58" s="3559" t="s">
        <v>3337</v>
      </c>
      <c r="L58" s="3559" t="s">
        <v>3338</v>
      </c>
      <c r="M58" s="3559" t="s">
        <v>3339</v>
      </c>
      <c r="N58" s="3559">
        <v>3460.17</v>
      </c>
      <c r="O58" s="3559">
        <v>346</v>
      </c>
      <c r="P58" s="3559">
        <v>1853.56</v>
      </c>
      <c r="Q58" s="3559">
        <v>23.87</v>
      </c>
      <c r="R58" s="3559" t="s">
        <v>3187</v>
      </c>
    </row>
    <row r="59" spans="1:18">
      <c r="A59" s="3559" t="s">
        <v>3340</v>
      </c>
      <c r="B59" s="3559" t="s">
        <v>3180</v>
      </c>
      <c r="C59" s="3559" t="s">
        <v>3181</v>
      </c>
      <c r="D59" s="3559" t="s">
        <v>2816</v>
      </c>
      <c r="E59" s="3559" t="s">
        <v>3340</v>
      </c>
      <c r="F59" s="3559">
        <v>2018003001</v>
      </c>
      <c r="G59" s="3559" t="s">
        <v>3182</v>
      </c>
      <c r="H59" s="3559">
        <v>6942</v>
      </c>
      <c r="I59" s="3559">
        <v>13884</v>
      </c>
      <c r="J59" s="3559" t="s">
        <v>3341</v>
      </c>
      <c r="K59" s="3559" t="s">
        <v>3337</v>
      </c>
      <c r="L59" s="3559" t="s">
        <v>3342</v>
      </c>
      <c r="M59" s="3559" t="s">
        <v>3339</v>
      </c>
      <c r="N59" s="3559">
        <v>3602.9</v>
      </c>
      <c r="O59" s="3559">
        <v>346</v>
      </c>
      <c r="P59" s="3559">
        <v>2595</v>
      </c>
      <c r="Q59" s="3559">
        <v>23.87</v>
      </c>
      <c r="R59" s="3559" t="s">
        <v>3187</v>
      </c>
    </row>
    <row r="60" spans="1:18">
      <c r="A60" s="3559" t="s">
        <v>3343</v>
      </c>
      <c r="B60" s="3559" t="s">
        <v>3180</v>
      </c>
      <c r="C60" s="3559" t="s">
        <v>3181</v>
      </c>
      <c r="D60" s="3559" t="s">
        <v>2816</v>
      </c>
      <c r="E60" s="3559" t="s">
        <v>3343</v>
      </c>
      <c r="F60" s="3559">
        <v>2018003006</v>
      </c>
      <c r="G60" s="3559" t="s">
        <v>3182</v>
      </c>
      <c r="H60" s="3559">
        <v>10667</v>
      </c>
      <c r="I60" s="3559">
        <v>32001</v>
      </c>
      <c r="J60" s="3559" t="s">
        <v>3236</v>
      </c>
      <c r="K60" s="3559" t="s">
        <v>3337</v>
      </c>
      <c r="L60" s="3559" t="s">
        <v>3344</v>
      </c>
      <c r="M60" s="3559" t="s">
        <v>3339</v>
      </c>
      <c r="N60" s="3559">
        <v>5536.17</v>
      </c>
      <c r="O60" s="3559">
        <v>346</v>
      </c>
      <c r="P60" s="3559">
        <v>1730</v>
      </c>
      <c r="Q60" s="3559">
        <v>23.87</v>
      </c>
      <c r="R60" s="3559" t="s">
        <v>3187</v>
      </c>
    </row>
    <row r="61" spans="1:18">
      <c r="A61" s="3559" t="s">
        <v>3345</v>
      </c>
      <c r="B61" s="3559" t="s">
        <v>3180</v>
      </c>
      <c r="C61" s="3559" t="s">
        <v>3181</v>
      </c>
      <c r="D61" s="3559" t="s">
        <v>2816</v>
      </c>
      <c r="E61" s="3559" t="s">
        <v>3345</v>
      </c>
      <c r="F61" s="3559">
        <v>2018003005</v>
      </c>
      <c r="G61" s="3559" t="s">
        <v>3182</v>
      </c>
      <c r="H61" s="3559">
        <v>7319</v>
      </c>
      <c r="I61" s="3559">
        <v>20493.2</v>
      </c>
      <c r="J61" s="3559" t="s">
        <v>3336</v>
      </c>
      <c r="K61" s="3559" t="s">
        <v>3337</v>
      </c>
      <c r="L61" s="3559" t="s">
        <v>3346</v>
      </c>
      <c r="M61" s="3559" t="s">
        <v>3339</v>
      </c>
      <c r="N61" s="3559">
        <v>3798.55</v>
      </c>
      <c r="O61" s="3559">
        <v>346</v>
      </c>
      <c r="P61" s="3559">
        <v>1853.56</v>
      </c>
      <c r="Q61" s="3559">
        <v>23.87</v>
      </c>
      <c r="R61" s="3559" t="s">
        <v>3187</v>
      </c>
    </row>
    <row r="62" spans="1:18">
      <c r="A62" s="3559" t="s">
        <v>3347</v>
      </c>
      <c r="B62" s="3559" t="s">
        <v>3180</v>
      </c>
      <c r="C62" s="3559" t="s">
        <v>3181</v>
      </c>
      <c r="D62" s="3559" t="s">
        <v>2816</v>
      </c>
      <c r="E62" s="3559" t="s">
        <v>3347</v>
      </c>
      <c r="F62" s="3559">
        <v>2018002006</v>
      </c>
      <c r="G62" s="3559" t="s">
        <v>3182</v>
      </c>
      <c r="H62" s="3559">
        <v>21942</v>
      </c>
      <c r="I62" s="3559">
        <v>72408.600000000006</v>
      </c>
      <c r="J62" s="3559" t="s">
        <v>3229</v>
      </c>
      <c r="K62" s="3559" t="s">
        <v>3348</v>
      </c>
      <c r="L62" s="3559" t="s">
        <v>3349</v>
      </c>
      <c r="M62" s="3559" t="s">
        <v>3297</v>
      </c>
      <c r="N62" s="3559">
        <v>12111.97</v>
      </c>
      <c r="O62" s="3559">
        <v>368</v>
      </c>
      <c r="P62" s="3559">
        <v>1672.73</v>
      </c>
      <c r="Q62" s="3559">
        <v>0</v>
      </c>
      <c r="R62" s="3559" t="s">
        <v>3187</v>
      </c>
    </row>
    <row r="63" spans="1:18">
      <c r="A63" s="3559" t="s">
        <v>3347</v>
      </c>
      <c r="B63" s="3559" t="s">
        <v>3180</v>
      </c>
      <c r="C63" s="3559" t="s">
        <v>3181</v>
      </c>
      <c r="D63" s="3559" t="s">
        <v>2816</v>
      </c>
      <c r="E63" s="3559" t="s">
        <v>3347</v>
      </c>
      <c r="F63" s="3559">
        <v>2018002005</v>
      </c>
      <c r="G63" s="3559" t="s">
        <v>3182</v>
      </c>
      <c r="H63" s="3559">
        <v>11977</v>
      </c>
      <c r="I63" s="3559">
        <v>39524.1</v>
      </c>
      <c r="J63" s="3559" t="s">
        <v>3229</v>
      </c>
      <c r="K63" s="3559" t="s">
        <v>3348</v>
      </c>
      <c r="L63" s="3559" t="s">
        <v>3420</v>
      </c>
      <c r="M63" s="3559" t="s">
        <v>3297</v>
      </c>
      <c r="N63" s="3559">
        <v>6611.3</v>
      </c>
      <c r="O63" s="3559">
        <v>368</v>
      </c>
      <c r="P63" s="3559">
        <v>1672.73</v>
      </c>
      <c r="Q63" s="3559">
        <v>0</v>
      </c>
      <c r="R63" s="3559" t="s">
        <v>3187</v>
      </c>
    </row>
    <row r="64" spans="1:18">
      <c r="A64" s="3559" t="s">
        <v>3421</v>
      </c>
      <c r="B64" s="3559" t="s">
        <v>3180</v>
      </c>
      <c r="C64" s="3559" t="s">
        <v>3181</v>
      </c>
      <c r="D64" s="3559" t="s">
        <v>2816</v>
      </c>
      <c r="E64" s="3559" t="s">
        <v>3421</v>
      </c>
      <c r="F64" s="3559">
        <v>2018002002</v>
      </c>
      <c r="G64" s="3559" t="s">
        <v>3182</v>
      </c>
      <c r="H64" s="3559">
        <v>2314</v>
      </c>
      <c r="I64" s="3559">
        <v>8099</v>
      </c>
      <c r="J64" s="3559" t="s">
        <v>3422</v>
      </c>
      <c r="K64" s="3559" t="s">
        <v>3348</v>
      </c>
      <c r="L64" s="3559" t="s">
        <v>3423</v>
      </c>
      <c r="M64" s="3559" t="s">
        <v>3297</v>
      </c>
      <c r="N64" s="3559">
        <v>1277.32</v>
      </c>
      <c r="O64" s="3559">
        <v>368</v>
      </c>
      <c r="P64" s="3559">
        <v>1577.15</v>
      </c>
      <c r="Q64" s="3559">
        <v>0</v>
      </c>
      <c r="R64" s="3559" t="s">
        <v>3187</v>
      </c>
    </row>
    <row r="65" spans="1:18">
      <c r="A65" s="3559" t="s">
        <v>3424</v>
      </c>
      <c r="B65" s="3559" t="s">
        <v>3180</v>
      </c>
      <c r="C65" s="3559" t="s">
        <v>3181</v>
      </c>
      <c r="D65" s="3559" t="s">
        <v>2816</v>
      </c>
      <c r="E65" s="3559" t="s">
        <v>3424</v>
      </c>
      <c r="F65" s="3559">
        <v>2018002001</v>
      </c>
      <c r="G65" s="3559" t="s">
        <v>3182</v>
      </c>
      <c r="H65" s="3559">
        <v>7621</v>
      </c>
      <c r="I65" s="3559">
        <v>25149.3</v>
      </c>
      <c r="J65" s="3559" t="s">
        <v>3229</v>
      </c>
      <c r="K65" s="3559" t="s">
        <v>3348</v>
      </c>
      <c r="L65" s="3559" t="s">
        <v>3425</v>
      </c>
      <c r="M65" s="3559" t="s">
        <v>3297</v>
      </c>
      <c r="N65" s="3559">
        <v>4206.78</v>
      </c>
      <c r="O65" s="3559">
        <v>368</v>
      </c>
      <c r="P65" s="3559">
        <v>1672.73</v>
      </c>
      <c r="Q65" s="3559">
        <v>0</v>
      </c>
      <c r="R65" s="3559" t="s">
        <v>3187</v>
      </c>
    </row>
    <row r="66" spans="1:18">
      <c r="A66" s="3559" t="s">
        <v>3426</v>
      </c>
      <c r="B66" s="3559" t="s">
        <v>3180</v>
      </c>
      <c r="C66" s="3559" t="s">
        <v>3181</v>
      </c>
      <c r="D66" s="3559" t="s">
        <v>2816</v>
      </c>
      <c r="E66" s="3559" t="s">
        <v>3426</v>
      </c>
      <c r="F66" s="3559">
        <v>2017041002</v>
      </c>
      <c r="G66" s="3559" t="s">
        <v>3182</v>
      </c>
      <c r="H66" s="3559">
        <v>12220</v>
      </c>
      <c r="I66" s="3559">
        <v>34216</v>
      </c>
      <c r="J66" s="3559" t="s">
        <v>3427</v>
      </c>
      <c r="K66" s="3559" t="s">
        <v>3428</v>
      </c>
      <c r="L66" s="3559" t="s">
        <v>3429</v>
      </c>
      <c r="M66" s="3559" t="s">
        <v>3430</v>
      </c>
      <c r="N66" s="3559">
        <v>5127.51</v>
      </c>
      <c r="O66" s="3559">
        <v>279.73</v>
      </c>
      <c r="P66" s="3559">
        <v>1498.56</v>
      </c>
      <c r="Q66" s="3559">
        <v>0</v>
      </c>
      <c r="R66" s="3559" t="s">
        <v>3187</v>
      </c>
    </row>
    <row r="67" spans="1:18">
      <c r="A67" s="3559" t="s">
        <v>3431</v>
      </c>
      <c r="B67" s="3559" t="s">
        <v>3180</v>
      </c>
      <c r="C67" s="3559" t="s">
        <v>3181</v>
      </c>
      <c r="D67" s="3559" t="s">
        <v>2816</v>
      </c>
      <c r="E67" s="3559" t="s">
        <v>3431</v>
      </c>
      <c r="F67" s="3559">
        <v>2017037001</v>
      </c>
      <c r="G67" s="3559" t="s">
        <v>3182</v>
      </c>
      <c r="H67" s="3559">
        <v>62662</v>
      </c>
      <c r="I67" s="3559">
        <v>200518.39999999999</v>
      </c>
      <c r="J67" s="3559" t="s">
        <v>3189</v>
      </c>
      <c r="K67" s="3559" t="s">
        <v>3432</v>
      </c>
      <c r="L67" s="3559" t="s">
        <v>3433</v>
      </c>
      <c r="M67" s="3559" t="s">
        <v>3434</v>
      </c>
      <c r="N67" s="3559">
        <v>26894.52</v>
      </c>
      <c r="O67" s="3559">
        <v>286.13</v>
      </c>
      <c r="P67" s="3559">
        <v>1341.25</v>
      </c>
      <c r="Q67" s="3559">
        <v>0</v>
      </c>
      <c r="R67" s="3559" t="s">
        <v>3187</v>
      </c>
    </row>
    <row r="68" spans="1:18">
      <c r="A68" s="3559" t="s">
        <v>3212</v>
      </c>
      <c r="B68" s="3559" t="s">
        <v>3180</v>
      </c>
      <c r="C68" s="3559" t="s">
        <v>3181</v>
      </c>
      <c r="D68" s="3559" t="s">
        <v>2816</v>
      </c>
      <c r="E68" s="3559" t="s">
        <v>3212</v>
      </c>
      <c r="F68" s="3559">
        <v>2017034001</v>
      </c>
      <c r="G68" s="3559" t="s">
        <v>3182</v>
      </c>
      <c r="H68" s="3559">
        <v>9964</v>
      </c>
      <c r="I68" s="3559">
        <v>22717.919999999998</v>
      </c>
      <c r="J68" s="3559" t="s">
        <v>3213</v>
      </c>
      <c r="K68" s="3559" t="s">
        <v>3214</v>
      </c>
      <c r="L68" s="3559" t="s">
        <v>3215</v>
      </c>
      <c r="M68" s="3559" t="s">
        <v>3216</v>
      </c>
      <c r="N68" s="3559">
        <v>1893.16</v>
      </c>
      <c r="O68" s="3559">
        <v>126.67</v>
      </c>
      <c r="P68" s="3559">
        <v>833.33</v>
      </c>
      <c r="Q68" s="3559">
        <v>0</v>
      </c>
      <c r="R68" s="3559" t="s">
        <v>3187</v>
      </c>
    </row>
    <row r="69" spans="1:18">
      <c r="A69" s="3559" t="s">
        <v>3435</v>
      </c>
      <c r="B69" s="3559" t="s">
        <v>3180</v>
      </c>
      <c r="C69" s="3559" t="s">
        <v>3181</v>
      </c>
      <c r="D69" s="3559" t="s">
        <v>2816</v>
      </c>
      <c r="E69" s="3559" t="s">
        <v>3435</v>
      </c>
      <c r="F69" s="3559">
        <v>2017032001</v>
      </c>
      <c r="G69" s="3559" t="s">
        <v>3182</v>
      </c>
      <c r="H69" s="3559">
        <v>20903</v>
      </c>
      <c r="I69" s="3559">
        <v>58528.4</v>
      </c>
      <c r="J69" s="3559" t="s">
        <v>3427</v>
      </c>
      <c r="K69" s="3559" t="s">
        <v>3436</v>
      </c>
      <c r="L69" s="3559" t="s">
        <v>3437</v>
      </c>
      <c r="M69" s="3559" t="s">
        <v>3303</v>
      </c>
      <c r="N69" s="3559">
        <v>14872.47</v>
      </c>
      <c r="O69" s="3559">
        <v>474.33</v>
      </c>
      <c r="P69" s="3559">
        <v>2541.0700000000002</v>
      </c>
      <c r="Q69" s="3559">
        <v>45.95</v>
      </c>
      <c r="R69" s="3559" t="s">
        <v>3187</v>
      </c>
    </row>
    <row r="70" spans="1:18">
      <c r="A70" s="3559" t="s">
        <v>3438</v>
      </c>
      <c r="B70" s="3559" t="s">
        <v>3180</v>
      </c>
      <c r="C70" s="3559" t="s">
        <v>3181</v>
      </c>
      <c r="D70" s="3559" t="s">
        <v>2816</v>
      </c>
      <c r="E70" s="3559" t="s">
        <v>3438</v>
      </c>
      <c r="F70" s="3559">
        <v>2017029001</v>
      </c>
      <c r="G70" s="3559" t="s">
        <v>3182</v>
      </c>
      <c r="H70" s="3559">
        <v>10438.86</v>
      </c>
      <c r="I70" s="3559">
        <v>29228.81</v>
      </c>
      <c r="J70" s="3559" t="s">
        <v>3427</v>
      </c>
      <c r="K70" s="3559" t="s">
        <v>3439</v>
      </c>
      <c r="L70" s="3559" t="s">
        <v>3440</v>
      </c>
      <c r="M70" s="3559" t="s">
        <v>3430</v>
      </c>
      <c r="N70" s="3559">
        <v>4380.1400000000003</v>
      </c>
      <c r="O70" s="3559">
        <v>279.73</v>
      </c>
      <c r="P70" s="3559">
        <v>1498.56</v>
      </c>
      <c r="Q70" s="3559">
        <v>0</v>
      </c>
      <c r="R70" s="3559" t="s">
        <v>3187</v>
      </c>
    </row>
    <row r="71" spans="1:18">
      <c r="A71" s="3559" t="s">
        <v>3441</v>
      </c>
      <c r="B71" s="3559" t="s">
        <v>3180</v>
      </c>
      <c r="C71" s="3559" t="s">
        <v>3181</v>
      </c>
      <c r="D71" s="3559" t="s">
        <v>2816</v>
      </c>
      <c r="E71" s="3559" t="s">
        <v>3441</v>
      </c>
      <c r="F71" s="3559">
        <v>2017029012</v>
      </c>
      <c r="G71" s="3559" t="s">
        <v>3182</v>
      </c>
      <c r="H71" s="3559">
        <v>7359</v>
      </c>
      <c r="I71" s="3559">
        <v>20605.2</v>
      </c>
      <c r="J71" s="3559" t="s">
        <v>3427</v>
      </c>
      <c r="K71" s="3559" t="s">
        <v>3439</v>
      </c>
      <c r="L71" s="3559" t="s">
        <v>3442</v>
      </c>
      <c r="M71" s="3559" t="s">
        <v>3430</v>
      </c>
      <c r="N71" s="3559">
        <v>3087.84</v>
      </c>
      <c r="O71" s="3559">
        <v>279.73</v>
      </c>
      <c r="P71" s="3559">
        <v>1498.56</v>
      </c>
      <c r="Q71" s="3559">
        <v>0</v>
      </c>
      <c r="R71" s="3559" t="s">
        <v>3187</v>
      </c>
    </row>
    <row r="72" spans="1:18">
      <c r="A72" s="3559" t="s">
        <v>3443</v>
      </c>
      <c r="B72" s="3559" t="s">
        <v>3180</v>
      </c>
      <c r="C72" s="3559" t="s">
        <v>3181</v>
      </c>
      <c r="D72" s="3559" t="s">
        <v>2816</v>
      </c>
      <c r="E72" s="3559" t="s">
        <v>3443</v>
      </c>
      <c r="F72" s="3559">
        <v>2017029014</v>
      </c>
      <c r="G72" s="3559" t="s">
        <v>3182</v>
      </c>
      <c r="H72" s="3559">
        <v>21976</v>
      </c>
      <c r="I72" s="3559">
        <v>61532.800000000003</v>
      </c>
      <c r="J72" s="3559" t="s">
        <v>3427</v>
      </c>
      <c r="K72" s="3559" t="s">
        <v>3439</v>
      </c>
      <c r="L72" s="3559" t="s">
        <v>3444</v>
      </c>
      <c r="M72" s="3559" t="s">
        <v>3430</v>
      </c>
      <c r="N72" s="3559">
        <v>9221.1200000000008</v>
      </c>
      <c r="O72" s="3559">
        <v>279.73</v>
      </c>
      <c r="P72" s="3559">
        <v>1498.56</v>
      </c>
      <c r="Q72" s="3559">
        <v>0</v>
      </c>
      <c r="R72" s="3559" t="s">
        <v>3187</v>
      </c>
    </row>
    <row r="73" spans="1:18">
      <c r="A73" s="3559" t="s">
        <v>3445</v>
      </c>
      <c r="B73" s="3559" t="s">
        <v>3180</v>
      </c>
      <c r="C73" s="3559" t="s">
        <v>3181</v>
      </c>
      <c r="D73" s="3559" t="s">
        <v>2816</v>
      </c>
      <c r="E73" s="3559" t="s">
        <v>3445</v>
      </c>
      <c r="F73" s="3559">
        <v>2017029005</v>
      </c>
      <c r="G73" s="3559" t="s">
        <v>3182</v>
      </c>
      <c r="H73" s="3559">
        <v>8695</v>
      </c>
      <c r="I73" s="3559">
        <v>24346</v>
      </c>
      <c r="J73" s="3559" t="s">
        <v>3427</v>
      </c>
      <c r="K73" s="3559" t="s">
        <v>3439</v>
      </c>
      <c r="L73" s="3559" t="s">
        <v>3446</v>
      </c>
      <c r="M73" s="3559" t="s">
        <v>3430</v>
      </c>
      <c r="N73" s="3559">
        <v>3648.42</v>
      </c>
      <c r="O73" s="3559">
        <v>279.73</v>
      </c>
      <c r="P73" s="3559">
        <v>1498.56</v>
      </c>
      <c r="Q73" s="3559">
        <v>0</v>
      </c>
      <c r="R73" s="3559" t="s">
        <v>3187</v>
      </c>
    </row>
    <row r="74" spans="1:18">
      <c r="A74" s="3559" t="s">
        <v>3447</v>
      </c>
      <c r="B74" s="3559" t="s">
        <v>3180</v>
      </c>
      <c r="C74" s="3559" t="s">
        <v>3181</v>
      </c>
      <c r="D74" s="3559" t="s">
        <v>2816</v>
      </c>
      <c r="E74" s="3559" t="s">
        <v>3447</v>
      </c>
      <c r="F74" s="3559">
        <v>2017029013</v>
      </c>
      <c r="G74" s="3559" t="s">
        <v>3182</v>
      </c>
      <c r="H74" s="3559">
        <v>13884</v>
      </c>
      <c r="I74" s="3559">
        <v>38875.199999999997</v>
      </c>
      <c r="J74" s="3559" t="s">
        <v>3427</v>
      </c>
      <c r="K74" s="3559" t="s">
        <v>3439</v>
      </c>
      <c r="L74" s="3559" t="s">
        <v>3448</v>
      </c>
      <c r="M74" s="3559" t="s">
        <v>3430</v>
      </c>
      <c r="N74" s="3559">
        <v>5825.72</v>
      </c>
      <c r="O74" s="3559">
        <v>279.73</v>
      </c>
      <c r="P74" s="3559">
        <v>1498.56</v>
      </c>
      <c r="Q74" s="3559">
        <v>0</v>
      </c>
      <c r="R74" s="3559" t="s">
        <v>3187</v>
      </c>
    </row>
    <row r="75" spans="1:18">
      <c r="A75" s="3559" t="s">
        <v>3449</v>
      </c>
      <c r="B75" s="3559" t="s">
        <v>3180</v>
      </c>
      <c r="C75" s="3559" t="s">
        <v>3181</v>
      </c>
      <c r="D75" s="3559" t="s">
        <v>2816</v>
      </c>
      <c r="E75" s="3559" t="s">
        <v>3449</v>
      </c>
      <c r="F75" s="3559">
        <v>2017029008</v>
      </c>
      <c r="G75" s="3559" t="s">
        <v>3182</v>
      </c>
      <c r="H75" s="3559">
        <v>17226</v>
      </c>
      <c r="I75" s="3559">
        <v>48232.800000000003</v>
      </c>
      <c r="J75" s="3559" t="s">
        <v>3427</v>
      </c>
      <c r="K75" s="3559" t="s">
        <v>3439</v>
      </c>
      <c r="L75" s="3559" t="s">
        <v>3450</v>
      </c>
      <c r="M75" s="3559" t="s">
        <v>3430</v>
      </c>
      <c r="N75" s="3559">
        <v>7228.02</v>
      </c>
      <c r="O75" s="3559">
        <v>279.73</v>
      </c>
      <c r="P75" s="3559">
        <v>1498.56</v>
      </c>
      <c r="Q75" s="3559">
        <v>0</v>
      </c>
      <c r="R75" s="3559" t="s">
        <v>3187</v>
      </c>
    </row>
    <row r="76" spans="1:18">
      <c r="A76" s="3559" t="s">
        <v>3217</v>
      </c>
      <c r="B76" s="3559" t="s">
        <v>3180</v>
      </c>
      <c r="C76" s="3559" t="s">
        <v>3181</v>
      </c>
      <c r="D76" s="3559" t="s">
        <v>2816</v>
      </c>
      <c r="E76" s="3559" t="s">
        <v>3217</v>
      </c>
      <c r="F76" s="3559">
        <v>2017028002</v>
      </c>
      <c r="G76" s="3559" t="s">
        <v>3182</v>
      </c>
      <c r="H76" s="3559">
        <v>31405.5</v>
      </c>
      <c r="I76" s="3559">
        <v>81654.3</v>
      </c>
      <c r="J76" s="3559" t="s">
        <v>3196</v>
      </c>
      <c r="K76" s="3559" t="s">
        <v>3218</v>
      </c>
      <c r="L76" s="3559" t="s">
        <v>3219</v>
      </c>
      <c r="M76" s="3559" t="s">
        <v>3220</v>
      </c>
      <c r="N76" s="3559">
        <v>9013.3700000000008</v>
      </c>
      <c r="O76" s="3559">
        <v>191.33</v>
      </c>
      <c r="P76" s="3559">
        <v>1103.8399999999999</v>
      </c>
      <c r="Q76" s="3559">
        <v>0</v>
      </c>
      <c r="R76" s="3559" t="s">
        <v>3187</v>
      </c>
    </row>
    <row r="77" spans="1:18">
      <c r="A77" s="3559" t="s">
        <v>3217</v>
      </c>
      <c r="B77" s="3559" t="s">
        <v>3180</v>
      </c>
      <c r="C77" s="3559" t="s">
        <v>3181</v>
      </c>
      <c r="D77" s="3559" t="s">
        <v>2816</v>
      </c>
      <c r="E77" s="3559" t="s">
        <v>3217</v>
      </c>
      <c r="F77" s="3559">
        <v>2017028001</v>
      </c>
      <c r="G77" s="3559" t="s">
        <v>3182</v>
      </c>
      <c r="H77" s="3559">
        <v>14871.5</v>
      </c>
      <c r="I77" s="3559">
        <v>38665.9</v>
      </c>
      <c r="J77" s="3559" t="s">
        <v>3196</v>
      </c>
      <c r="K77" s="3559" t="s">
        <v>3218</v>
      </c>
      <c r="L77" s="3559" t="s">
        <v>3221</v>
      </c>
      <c r="M77" s="3559" t="s">
        <v>3220</v>
      </c>
      <c r="N77" s="3559">
        <v>4268.1099999999997</v>
      </c>
      <c r="O77" s="3559">
        <v>191.33</v>
      </c>
      <c r="P77" s="3559">
        <v>1103.8399999999999</v>
      </c>
      <c r="Q77" s="3559">
        <v>0</v>
      </c>
      <c r="R77" s="3559" t="s">
        <v>3187</v>
      </c>
    </row>
    <row r="78" spans="1:18">
      <c r="A78" s="3559" t="s">
        <v>3217</v>
      </c>
      <c r="B78" s="3559" t="s">
        <v>3180</v>
      </c>
      <c r="C78" s="3559" t="s">
        <v>3181</v>
      </c>
      <c r="D78" s="3559" t="s">
        <v>2816</v>
      </c>
      <c r="E78" s="3559" t="s">
        <v>3217</v>
      </c>
      <c r="F78" s="3559">
        <v>2017027001</v>
      </c>
      <c r="G78" s="3559" t="s">
        <v>3182</v>
      </c>
      <c r="H78" s="3559">
        <v>32599.3</v>
      </c>
      <c r="I78" s="3559">
        <v>84758.18</v>
      </c>
      <c r="J78" s="3559" t="s">
        <v>3196</v>
      </c>
      <c r="K78" s="3559" t="s">
        <v>3222</v>
      </c>
      <c r="L78" s="3559" t="s">
        <v>3223</v>
      </c>
      <c r="M78" s="3559" t="s">
        <v>3220</v>
      </c>
      <c r="N78" s="3559">
        <v>9356</v>
      </c>
      <c r="O78" s="3559">
        <v>191.33</v>
      </c>
      <c r="P78" s="3559">
        <v>1103.8399999999999</v>
      </c>
      <c r="Q78" s="3559">
        <v>0</v>
      </c>
      <c r="R78" s="3559" t="s">
        <v>3187</v>
      </c>
    </row>
    <row r="79" spans="1:18">
      <c r="A79" s="3559" t="s">
        <v>3451</v>
      </c>
      <c r="B79" s="3559" t="s">
        <v>3180</v>
      </c>
      <c r="C79" s="3559" t="s">
        <v>3181</v>
      </c>
      <c r="D79" s="3559" t="s">
        <v>2816</v>
      </c>
      <c r="E79" s="3559" t="s">
        <v>3451</v>
      </c>
      <c r="F79" s="3559">
        <v>2017026003</v>
      </c>
      <c r="G79" s="3559" t="s">
        <v>3182</v>
      </c>
      <c r="H79" s="3559">
        <v>26665</v>
      </c>
      <c r="I79" s="3559">
        <v>74662</v>
      </c>
      <c r="J79" s="3559" t="s">
        <v>3427</v>
      </c>
      <c r="K79" s="3559" t="s">
        <v>3452</v>
      </c>
      <c r="L79" s="3559" t="s">
        <v>3453</v>
      </c>
      <c r="M79" s="3559" t="s">
        <v>3434</v>
      </c>
      <c r="N79" s="3559">
        <v>11343.29</v>
      </c>
      <c r="O79" s="3559">
        <v>283.60000000000002</v>
      </c>
      <c r="P79" s="3559">
        <v>1519.28</v>
      </c>
      <c r="Q79" s="3559">
        <v>0</v>
      </c>
      <c r="R79" s="3559" t="s">
        <v>3187</v>
      </c>
    </row>
    <row r="80" spans="1:18">
      <c r="A80" s="3559" t="s">
        <v>3451</v>
      </c>
      <c r="B80" s="3559" t="s">
        <v>3180</v>
      </c>
      <c r="C80" s="3559" t="s">
        <v>3181</v>
      </c>
      <c r="D80" s="3559" t="s">
        <v>2816</v>
      </c>
      <c r="E80" s="3559" t="s">
        <v>3451</v>
      </c>
      <c r="F80" s="3559">
        <v>2017026002</v>
      </c>
      <c r="G80" s="3559" t="s">
        <v>3182</v>
      </c>
      <c r="H80" s="3559">
        <v>14453</v>
      </c>
      <c r="I80" s="3559">
        <v>40468.400000000001</v>
      </c>
      <c r="J80" s="3559" t="s">
        <v>3427</v>
      </c>
      <c r="K80" s="3559" t="s">
        <v>3452</v>
      </c>
      <c r="L80" s="3559" t="s">
        <v>3454</v>
      </c>
      <c r="M80" s="3559" t="s">
        <v>3434</v>
      </c>
      <c r="N80" s="3559">
        <v>6148.31</v>
      </c>
      <c r="O80" s="3559">
        <v>283.60000000000002</v>
      </c>
      <c r="P80" s="3559">
        <v>1519.28</v>
      </c>
      <c r="Q80" s="3559">
        <v>0</v>
      </c>
      <c r="R80" s="3559" t="s">
        <v>3187</v>
      </c>
    </row>
    <row r="81" spans="1:18">
      <c r="A81" s="3559" t="s">
        <v>3451</v>
      </c>
      <c r="B81" s="3559" t="s">
        <v>3180</v>
      </c>
      <c r="C81" s="3559" t="s">
        <v>3234</v>
      </c>
      <c r="D81" s="3559" t="s">
        <v>2816</v>
      </c>
      <c r="E81" s="3559" t="s">
        <v>3451</v>
      </c>
      <c r="F81" s="3559">
        <v>2017026001</v>
      </c>
      <c r="G81" s="3559" t="s">
        <v>3182</v>
      </c>
      <c r="H81" s="3559">
        <v>22913</v>
      </c>
      <c r="I81" s="3559">
        <v>64156.4</v>
      </c>
      <c r="J81" s="3559" t="s">
        <v>3427</v>
      </c>
      <c r="K81" s="3559" t="s">
        <v>3452</v>
      </c>
      <c r="L81" s="3559" t="s">
        <v>3455</v>
      </c>
      <c r="M81" s="3559" t="s">
        <v>3434</v>
      </c>
      <c r="N81" s="3559">
        <v>9747.19</v>
      </c>
      <c r="O81" s="3559">
        <v>283.60000000000002</v>
      </c>
      <c r="P81" s="3559">
        <v>1519.28</v>
      </c>
      <c r="Q81" s="3559">
        <v>0</v>
      </c>
      <c r="R81" s="3559" t="s">
        <v>3456</v>
      </c>
    </row>
    <row r="82" spans="1:18">
      <c r="A82" s="3559" t="s">
        <v>3217</v>
      </c>
      <c r="B82" s="3559" t="s">
        <v>3180</v>
      </c>
      <c r="C82" s="3559" t="s">
        <v>3181</v>
      </c>
      <c r="D82" s="3559" t="s">
        <v>2816</v>
      </c>
      <c r="E82" s="3559" t="s">
        <v>3217</v>
      </c>
      <c r="F82" s="3559">
        <v>2017025001</v>
      </c>
      <c r="G82" s="3559" t="s">
        <v>3182</v>
      </c>
      <c r="H82" s="3559">
        <v>35814.699999999997</v>
      </c>
      <c r="I82" s="3559">
        <v>93118.22</v>
      </c>
      <c r="J82" s="3559" t="s">
        <v>3196</v>
      </c>
      <c r="K82" s="3559" t="s">
        <v>3224</v>
      </c>
      <c r="L82" s="3559" t="s">
        <v>3225</v>
      </c>
      <c r="M82" s="3559" t="s">
        <v>3220</v>
      </c>
      <c r="N82" s="3559">
        <v>10278.81</v>
      </c>
      <c r="O82" s="3559">
        <v>191.33</v>
      </c>
      <c r="P82" s="3559">
        <v>1103.8399999999999</v>
      </c>
      <c r="Q82" s="3559">
        <v>0</v>
      </c>
      <c r="R82" s="3559" t="s">
        <v>3187</v>
      </c>
    </row>
    <row r="83" spans="1:18">
      <c r="A83" s="3559" t="s">
        <v>3217</v>
      </c>
      <c r="B83" s="3559" t="s">
        <v>3180</v>
      </c>
      <c r="C83" s="3559" t="s">
        <v>3181</v>
      </c>
      <c r="D83" s="3559" t="s">
        <v>2816</v>
      </c>
      <c r="E83" s="3559" t="s">
        <v>3217</v>
      </c>
      <c r="F83" s="3559">
        <v>2017024001</v>
      </c>
      <c r="G83" s="3559" t="s">
        <v>3182</v>
      </c>
      <c r="H83" s="3559">
        <v>20000</v>
      </c>
      <c r="I83" s="3559">
        <v>52000</v>
      </c>
      <c r="J83" s="3559" t="s">
        <v>3196</v>
      </c>
      <c r="K83" s="3559" t="s">
        <v>3226</v>
      </c>
      <c r="L83" s="3559" t="s">
        <v>3227</v>
      </c>
      <c r="M83" s="3559" t="s">
        <v>3220</v>
      </c>
      <c r="N83" s="3559">
        <v>5740</v>
      </c>
      <c r="O83" s="3559">
        <v>191.33</v>
      </c>
      <c r="P83" s="3559">
        <v>1103.8399999999999</v>
      </c>
      <c r="Q83" s="3559">
        <v>0</v>
      </c>
      <c r="R83" s="3559" t="s">
        <v>3187</v>
      </c>
    </row>
    <row r="84" spans="1:18">
      <c r="A84" s="3559" t="s">
        <v>3457</v>
      </c>
      <c r="B84" s="3559" t="s">
        <v>3180</v>
      </c>
      <c r="C84" s="3559" t="s">
        <v>3181</v>
      </c>
      <c r="D84" s="3559" t="s">
        <v>2816</v>
      </c>
      <c r="E84" s="3559" t="s">
        <v>3457</v>
      </c>
      <c r="F84" s="3559">
        <v>2017016001</v>
      </c>
      <c r="G84" s="3559" t="s">
        <v>3182</v>
      </c>
      <c r="H84" s="3559">
        <v>47582.8</v>
      </c>
      <c r="I84" s="3559">
        <v>171298.1</v>
      </c>
      <c r="J84" s="3559" t="s">
        <v>3458</v>
      </c>
      <c r="K84" s="3559" t="s">
        <v>3459</v>
      </c>
      <c r="L84" s="3559" t="s">
        <v>3460</v>
      </c>
      <c r="M84" s="3559" t="s">
        <v>3461</v>
      </c>
      <c r="N84" s="3559">
        <v>28549.68</v>
      </c>
      <c r="O84" s="3559">
        <v>400</v>
      </c>
      <c r="P84" s="3559">
        <v>1666.67</v>
      </c>
      <c r="Q84" s="3559">
        <v>0</v>
      </c>
      <c r="R84" s="3559" t="s">
        <v>3187</v>
      </c>
    </row>
    <row r="85" spans="1:18">
      <c r="A85" s="3559" t="s">
        <v>3462</v>
      </c>
      <c r="B85" s="3559" t="s">
        <v>3180</v>
      </c>
      <c r="C85" s="3559" t="s">
        <v>3181</v>
      </c>
      <c r="D85" s="3559" t="s">
        <v>2816</v>
      </c>
      <c r="E85" s="3559" t="s">
        <v>3462</v>
      </c>
      <c r="F85" s="3559">
        <v>2017012002</v>
      </c>
      <c r="G85" s="3559" t="s">
        <v>3182</v>
      </c>
      <c r="H85" s="3559">
        <v>65601</v>
      </c>
      <c r="I85" s="3559">
        <v>183682.8</v>
      </c>
      <c r="J85" s="3559" t="s">
        <v>3427</v>
      </c>
      <c r="K85" s="3559" t="s">
        <v>3463</v>
      </c>
      <c r="L85" s="3559" t="s">
        <v>3464</v>
      </c>
      <c r="M85" s="3559" t="s">
        <v>3465</v>
      </c>
      <c r="N85" s="3559">
        <v>29520.45</v>
      </c>
      <c r="O85" s="3559">
        <v>300</v>
      </c>
      <c r="P85" s="3559">
        <v>1607.14</v>
      </c>
      <c r="Q85" s="3559">
        <v>0</v>
      </c>
      <c r="R85" s="3559" t="s">
        <v>3187</v>
      </c>
    </row>
    <row r="86" spans="1:18">
      <c r="A86" s="3559" t="s">
        <v>3462</v>
      </c>
      <c r="B86" s="3559" t="s">
        <v>3180</v>
      </c>
      <c r="C86" s="3559" t="s">
        <v>3181</v>
      </c>
      <c r="D86" s="3559" t="s">
        <v>2816</v>
      </c>
      <c r="E86" s="3559" t="s">
        <v>3462</v>
      </c>
      <c r="F86" s="3559">
        <v>2017012001</v>
      </c>
      <c r="G86" s="3559" t="s">
        <v>3182</v>
      </c>
      <c r="H86" s="3559">
        <v>25574</v>
      </c>
      <c r="I86" s="3559">
        <v>71607.199999999997</v>
      </c>
      <c r="J86" s="3559" t="s">
        <v>3427</v>
      </c>
      <c r="K86" s="3559" t="s">
        <v>3463</v>
      </c>
      <c r="L86" s="3559" t="s">
        <v>3466</v>
      </c>
      <c r="M86" s="3559" t="s">
        <v>3465</v>
      </c>
      <c r="N86" s="3559">
        <v>11508.29</v>
      </c>
      <c r="O86" s="3559">
        <v>300</v>
      </c>
      <c r="P86" s="3559">
        <v>1607.14</v>
      </c>
      <c r="Q86" s="3559">
        <v>0</v>
      </c>
      <c r="R86" s="3559" t="s">
        <v>3187</v>
      </c>
    </row>
    <row r="87" spans="1:18">
      <c r="A87" s="3559" t="s">
        <v>3467</v>
      </c>
      <c r="B87" s="3559" t="s">
        <v>3180</v>
      </c>
      <c r="C87" s="3559" t="s">
        <v>3181</v>
      </c>
      <c r="D87" s="3559" t="s">
        <v>2816</v>
      </c>
      <c r="E87" s="3559" t="s">
        <v>3467</v>
      </c>
      <c r="F87" s="3559">
        <v>2017010001</v>
      </c>
      <c r="G87" s="3559" t="s">
        <v>3182</v>
      </c>
      <c r="H87" s="3559">
        <v>17746</v>
      </c>
      <c r="I87" s="3559">
        <v>56787.199999999997</v>
      </c>
      <c r="J87" s="3559" t="s">
        <v>3189</v>
      </c>
      <c r="K87" s="3559" t="s">
        <v>3468</v>
      </c>
      <c r="L87" s="3559" t="s">
        <v>3469</v>
      </c>
      <c r="M87" s="3559" t="s">
        <v>3307</v>
      </c>
      <c r="N87" s="3559">
        <v>7467.52</v>
      </c>
      <c r="O87" s="3559">
        <v>280.52999999999997</v>
      </c>
      <c r="P87" s="3559">
        <v>1315</v>
      </c>
      <c r="Q87" s="3559">
        <v>0.24</v>
      </c>
      <c r="R87" s="3559" t="s">
        <v>3187</v>
      </c>
    </row>
    <row r="88" spans="1:18">
      <c r="A88" s="3559" t="s">
        <v>3470</v>
      </c>
      <c r="B88" s="3559" t="s">
        <v>3180</v>
      </c>
      <c r="C88" s="3559" t="s">
        <v>3181</v>
      </c>
      <c r="D88" s="3559" t="s">
        <v>2816</v>
      </c>
      <c r="E88" s="3559" t="s">
        <v>3470</v>
      </c>
      <c r="F88" s="3559">
        <v>2017010008</v>
      </c>
      <c r="G88" s="3559" t="s">
        <v>3182</v>
      </c>
      <c r="H88" s="3559">
        <v>16823</v>
      </c>
      <c r="I88" s="3559">
        <v>53833.599999999999</v>
      </c>
      <c r="J88" s="3559" t="s">
        <v>3189</v>
      </c>
      <c r="K88" s="3559" t="s">
        <v>3468</v>
      </c>
      <c r="L88" s="3559" t="s">
        <v>3471</v>
      </c>
      <c r="M88" s="3559" t="s">
        <v>3307</v>
      </c>
      <c r="N88" s="3559">
        <v>7079.11</v>
      </c>
      <c r="O88" s="3559">
        <v>280.52999999999997</v>
      </c>
      <c r="P88" s="3559">
        <v>1315</v>
      </c>
      <c r="Q88" s="3559">
        <v>0.24</v>
      </c>
      <c r="R88" s="3559" t="s">
        <v>3187</v>
      </c>
    </row>
    <row r="89" spans="1:18">
      <c r="A89" s="3559" t="s">
        <v>3472</v>
      </c>
      <c r="B89" s="3559" t="s">
        <v>3180</v>
      </c>
      <c r="C89" s="3559" t="s">
        <v>3181</v>
      </c>
      <c r="D89" s="3559" t="s">
        <v>2816</v>
      </c>
      <c r="E89" s="3559" t="s">
        <v>3472</v>
      </c>
      <c r="F89" s="3559">
        <v>2017010005</v>
      </c>
      <c r="G89" s="3559" t="s">
        <v>3182</v>
      </c>
      <c r="H89" s="3559">
        <v>42382</v>
      </c>
      <c r="I89" s="3559">
        <v>135622.39999999999</v>
      </c>
      <c r="J89" s="3559" t="s">
        <v>3189</v>
      </c>
      <c r="K89" s="3559" t="s">
        <v>3468</v>
      </c>
      <c r="L89" s="3559" t="s">
        <v>3473</v>
      </c>
      <c r="M89" s="3559" t="s">
        <v>3307</v>
      </c>
      <c r="N89" s="3559">
        <v>17834.34</v>
      </c>
      <c r="O89" s="3559">
        <v>280.52999999999997</v>
      </c>
      <c r="P89" s="3559">
        <v>1315</v>
      </c>
      <c r="Q89" s="3559">
        <v>0.24</v>
      </c>
      <c r="R89" s="3559" t="s">
        <v>3187</v>
      </c>
    </row>
    <row r="90" spans="1:18">
      <c r="A90" s="3559" t="s">
        <v>3474</v>
      </c>
      <c r="B90" s="3559" t="s">
        <v>3180</v>
      </c>
      <c r="C90" s="3559" t="s">
        <v>3181</v>
      </c>
      <c r="D90" s="3559" t="s">
        <v>2816</v>
      </c>
      <c r="E90" s="3559" t="s">
        <v>3474</v>
      </c>
      <c r="F90" s="3559">
        <v>2017003004</v>
      </c>
      <c r="G90" s="3559" t="s">
        <v>3182</v>
      </c>
      <c r="H90" s="3559">
        <v>15641</v>
      </c>
      <c r="I90" s="3559">
        <v>46923</v>
      </c>
      <c r="J90" s="3559" t="s">
        <v>3236</v>
      </c>
      <c r="K90" s="3559" t="s">
        <v>3475</v>
      </c>
      <c r="L90" s="3559" t="s">
        <v>3476</v>
      </c>
      <c r="M90" s="3559" t="s">
        <v>3477</v>
      </c>
      <c r="N90" s="3559">
        <v>6099.98</v>
      </c>
      <c r="O90" s="3559">
        <v>260</v>
      </c>
      <c r="P90" s="3559">
        <v>1300</v>
      </c>
      <c r="Q90" s="3559">
        <v>0</v>
      </c>
      <c r="R90" s="3559" t="s">
        <v>3187</v>
      </c>
    </row>
    <row r="91" spans="1:18">
      <c r="A91" s="3559" t="s">
        <v>3478</v>
      </c>
      <c r="B91" s="3559" t="s">
        <v>3180</v>
      </c>
      <c r="C91" s="3559" t="s">
        <v>3181</v>
      </c>
      <c r="D91" s="3559" t="s">
        <v>2816</v>
      </c>
      <c r="E91" s="3559" t="s">
        <v>3478</v>
      </c>
      <c r="F91" s="3559">
        <v>2017003002</v>
      </c>
      <c r="G91" s="3559" t="s">
        <v>3182</v>
      </c>
      <c r="H91" s="3559">
        <v>9768</v>
      </c>
      <c r="I91" s="3559">
        <v>29304</v>
      </c>
      <c r="J91" s="3559" t="s">
        <v>3236</v>
      </c>
      <c r="K91" s="3559" t="s">
        <v>3475</v>
      </c>
      <c r="L91" s="3559" t="s">
        <v>3479</v>
      </c>
      <c r="M91" s="3559" t="s">
        <v>3477</v>
      </c>
      <c r="N91" s="3559">
        <v>3809.51</v>
      </c>
      <c r="O91" s="3559">
        <v>260</v>
      </c>
      <c r="P91" s="3559">
        <v>1300</v>
      </c>
      <c r="Q91" s="3559">
        <v>0</v>
      </c>
      <c r="R91" s="3559" t="s">
        <v>3187</v>
      </c>
    </row>
    <row r="92" spans="1:18">
      <c r="A92" s="3559" t="s">
        <v>3480</v>
      </c>
      <c r="B92" s="3559" t="s">
        <v>3180</v>
      </c>
      <c r="C92" s="3559" t="s">
        <v>3181</v>
      </c>
      <c r="D92" s="3559" t="s">
        <v>2816</v>
      </c>
      <c r="E92" s="3559" t="s">
        <v>3480</v>
      </c>
      <c r="F92" s="3559">
        <v>2017003001</v>
      </c>
      <c r="G92" s="3559" t="s">
        <v>3182</v>
      </c>
      <c r="H92" s="3559">
        <v>69334</v>
      </c>
      <c r="I92" s="3559">
        <v>208002</v>
      </c>
      <c r="J92" s="3559" t="s">
        <v>3236</v>
      </c>
      <c r="K92" s="3559" t="s">
        <v>3475</v>
      </c>
      <c r="L92" s="3559" t="s">
        <v>3481</v>
      </c>
      <c r="M92" s="3559" t="s">
        <v>3477</v>
      </c>
      <c r="N92" s="3559">
        <v>27040.25</v>
      </c>
      <c r="O92" s="3559">
        <v>260</v>
      </c>
      <c r="P92" s="3559">
        <v>1300</v>
      </c>
      <c r="Q92" s="3559">
        <v>0</v>
      </c>
      <c r="R92" s="3559" t="s">
        <v>3187</v>
      </c>
    </row>
    <row r="93" spans="1:18">
      <c r="A93" s="3559" t="s">
        <v>3482</v>
      </c>
      <c r="B93" s="3559" t="s">
        <v>3180</v>
      </c>
      <c r="C93" s="3559" t="s">
        <v>3181</v>
      </c>
      <c r="D93" s="3559" t="s">
        <v>2816</v>
      </c>
      <c r="E93" s="3559" t="s">
        <v>3482</v>
      </c>
      <c r="F93" s="3559">
        <v>2017003003</v>
      </c>
      <c r="G93" s="3559" t="s">
        <v>3182</v>
      </c>
      <c r="H93" s="3559">
        <v>15194</v>
      </c>
      <c r="I93" s="3559">
        <v>45582</v>
      </c>
      <c r="J93" s="3559" t="s">
        <v>3236</v>
      </c>
      <c r="K93" s="3559" t="s">
        <v>3475</v>
      </c>
      <c r="L93" s="3559" t="s">
        <v>3483</v>
      </c>
      <c r="M93" s="3559" t="s">
        <v>3477</v>
      </c>
      <c r="N93" s="3559">
        <v>5925.65</v>
      </c>
      <c r="O93" s="3559">
        <v>260</v>
      </c>
      <c r="P93" s="3559">
        <v>1300</v>
      </c>
      <c r="Q93" s="3559">
        <v>0</v>
      </c>
      <c r="R93" s="3559" t="s">
        <v>3187</v>
      </c>
    </row>
    <row r="94" spans="1:18">
      <c r="A94" s="3559" t="s">
        <v>3484</v>
      </c>
      <c r="B94" s="3559" t="s">
        <v>3180</v>
      </c>
      <c r="C94" s="3559" t="s">
        <v>3181</v>
      </c>
      <c r="D94" s="3559" t="s">
        <v>2816</v>
      </c>
      <c r="E94" s="3559" t="s">
        <v>3484</v>
      </c>
      <c r="F94" s="3559">
        <v>2017002002</v>
      </c>
      <c r="G94" s="3559" t="s">
        <v>3182</v>
      </c>
      <c r="H94" s="3559">
        <v>3159</v>
      </c>
      <c r="I94" s="3559">
        <v>9477</v>
      </c>
      <c r="J94" s="3559" t="s">
        <v>3236</v>
      </c>
      <c r="K94" s="3559" t="s">
        <v>3485</v>
      </c>
      <c r="L94" s="3559" t="s">
        <v>3486</v>
      </c>
      <c r="M94" s="3559" t="s">
        <v>3477</v>
      </c>
      <c r="N94" s="3559">
        <v>1232</v>
      </c>
      <c r="O94" s="3559">
        <v>260</v>
      </c>
      <c r="P94" s="3559">
        <v>1300</v>
      </c>
      <c r="Q94" s="3559">
        <v>0</v>
      </c>
      <c r="R94" s="3559" t="s">
        <v>3187</v>
      </c>
    </row>
    <row r="95" spans="1:18">
      <c r="A95" s="3559" t="s">
        <v>3478</v>
      </c>
      <c r="B95" s="3559" t="s">
        <v>3180</v>
      </c>
      <c r="C95" s="3559" t="s">
        <v>3181</v>
      </c>
      <c r="D95" s="3559" t="s">
        <v>2816</v>
      </c>
      <c r="E95" s="3559" t="s">
        <v>3478</v>
      </c>
      <c r="F95" s="3559">
        <v>2017002001</v>
      </c>
      <c r="G95" s="3559" t="s">
        <v>3182</v>
      </c>
      <c r="H95" s="3559">
        <v>30850</v>
      </c>
      <c r="I95" s="3559">
        <v>92550</v>
      </c>
      <c r="J95" s="3559" t="s">
        <v>3236</v>
      </c>
      <c r="K95" s="3559" t="s">
        <v>3485</v>
      </c>
      <c r="L95" s="3559" t="s">
        <v>3487</v>
      </c>
      <c r="M95" s="3559" t="s">
        <v>3477</v>
      </c>
      <c r="N95" s="3559">
        <v>12031.5</v>
      </c>
      <c r="O95" s="3559">
        <v>260</v>
      </c>
      <c r="P95" s="3559">
        <v>1300</v>
      </c>
      <c r="Q95" s="3559">
        <v>0</v>
      </c>
      <c r="R95" s="3559" t="s">
        <v>3187</v>
      </c>
    </row>
    <row r="96" spans="1:18">
      <c r="A96" s="3559" t="s">
        <v>3488</v>
      </c>
      <c r="B96" s="3559" t="s">
        <v>3180</v>
      </c>
      <c r="C96" s="3559" t="s">
        <v>3181</v>
      </c>
      <c r="D96" s="3559" t="s">
        <v>2816</v>
      </c>
      <c r="E96" s="3559" t="s">
        <v>3488</v>
      </c>
      <c r="F96" s="3559">
        <v>2017002006</v>
      </c>
      <c r="G96" s="3559" t="s">
        <v>3182</v>
      </c>
      <c r="H96" s="3559">
        <v>17030</v>
      </c>
      <c r="I96" s="3559">
        <v>51090</v>
      </c>
      <c r="J96" s="3559" t="s">
        <v>3236</v>
      </c>
      <c r="K96" s="3559" t="s">
        <v>3485</v>
      </c>
      <c r="L96" s="3559" t="s">
        <v>3489</v>
      </c>
      <c r="M96" s="3559" t="s">
        <v>3477</v>
      </c>
      <c r="N96" s="3559">
        <v>6641.69</v>
      </c>
      <c r="O96" s="3559">
        <v>260</v>
      </c>
      <c r="P96" s="3559">
        <v>1300</v>
      </c>
      <c r="Q96" s="3559">
        <v>0</v>
      </c>
      <c r="R96" s="3559" t="s">
        <v>3187</v>
      </c>
    </row>
    <row r="97" spans="1:18">
      <c r="A97" s="3559" t="s">
        <v>3490</v>
      </c>
      <c r="B97" s="3559" t="s">
        <v>3180</v>
      </c>
      <c r="C97" s="3559" t="s">
        <v>3181</v>
      </c>
      <c r="D97" s="3559" t="s">
        <v>2816</v>
      </c>
      <c r="E97" s="3559" t="s">
        <v>3490</v>
      </c>
      <c r="F97" s="3559">
        <v>2017002003</v>
      </c>
      <c r="G97" s="3559" t="s">
        <v>3182</v>
      </c>
      <c r="H97" s="3559">
        <v>257</v>
      </c>
      <c r="I97" s="3559">
        <v>771</v>
      </c>
      <c r="J97" s="3559" t="s">
        <v>3236</v>
      </c>
      <c r="K97" s="3559" t="s">
        <v>3485</v>
      </c>
      <c r="L97" s="3559" t="s">
        <v>3491</v>
      </c>
      <c r="M97" s="3559" t="s">
        <v>3477</v>
      </c>
      <c r="N97" s="3559">
        <v>100.23</v>
      </c>
      <c r="O97" s="3559">
        <v>260</v>
      </c>
      <c r="P97" s="3559">
        <v>1300</v>
      </c>
      <c r="Q97" s="3559">
        <v>0</v>
      </c>
      <c r="R97" s="3559" t="s">
        <v>3187</v>
      </c>
    </row>
    <row r="98" spans="1:18">
      <c r="A98" s="3559" t="s">
        <v>3492</v>
      </c>
      <c r="B98" s="3559" t="s">
        <v>3180</v>
      </c>
      <c r="C98" s="3559" t="s">
        <v>3181</v>
      </c>
      <c r="D98" s="3559" t="s">
        <v>2816</v>
      </c>
      <c r="E98" s="3559" t="s">
        <v>3492</v>
      </c>
      <c r="F98" s="3559">
        <v>2017002004</v>
      </c>
      <c r="G98" s="3559" t="s">
        <v>3182</v>
      </c>
      <c r="H98" s="3559">
        <v>1602</v>
      </c>
      <c r="I98" s="3559">
        <v>4806</v>
      </c>
      <c r="J98" s="3559" t="s">
        <v>3236</v>
      </c>
      <c r="K98" s="3559" t="s">
        <v>3485</v>
      </c>
      <c r="L98" s="3559" t="s">
        <v>3493</v>
      </c>
      <c r="M98" s="3559" t="s">
        <v>3477</v>
      </c>
      <c r="N98" s="3559">
        <v>624.77</v>
      </c>
      <c r="O98" s="3559">
        <v>260</v>
      </c>
      <c r="P98" s="3559">
        <v>1300</v>
      </c>
      <c r="Q98" s="3559">
        <v>0</v>
      </c>
      <c r="R98" s="3559" t="s">
        <v>3187</v>
      </c>
    </row>
    <row r="99" spans="1:18">
      <c r="A99" s="3559" t="s">
        <v>3494</v>
      </c>
      <c r="B99" s="3559" t="s">
        <v>3180</v>
      </c>
      <c r="C99" s="3559" t="s">
        <v>3181</v>
      </c>
      <c r="D99" s="3559" t="s">
        <v>2816</v>
      </c>
      <c r="E99" s="3559" t="s">
        <v>3494</v>
      </c>
      <c r="F99" s="3559">
        <v>2017002005</v>
      </c>
      <c r="G99" s="3559" t="s">
        <v>3182</v>
      </c>
      <c r="H99" s="3559">
        <v>751</v>
      </c>
      <c r="I99" s="3559">
        <v>2253</v>
      </c>
      <c r="J99" s="3559" t="s">
        <v>3236</v>
      </c>
      <c r="K99" s="3559" t="s">
        <v>3485</v>
      </c>
      <c r="L99" s="3559" t="s">
        <v>3495</v>
      </c>
      <c r="M99" s="3559" t="s">
        <v>3477</v>
      </c>
      <c r="N99" s="3559">
        <v>292.88</v>
      </c>
      <c r="O99" s="3559">
        <v>259.99</v>
      </c>
      <c r="P99" s="3559">
        <v>1300</v>
      </c>
      <c r="Q99" s="3559">
        <v>0</v>
      </c>
      <c r="R99" s="3559" t="s">
        <v>3187</v>
      </c>
    </row>
    <row r="100" spans="1:18">
      <c r="A100" s="3559" t="s">
        <v>3496</v>
      </c>
      <c r="B100" s="3559" t="s">
        <v>3180</v>
      </c>
      <c r="C100" s="3559" t="s">
        <v>3181</v>
      </c>
      <c r="D100" s="3559" t="s">
        <v>2816</v>
      </c>
      <c r="E100" s="3559" t="s">
        <v>3496</v>
      </c>
      <c r="F100" s="3559">
        <v>2017001002</v>
      </c>
      <c r="G100" s="3559" t="s">
        <v>3182</v>
      </c>
      <c r="H100" s="3559">
        <v>20321</v>
      </c>
      <c r="I100" s="3559">
        <v>60963</v>
      </c>
      <c r="J100" s="3559" t="s">
        <v>3236</v>
      </c>
      <c r="K100" s="3559" t="s">
        <v>3497</v>
      </c>
      <c r="L100" s="3559" t="s">
        <v>3498</v>
      </c>
      <c r="M100" s="3559" t="s">
        <v>3477</v>
      </c>
      <c r="N100" s="3559">
        <v>7925.18</v>
      </c>
      <c r="O100" s="3559">
        <v>260</v>
      </c>
      <c r="P100" s="3559">
        <v>1300</v>
      </c>
      <c r="Q100" s="3559">
        <v>0</v>
      </c>
      <c r="R100" s="3559" t="s">
        <v>3187</v>
      </c>
    </row>
    <row r="101" spans="1:18">
      <c r="A101" s="3559" t="s">
        <v>3499</v>
      </c>
      <c r="B101" s="3559" t="s">
        <v>3180</v>
      </c>
      <c r="C101" s="3559" t="s">
        <v>3181</v>
      </c>
      <c r="D101" s="3559" t="s">
        <v>2816</v>
      </c>
      <c r="E101" s="3559" t="s">
        <v>3499</v>
      </c>
      <c r="F101" s="3559">
        <v>2017001001</v>
      </c>
      <c r="G101" s="3559" t="s">
        <v>3182</v>
      </c>
      <c r="H101" s="3559">
        <v>5912</v>
      </c>
      <c r="I101" s="3559">
        <v>17736</v>
      </c>
      <c r="J101" s="3559" t="s">
        <v>3236</v>
      </c>
      <c r="K101" s="3559" t="s">
        <v>3497</v>
      </c>
      <c r="L101" s="3559" t="s">
        <v>3500</v>
      </c>
      <c r="M101" s="3559" t="s">
        <v>3477</v>
      </c>
      <c r="N101" s="3559">
        <v>2305.67</v>
      </c>
      <c r="O101" s="3559">
        <v>260</v>
      </c>
      <c r="P101" s="3559">
        <v>1300</v>
      </c>
      <c r="Q101" s="3559">
        <v>0</v>
      </c>
      <c r="R101" s="3559" t="s">
        <v>3187</v>
      </c>
    </row>
  </sheetData>
  <phoneticPr fontId="233" type="noConversion"/>
  <pageMargins left="0.75" right="0.75" top="1" bottom="1" header="0.5" footer="0.5"/>
  <pageSetup orientation="portrait" horizontalDpi="300" verticalDpi="30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5" sqref="P5"/>
    </sheetView>
  </sheetViews>
  <sheetFormatPr defaultRowHeight="13.5"/>
  <cols>
    <col min="1" max="16384" width="9" style="3562"/>
  </cols>
  <sheetData/>
  <phoneticPr fontId="233"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00B0F0"/>
    <pageSetUpPr fitToPage="1"/>
  </sheetPr>
  <dimension ref="A1:AE38"/>
  <sheetViews>
    <sheetView workbookViewId="0">
      <selection activeCell="C36" sqref="C36"/>
    </sheetView>
  </sheetViews>
  <sheetFormatPr defaultColWidth="6.625" defaultRowHeight="12.75"/>
  <cols>
    <col min="1" max="1" width="9.625" style="2124" customWidth="1"/>
    <col min="2" max="2" width="25.6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33"/>
      <c r="C1" s="2104"/>
      <c r="D1" s="2104"/>
      <c r="E1" s="2104"/>
      <c r="F1" s="2104"/>
      <c r="G1" s="2104"/>
      <c r="H1" s="2104"/>
      <c r="I1" s="2104"/>
      <c r="J1" s="2104"/>
      <c r="K1" s="421">
        <f>MATCH(B1,'数据-取费表'!A6:A16,0)+5</f>
        <v>8</v>
      </c>
    </row>
    <row r="2" spans="1:31" s="2041" customFormat="1" ht="18" customHeight="1">
      <c r="A2" s="2101" t="s">
        <v>467</v>
      </c>
      <c r="B2" s="2105">
        <f ca="1">C36</f>
        <v>39526</v>
      </c>
      <c r="C2" s="2104"/>
      <c r="D2" s="2104"/>
      <c r="E2" s="2104"/>
      <c r="F2" s="2104"/>
      <c r="G2" s="2104"/>
      <c r="H2" s="2104"/>
      <c r="I2" s="2104"/>
      <c r="J2" s="2104"/>
      <c r="K2" s="2104"/>
    </row>
    <row r="3" spans="1:31" s="2041" customFormat="1" ht="18" customHeight="1">
      <c r="A3" s="2106" t="s">
        <v>1684</v>
      </c>
      <c r="B3" s="2107">
        <f ca="1">ROUND(B2*10000/IF(B1="",'数据-汇总表'!E3,INDIRECT("'数据-取费表'!K"&amp;$K$1)),0)</f>
        <v>3454</v>
      </c>
      <c r="C3" s="2104"/>
      <c r="D3" s="2104"/>
      <c r="E3" s="2104"/>
      <c r="F3" s="2104"/>
      <c r="G3" s="2104"/>
      <c r="H3" s="2104"/>
      <c r="I3" s="2104"/>
      <c r="J3" s="2104"/>
      <c r="K3" s="2104"/>
    </row>
    <row r="4" spans="1:31" s="2041" customFormat="1" ht="18" customHeight="1">
      <c r="A4" s="425" t="s">
        <v>468</v>
      </c>
      <c r="B4" s="426">
        <f ca="1">ROUND(B2*10000/IF(B1="",'数据-汇总表'!D3,INDIRECT("'数据-取费表'!R"&amp;$K$1)),0)</f>
        <v>10362</v>
      </c>
      <c r="C4" s="427"/>
      <c r="D4" s="421"/>
      <c r="E4" s="421"/>
      <c r="F4" s="421"/>
      <c r="G4" s="421"/>
      <c r="H4" s="421"/>
      <c r="I4" s="421"/>
      <c r="J4" s="421"/>
      <c r="K4" s="421"/>
    </row>
    <row r="5" spans="1:31" s="2041" customFormat="1" ht="18" customHeight="1" thickBot="1">
      <c r="A5" s="428"/>
      <c r="B5" s="429">
        <f ca="1">ROUND(B2/(IF(B1="",'数据-汇总表'!D3,INDIRECT("'数据-取费表'!R"&amp;$K$1))/666.67),0)</f>
        <v>691</v>
      </c>
      <c r="C5" s="430" t="s">
        <v>469</v>
      </c>
      <c r="D5" s="421"/>
      <c r="E5" s="421"/>
      <c r="F5" s="421"/>
      <c r="G5" s="421"/>
      <c r="H5" s="421"/>
      <c r="I5" s="421"/>
      <c r="J5" s="421"/>
      <c r="K5" s="421"/>
    </row>
    <row r="6" spans="1:31" s="2111" customFormat="1" ht="16.5" customHeight="1">
      <c r="A6" s="2852" t="s">
        <v>1842</v>
      </c>
      <c r="B6" s="2853"/>
      <c r="C6" s="2854">
        <f>SUM(C10:K10)</f>
        <v>86510.59199999999</v>
      </c>
      <c r="D6" s="2853"/>
      <c r="E6" s="2853"/>
      <c r="F6" s="2853"/>
      <c r="G6" s="2853"/>
      <c r="H6" s="2853"/>
      <c r="I6" s="2853"/>
      <c r="J6" s="2853"/>
      <c r="K6" s="2855"/>
    </row>
    <row r="7" spans="1:31" s="2113" customFormat="1" ht="15">
      <c r="A7" s="2856" t="s">
        <v>470</v>
      </c>
      <c r="B7" s="2857" t="s">
        <v>471</v>
      </c>
      <c r="C7" s="435" t="s">
        <v>922</v>
      </c>
      <c r="D7" s="435" t="s">
        <v>2978</v>
      </c>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1845</v>
      </c>
      <c r="B8" s="260" t="s">
        <v>472</v>
      </c>
      <c r="C8" s="2858">
        <v>7200</v>
      </c>
      <c r="D8" s="2858">
        <v>9000</v>
      </c>
      <c r="E8" s="2858"/>
      <c r="F8" s="2858"/>
      <c r="G8" s="2858"/>
      <c r="H8" s="2858"/>
      <c r="I8" s="2858"/>
      <c r="J8" s="2858"/>
      <c r="K8" s="2859"/>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1846</v>
      </c>
      <c r="B9" s="260" t="s">
        <v>473</v>
      </c>
      <c r="C9" s="440">
        <f>SUMIF('数据-汇总表'!$C19:$C33,'剩余法-待开发'!C7,'数据-汇总表'!$E19:$E33)</f>
        <v>91545.600000000006</v>
      </c>
      <c r="D9" s="440">
        <f>SUMIF('数据-汇总表'!$C19:$C33,'剩余法-待开发'!D7,'数据-汇总表'!$E19:$E33)</f>
        <v>22886.399999999994</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0" t="s">
        <v>1847</v>
      </c>
      <c r="B10" s="2846" t="s">
        <v>474</v>
      </c>
      <c r="C10" s="3053">
        <f>C8*C9/10000</f>
        <v>65912.831999999995</v>
      </c>
      <c r="D10" s="3053">
        <f>D8*D9/10000</f>
        <v>20597.759999999995</v>
      </c>
      <c r="E10" s="3053"/>
      <c r="F10" s="2861"/>
      <c r="G10" s="2861"/>
      <c r="H10" s="2861"/>
      <c r="I10" s="2861"/>
      <c r="J10" s="2861"/>
      <c r="K10" s="2862"/>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3" t="s">
        <v>1843</v>
      </c>
      <c r="B11" s="2853"/>
      <c r="C11" s="2853"/>
      <c r="D11" s="2853"/>
      <c r="E11" s="2853"/>
      <c r="F11" s="2853"/>
      <c r="G11" s="2853"/>
      <c r="H11" s="2853"/>
      <c r="I11" s="2853"/>
      <c r="J11" s="2853"/>
      <c r="K11" s="2855"/>
    </row>
    <row r="12" spans="1:31" s="2085" customFormat="1" ht="13.5" customHeight="1">
      <c r="A12" s="2864" t="s">
        <v>470</v>
      </c>
      <c r="B12" s="2836" t="s">
        <v>471</v>
      </c>
      <c r="C12" s="2865" t="s">
        <v>475</v>
      </c>
      <c r="D12" s="2832" t="s">
        <v>476</v>
      </c>
      <c r="E12" s="2832" t="s">
        <v>477</v>
      </c>
      <c r="F12" s="2832" t="s">
        <v>478</v>
      </c>
      <c r="G12" s="2836"/>
      <c r="H12" s="2837"/>
      <c r="I12" s="2837"/>
      <c r="J12" s="2837"/>
      <c r="K12" s="2838"/>
    </row>
    <row r="13" spans="1:31" s="2116" customFormat="1" ht="13.5" customHeight="1">
      <c r="A13" s="2866" t="s">
        <v>1848</v>
      </c>
      <c r="B13" s="2867" t="s">
        <v>479</v>
      </c>
      <c r="C13" s="449">
        <f ca="1">IF(B1="",'数据-取费表'!P16,INDIRECT("'数据-取费表'!p"&amp;$K$1)+INDIRECT("'数据-取费表'!t"&amp;$K$1))</f>
        <v>22886</v>
      </c>
      <c r="D13" s="2868"/>
      <c r="E13" s="2869"/>
      <c r="F13" s="2870"/>
      <c r="G13" s="2836"/>
      <c r="H13" s="2837"/>
      <c r="I13" s="2837"/>
      <c r="J13" s="2837"/>
      <c r="K13" s="2838"/>
    </row>
    <row r="14" spans="1:31" s="2116" customFormat="1" ht="13.5" customHeight="1">
      <c r="A14" s="2866" t="s">
        <v>1849</v>
      </c>
      <c r="B14" s="2867" t="s">
        <v>480</v>
      </c>
      <c r="C14" s="53">
        <f ca="1">ROUND(C13*F14,0)</f>
        <v>687</v>
      </c>
      <c r="D14" s="2868"/>
      <c r="E14" s="2869"/>
      <c r="F14" s="2871">
        <f>'数据-取费表'!B33</f>
        <v>0.03</v>
      </c>
      <c r="G14" s="2836" t="s">
        <v>481</v>
      </c>
      <c r="H14" s="2837"/>
      <c r="I14" s="2837"/>
      <c r="J14" s="2837"/>
      <c r="K14" s="2838"/>
    </row>
    <row r="15" spans="1:31" s="2116" customFormat="1" ht="13.5" customHeight="1">
      <c r="A15" s="2866" t="s">
        <v>1850</v>
      </c>
      <c r="B15" s="2867" t="s">
        <v>482</v>
      </c>
      <c r="C15" s="53">
        <f ca="1">ROUND(IF(B1="",SUMIF('数据-取费表'!C:C,"住宅",'数据-取费表'!P:P)*F15,IF(INDIRECT("'数据-取费表'!c"&amp;$K$1)="住宅",INDIRECT("'数据-取费表'!P"&amp;$K$1)*F15,0)),0)</f>
        <v>549</v>
      </c>
      <c r="D15" s="2868"/>
      <c r="E15" s="2869"/>
      <c r="F15" s="2871">
        <f>'数据-取费表'!B34</f>
        <v>0.03</v>
      </c>
      <c r="G15" s="2836" t="s">
        <v>483</v>
      </c>
      <c r="H15" s="2837"/>
      <c r="I15" s="2837"/>
      <c r="J15" s="2837"/>
      <c r="K15" s="2838"/>
    </row>
    <row r="16" spans="1:31" s="2117" customFormat="1" ht="13.5" customHeight="1">
      <c r="A16" s="2866" t="s">
        <v>1851</v>
      </c>
      <c r="B16" s="2867" t="s">
        <v>484</v>
      </c>
      <c r="C16" s="53">
        <f ca="1">ROUND(D16*E16/10000,0)</f>
        <v>2289</v>
      </c>
      <c r="D16" s="2868">
        <f ca="1">IF(B1="",'数据-汇总表'!E3,INDIRECT("'数据-取费表'!K"&amp;$K$1)+INDIRECT("'数据-取费表'!S"&amp;$K$1))</f>
        <v>114432</v>
      </c>
      <c r="E16" s="53">
        <f>'数据-取费表'!B35</f>
        <v>200</v>
      </c>
      <c r="F16" s="2871"/>
      <c r="G16" s="2836"/>
      <c r="H16" s="2837"/>
      <c r="I16" s="2837"/>
      <c r="J16" s="2837"/>
      <c r="K16" s="2838"/>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6" t="s">
        <v>1852</v>
      </c>
      <c r="B17" s="2867" t="s">
        <v>485</v>
      </c>
      <c r="C17" s="2872">
        <f ca="1">ROUND(C13*F17,0)</f>
        <v>343</v>
      </c>
      <c r="D17" s="474"/>
      <c r="E17" s="2872"/>
      <c r="F17" s="2873">
        <f>'数据-取费表'!B36</f>
        <v>1.4999999999999999E-2</v>
      </c>
      <c r="G17" s="260" t="s">
        <v>486</v>
      </c>
      <c r="H17" s="2839"/>
      <c r="I17" s="2839"/>
      <c r="J17" s="2839"/>
      <c r="K17" s="278"/>
    </row>
    <row r="18" spans="1:14" s="2116" customFormat="1" ht="13.5" customHeight="1">
      <c r="A18" s="2874" t="s">
        <v>1853</v>
      </c>
      <c r="B18" s="2875" t="s">
        <v>487</v>
      </c>
      <c r="C18" s="2876">
        <f ca="1">SUM(C13:C17)</f>
        <v>26754</v>
      </c>
      <c r="D18" s="2877"/>
      <c r="E18" s="467"/>
      <c r="F18" s="467"/>
      <c r="G18" s="2840" t="s">
        <v>2428</v>
      </c>
      <c r="H18" s="2841"/>
      <c r="I18" s="2841"/>
      <c r="J18" s="2841"/>
      <c r="K18" s="2842"/>
    </row>
    <row r="19" spans="1:14" s="2116" customFormat="1" ht="13.5" customHeight="1">
      <c r="A19" s="2874" t="s">
        <v>1854</v>
      </c>
      <c r="B19" s="2875" t="s">
        <v>488</v>
      </c>
      <c r="C19" s="2832">
        <f ca="1">ROUND(D19*E19/10000,0)</f>
        <v>0</v>
      </c>
      <c r="D19" s="2878">
        <f ca="1">D16</f>
        <v>114432</v>
      </c>
      <c r="E19" s="2832">
        <f>'数据-取费表'!B32</f>
        <v>0</v>
      </c>
      <c r="F19" s="467"/>
      <c r="G19" s="2836" t="s">
        <v>489</v>
      </c>
      <c r="H19" s="2837"/>
      <c r="I19" s="2841"/>
      <c r="J19" s="2841"/>
      <c r="K19" s="2842"/>
    </row>
    <row r="20" spans="1:14" s="2116" customFormat="1" ht="13.5" customHeight="1">
      <c r="A20" s="2874" t="s">
        <v>1855</v>
      </c>
      <c r="B20" s="2875" t="s">
        <v>490</v>
      </c>
      <c r="C20" s="2832">
        <f ca="1">C21+C22-IF(B1="",'数据-取费表'!B29,IF(G20="已全部缴纳",C21+C22,H20))</f>
        <v>1030</v>
      </c>
      <c r="D20" s="2878"/>
      <c r="E20" s="2832"/>
      <c r="F20" s="2879"/>
      <c r="G20" s="3113"/>
      <c r="H20" s="2834"/>
      <c r="I20" s="2835" t="s">
        <v>2649</v>
      </c>
      <c r="J20" s="2841"/>
      <c r="K20" s="2842"/>
    </row>
    <row r="21" spans="1:14" s="2116" customFormat="1" ht="13.5" customHeight="1">
      <c r="A21" s="2866" t="s">
        <v>1856</v>
      </c>
      <c r="B21" s="2867" t="s">
        <v>491</v>
      </c>
      <c r="C21" s="53">
        <f ca="1">ROUND(D21*E21/10000,0)</f>
        <v>824</v>
      </c>
      <c r="D21" s="2868">
        <f ca="1">IF(B1="",'数据-汇总表'!E5,IF(INDIRECT("'数据-取费表'!c"&amp;$K$1)="住宅",INDIRECT("'数据-取费表'!k"&amp;$K$1),0))</f>
        <v>91545.600000000006</v>
      </c>
      <c r="E21" s="53">
        <f>'数据-取费表'!B27</f>
        <v>90</v>
      </c>
      <c r="F21" s="2871"/>
      <c r="G21" s="26"/>
      <c r="H21" s="51"/>
      <c r="I21" s="51"/>
      <c r="J21" s="51"/>
      <c r="K21" s="2843"/>
    </row>
    <row r="22" spans="1:14" s="2116" customFormat="1" ht="13.5" customHeight="1">
      <c r="A22" s="2866" t="s">
        <v>1857</v>
      </c>
      <c r="B22" s="2867" t="s">
        <v>492</v>
      </c>
      <c r="C22" s="53">
        <f ca="1">ROUND(D22*E22/10000,0)</f>
        <v>206</v>
      </c>
      <c r="D22" s="2868">
        <f ca="1">IF(B1="",'数据-汇总表'!E6,IF(INDIRECT("'数据-取费表'!c"&amp;$K$1)="住宅",INDIRECT("'数据-取费表'!s"&amp;$K$1),INDIRECT("'数据-取费表'!k"&amp;$K$1)+INDIRECT("'数据-取费表'!s"&amp;$K$1)))</f>
        <v>22886.399999999994</v>
      </c>
      <c r="E22" s="53">
        <f>'数据-取费表'!B28</f>
        <v>90</v>
      </c>
      <c r="F22" s="2871"/>
      <c r="G22" s="26"/>
      <c r="H22" s="51"/>
      <c r="I22" s="51"/>
      <c r="J22" s="51"/>
      <c r="K22" s="2843"/>
    </row>
    <row r="23" spans="1:14" s="2116" customFormat="1" ht="13.5" customHeight="1">
      <c r="A23" s="2874" t="s">
        <v>1858</v>
      </c>
      <c r="B23" s="3059" t="s">
        <v>2832</v>
      </c>
      <c r="C23" s="2876">
        <f ca="1">ROUND((C18+C19+C20)*F23,0)</f>
        <v>556</v>
      </c>
      <c r="D23" s="467"/>
      <c r="E23" s="467"/>
      <c r="F23" s="2880">
        <f>'数据-取费表'!B37</f>
        <v>0.02</v>
      </c>
      <c r="G23" s="2836" t="s">
        <v>2429</v>
      </c>
      <c r="H23" s="2837"/>
      <c r="I23" s="2837"/>
      <c r="J23" s="2837"/>
      <c r="K23" s="2838"/>
      <c r="L23" s="2118"/>
      <c r="M23" s="2118"/>
      <c r="N23" s="2118"/>
    </row>
    <row r="24" spans="1:14" s="2116" customFormat="1" ht="13.5" customHeight="1">
      <c r="A24" s="2874" t="s">
        <v>1859</v>
      </c>
      <c r="B24" s="3059" t="s">
        <v>2835</v>
      </c>
      <c r="C24" s="2876">
        <f>ROUND(C6*F24,0)</f>
        <v>865</v>
      </c>
      <c r="D24" s="474"/>
      <c r="E24" s="472"/>
      <c r="F24" s="2880">
        <f>'数据-取费表'!B38</f>
        <v>0.01</v>
      </c>
      <c r="G24" s="2845" t="s">
        <v>499</v>
      </c>
      <c r="H24" s="2839"/>
      <c r="I24" s="2839"/>
      <c r="J24" s="2839"/>
      <c r="K24" s="278"/>
      <c r="L24" s="2118"/>
      <c r="M24" s="2118"/>
      <c r="N24" s="2118"/>
    </row>
    <row r="25" spans="1:14" s="2119" customFormat="1" ht="13.5" customHeight="1">
      <c r="A25" s="2874" t="s">
        <v>1860</v>
      </c>
      <c r="B25" s="3059" t="s">
        <v>2833</v>
      </c>
      <c r="C25" s="466">
        <f>ROUND(F25/(1+'数据-取费表'!C42),4)</f>
        <v>3.8600000000000002E-2</v>
      </c>
      <c r="D25" s="461" t="s">
        <v>2827</v>
      </c>
      <c r="E25" s="468"/>
      <c r="F25" s="2880">
        <f>'数据-取费表'!B48+'数据-取费表'!B49</f>
        <v>4.0500000000000001E-2</v>
      </c>
      <c r="G25" s="2844" t="s">
        <v>2288</v>
      </c>
      <c r="H25" s="2837"/>
      <c r="I25" s="2837"/>
      <c r="J25" s="2837"/>
      <c r="K25" s="2838"/>
    </row>
    <row r="26" spans="1:14" s="2118" customFormat="1" ht="13.5" customHeight="1">
      <c r="A26" s="2874" t="s">
        <v>1861</v>
      </c>
      <c r="B26" s="3060" t="s">
        <v>2834</v>
      </c>
      <c r="C26" s="2881">
        <f ca="1">C28</f>
        <v>1034</v>
      </c>
      <c r="D26" s="466">
        <f ca="1">C27</f>
        <v>7.4899999999999994E-2</v>
      </c>
      <c r="E26" s="468" t="s">
        <v>495</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1"/>
      <c r="I26" s="2841"/>
      <c r="J26" s="2841"/>
      <c r="K26" s="2842"/>
    </row>
    <row r="27" spans="1:14" s="2120" customFormat="1" ht="13.5" customHeight="1">
      <c r="A27" s="802" t="s">
        <v>1856</v>
      </c>
      <c r="B27" s="2882" t="s">
        <v>496</v>
      </c>
      <c r="C27" s="2883">
        <f ca="1">ROUND(IF('数据-取费表'!B22&lt;=1,(1+C25)*F26*'数据-取费表'!B24,(1+C25)*(POWER((1+F26),'数据-取费表'!B24)-1)),4)</f>
        <v>7.4899999999999994E-2</v>
      </c>
      <c r="D27" s="471"/>
      <c r="E27" s="472"/>
      <c r="F27" s="473"/>
      <c r="G27" s="2596" t="str">
        <f>IF('数据-取费表'!B22&lt;=1,"（1+取得税费率/(1+5%)）×年利率×建设期","（1+取得税费率）/(1+5%)×((1+年利率)^建设期-1)")</f>
        <v>（1+取得税费率）/(1+5%)×((1+年利率)^建设期-1)</v>
      </c>
      <c r="H27" s="2839"/>
      <c r="I27" s="2839"/>
      <c r="J27" s="2839"/>
      <c r="K27" s="278"/>
    </row>
    <row r="28" spans="1:14" s="2120" customFormat="1" ht="13.5" customHeight="1">
      <c r="A28" s="802" t="s">
        <v>1857</v>
      </c>
      <c r="B28" s="2882" t="s">
        <v>2836</v>
      </c>
      <c r="C28" s="2884">
        <f ca="1">ROUND(IF('数据-取费表'!B22&lt;=1,(C18+C19+C20+C23+C24)*F26*'数据-取费表'!B24/2,(C18+C19+C20+C23+C24)*(POWER((1+F26),'数据-取费表'!B24/2)-1)),0)</f>
        <v>1034</v>
      </c>
      <c r="D28" s="471"/>
      <c r="E28" s="472"/>
      <c r="F28" s="473"/>
      <c r="G28" s="2596" t="str">
        <f>IF('数据-取费表'!B22&lt;=1,"（1）-（4）项×年利率×建设期÷2","（1）-（4）项×((1+年利率)^(建设期÷2)-1)")</f>
        <v>（1）-（4）项×((1+年利率)^(建设期÷2)-1)</v>
      </c>
      <c r="H28" s="2839"/>
      <c r="I28" s="2839"/>
      <c r="J28" s="2839"/>
      <c r="K28" s="278"/>
    </row>
    <row r="29" spans="1:14" s="2120" customFormat="1" ht="13.5" customHeight="1">
      <c r="A29" s="2885" t="s">
        <v>1862</v>
      </c>
      <c r="B29" s="2875" t="s">
        <v>497</v>
      </c>
      <c r="C29" s="2876">
        <f>ROUND(C6*F29/(1+'数据-取费表'!C42),0)</f>
        <v>4532</v>
      </c>
      <c r="D29" s="467"/>
      <c r="E29" s="467"/>
      <c r="F29" s="3061">
        <f>'数据-取费表'!B41</f>
        <v>5.5000000000000007E-2</v>
      </c>
      <c r="G29" s="2845" t="s">
        <v>498</v>
      </c>
      <c r="H29" s="2837"/>
      <c r="I29" s="2837"/>
      <c r="J29" s="2837"/>
      <c r="K29" s="2838"/>
    </row>
    <row r="30" spans="1:14" s="2121" customFormat="1" ht="13.5" customHeight="1">
      <c r="A30" s="1634" t="s">
        <v>1863</v>
      </c>
      <c r="B30" s="2886" t="s">
        <v>500</v>
      </c>
      <c r="C30" s="2881">
        <f ca="1">C31</f>
        <v>34771</v>
      </c>
      <c r="D30" s="476">
        <f ca="1">C32</f>
        <v>0.1135</v>
      </c>
      <c r="E30" s="468" t="s">
        <v>495</v>
      </c>
      <c r="F30" s="470"/>
      <c r="G30" s="2844" t="s">
        <v>2971</v>
      </c>
      <c r="H30" s="2837"/>
      <c r="I30" s="2837"/>
      <c r="J30" s="2837"/>
      <c r="K30" s="2838"/>
    </row>
    <row r="31" spans="1:14" s="2120" customFormat="1" ht="13.5" customHeight="1">
      <c r="A31" s="802" t="s">
        <v>1856</v>
      </c>
      <c r="B31" s="2882"/>
      <c r="C31" s="449">
        <f ca="1">C18+C19+C20+C23+C24+C26+C29</f>
        <v>34771</v>
      </c>
      <c r="D31" s="471"/>
      <c r="E31" s="472"/>
      <c r="F31" s="473"/>
      <c r="G31" s="260"/>
      <c r="H31" s="2839"/>
      <c r="I31" s="2839"/>
      <c r="J31" s="2839"/>
      <c r="K31" s="278"/>
    </row>
    <row r="32" spans="1:14" s="2120" customFormat="1" ht="13.5" customHeight="1">
      <c r="A32" s="802" t="s">
        <v>1857</v>
      </c>
      <c r="B32" s="2882"/>
      <c r="C32" s="53">
        <f ca="1">ROUND(C25+D26,4)</f>
        <v>0.1135</v>
      </c>
      <c r="D32" s="471"/>
      <c r="E32" s="472"/>
      <c r="F32" s="473"/>
      <c r="G32" s="260"/>
      <c r="H32" s="2839"/>
      <c r="I32" s="2839"/>
      <c r="J32" s="2839"/>
      <c r="K32" s="278"/>
    </row>
    <row r="33" spans="1:11" s="2122" customFormat="1" ht="13.5" customHeight="1">
      <c r="A33" s="3058" t="s">
        <v>2831</v>
      </c>
      <c r="B33" s="3056" t="s">
        <v>2829</v>
      </c>
      <c r="C33" s="477">
        <f ca="1">C35</f>
        <v>3213</v>
      </c>
      <c r="D33" s="466">
        <f ca="1">C34</f>
        <v>0.1142</v>
      </c>
      <c r="E33" s="468" t="s">
        <v>495</v>
      </c>
      <c r="F33" s="478">
        <f ca="1">IF(B1="",'数据-取费表'!Q16,INDIRECT("'数据-取费表'!q"&amp;$K$1))</f>
        <v>0.11</v>
      </c>
      <c r="G33" s="2840"/>
      <c r="H33" s="2841"/>
      <c r="I33" s="2841"/>
      <c r="J33" s="2841"/>
      <c r="K33" s="2842"/>
    </row>
    <row r="34" spans="1:11" s="2123" customFormat="1" ht="13.5" customHeight="1">
      <c r="A34" s="374" t="s">
        <v>1856</v>
      </c>
      <c r="B34" s="2887" t="s">
        <v>501</v>
      </c>
      <c r="C34" s="471">
        <f ca="1">ROUND((1+C25)*F33,4)</f>
        <v>0.1142</v>
      </c>
      <c r="D34" s="471"/>
      <c r="E34" s="472"/>
      <c r="F34" s="479"/>
      <c r="G34" s="260" t="s">
        <v>2289</v>
      </c>
      <c r="H34" s="2839"/>
      <c r="I34" s="2839"/>
      <c r="J34" s="2839"/>
      <c r="K34" s="278"/>
    </row>
    <row r="35" spans="1:11" s="2123" customFormat="1" ht="13.5" customHeight="1" thickBot="1">
      <c r="A35" s="1635" t="s">
        <v>1857</v>
      </c>
      <c r="B35" s="3057" t="s">
        <v>2837</v>
      </c>
      <c r="C35" s="1627">
        <f ca="1">ROUND((C18+C19+C20+C23+C24)*F33,0)</f>
        <v>3213</v>
      </c>
      <c r="D35" s="1628"/>
      <c r="E35" s="2888"/>
      <c r="F35" s="1629"/>
      <c r="G35" s="2846"/>
      <c r="H35" s="2847"/>
      <c r="I35" s="2847"/>
      <c r="J35" s="2847"/>
      <c r="K35" s="2848"/>
    </row>
    <row r="36" spans="1:11" s="2085" customFormat="1" ht="13.5" customHeight="1" thickBot="1">
      <c r="A36" s="283" t="s">
        <v>1844</v>
      </c>
      <c r="B36" s="2850"/>
      <c r="C36" s="2889">
        <f ca="1">ROUND((C6-C30-C33)/(1+D30+D33),0)</f>
        <v>39526</v>
      </c>
      <c r="D36" s="2850"/>
      <c r="E36" s="2850"/>
      <c r="F36" s="2850"/>
      <c r="G36" s="2849" t="s">
        <v>2838</v>
      </c>
      <c r="H36" s="2850"/>
      <c r="I36" s="2850"/>
      <c r="J36" s="2850"/>
      <c r="K36" s="2851"/>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47" sqref="I47"/>
    </sheetView>
  </sheetViews>
  <sheetFormatPr defaultColWidth="8.875" defaultRowHeight="14.25"/>
  <cols>
    <col min="1" max="1" width="13.37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516</v>
      </c>
      <c r="B1" s="502"/>
      <c r="C1" s="503" t="s">
        <v>597</v>
      </c>
      <c r="D1" s="504" t="s">
        <v>518</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c r="A3" s="1379" t="s">
        <v>1685</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4" customFormat="1" ht="28.5" customHeight="1">
      <c r="A4" s="510" t="s">
        <v>520</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4" customFormat="1" ht="28.5" customHeight="1" thickBot="1">
      <c r="A5" s="428"/>
      <c r="B5" s="429" t="e">
        <f>ROUND(B2/('数据-汇总表'!D3/666.67),0)</f>
        <v>#DIV/0!</v>
      </c>
      <c r="C5" s="430" t="s">
        <v>469</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521</v>
      </c>
      <c r="B6" s="512"/>
      <c r="C6" s="3774" t="s">
        <v>522</v>
      </c>
      <c r="D6" s="3775"/>
      <c r="E6" s="3840" t="s">
        <v>523</v>
      </c>
      <c r="F6" s="3841"/>
      <c r="G6" s="3774" t="s">
        <v>524</v>
      </c>
      <c r="H6" s="3775"/>
      <c r="I6" s="3774" t="s">
        <v>525</v>
      </c>
      <c r="J6" s="3775"/>
      <c r="K6" s="513" t="s">
        <v>526</v>
      </c>
      <c r="L6" s="2133"/>
      <c r="M6" s="2134"/>
      <c r="N6" s="2134"/>
      <c r="O6" s="2134"/>
      <c r="P6" s="3776" t="s">
        <v>527</v>
      </c>
      <c r="Q6" s="3777"/>
      <c r="R6" s="3762" t="s">
        <v>523</v>
      </c>
      <c r="S6" s="3763"/>
      <c r="T6" s="3762" t="s">
        <v>524</v>
      </c>
      <c r="U6" s="3763"/>
      <c r="V6" s="3782" t="s">
        <v>525</v>
      </c>
      <c r="W6" s="3782"/>
      <c r="X6" s="1566"/>
      <c r="Y6" s="3762" t="s">
        <v>527</v>
      </c>
      <c r="Z6" s="3763"/>
      <c r="AA6" s="3757" t="s">
        <v>523</v>
      </c>
      <c r="AB6" s="3758" t="s">
        <v>524</v>
      </c>
      <c r="AC6" s="3757" t="s">
        <v>525</v>
      </c>
    </row>
    <row r="7" spans="1:29" ht="15">
      <c r="A7" s="514"/>
      <c r="B7" s="515"/>
      <c r="C7" s="3785" t="s">
        <v>2925</v>
      </c>
      <c r="D7" s="3786"/>
      <c r="E7" s="3842" t="s">
        <v>2926</v>
      </c>
      <c r="F7" s="3843"/>
      <c r="G7" s="3785" t="s">
        <v>2927</v>
      </c>
      <c r="H7" s="3786"/>
      <c r="I7" s="3785" t="s">
        <v>2928</v>
      </c>
      <c r="J7" s="3786"/>
      <c r="K7" s="513"/>
      <c r="L7" s="2133"/>
      <c r="M7" s="2134"/>
      <c r="N7" s="2134"/>
      <c r="O7" s="2134"/>
      <c r="P7" s="3778"/>
      <c r="Q7" s="3779"/>
      <c r="R7" s="3764"/>
      <c r="S7" s="3765"/>
      <c r="T7" s="3764"/>
      <c r="U7" s="3765"/>
      <c r="V7" s="3782"/>
      <c r="W7" s="3782"/>
      <c r="X7" s="1566"/>
      <c r="Y7" s="3764"/>
      <c r="Z7" s="3765"/>
      <c r="AA7" s="3758"/>
      <c r="AB7" s="3758"/>
      <c r="AC7" s="3758"/>
    </row>
    <row r="8" spans="1:29" ht="15.75" thickBot="1">
      <c r="A8" s="516"/>
      <c r="B8" s="517"/>
      <c r="C8" s="3783" t="s">
        <v>2929</v>
      </c>
      <c r="D8" s="3784"/>
      <c r="E8" s="3844" t="s">
        <v>2929</v>
      </c>
      <c r="F8" s="3845"/>
      <c r="G8" s="3783" t="s">
        <v>2929</v>
      </c>
      <c r="H8" s="3784"/>
      <c r="I8" s="3783" t="s">
        <v>2929</v>
      </c>
      <c r="J8" s="3784"/>
      <c r="K8" s="513" t="s">
        <v>528</v>
      </c>
      <c r="L8" s="2133"/>
      <c r="M8" s="2134"/>
      <c r="N8" s="2134"/>
      <c r="O8" s="2134"/>
      <c r="P8" s="3780"/>
      <c r="Q8" s="3781"/>
      <c r="R8" s="3764"/>
      <c r="S8" s="3765"/>
      <c r="T8" s="3766"/>
      <c r="U8" s="3767"/>
      <c r="V8" s="3782"/>
      <c r="W8" s="3782"/>
      <c r="X8" s="1566"/>
      <c r="Y8" s="3766"/>
      <c r="Z8" s="3767"/>
      <c r="AA8" s="3759"/>
      <c r="AB8" s="3759"/>
      <c r="AC8" s="3759"/>
    </row>
    <row r="9" spans="1:29" s="1218" customFormat="1" ht="15.75" thickBot="1">
      <c r="A9" s="2936"/>
      <c r="B9" s="2943" t="s">
        <v>529</v>
      </c>
      <c r="C9" s="518">
        <f>'数据-取费表'!B2</f>
        <v>43438</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760" t="s">
        <v>530</v>
      </c>
      <c r="Q9" s="3769"/>
      <c r="R9" s="1567" t="s">
        <v>8</v>
      </c>
      <c r="S9" s="1568">
        <f t="shared" ref="S9:S17" si="0">F9</f>
        <v>0</v>
      </c>
      <c r="T9" s="1567" t="s">
        <v>8</v>
      </c>
      <c r="U9" s="1568">
        <f t="shared" ref="U9:U17" si="1">H9</f>
        <v>0</v>
      </c>
      <c r="V9" s="1567" t="s">
        <v>8</v>
      </c>
      <c r="W9" s="1568">
        <f t="shared" ref="W9:W17" si="2">J9</f>
        <v>0</v>
      </c>
      <c r="X9" s="1569"/>
      <c r="Y9" s="3760" t="s">
        <v>530</v>
      </c>
      <c r="Z9" s="3761"/>
      <c r="AA9" s="1570" t="e">
        <f>D9/F9</f>
        <v>#DIV/0!</v>
      </c>
      <c r="AB9" s="1570" t="e">
        <f>D9/H9</f>
        <v>#DIV/0!</v>
      </c>
      <c r="AC9" s="1570" t="e">
        <f>D9/J9</f>
        <v>#DIV/0!</v>
      </c>
    </row>
    <row r="10" spans="1:29" s="1218" customFormat="1" ht="15.75" thickBot="1">
      <c r="A10" s="2937"/>
      <c r="B10" s="2944"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760" t="s">
        <v>533</v>
      </c>
      <c r="Q10" s="3761"/>
      <c r="R10" s="1567" t="s">
        <v>8</v>
      </c>
      <c r="S10" s="1568">
        <f t="shared" si="0"/>
        <v>0</v>
      </c>
      <c r="T10" s="1567" t="s">
        <v>8</v>
      </c>
      <c r="U10" s="1568">
        <f t="shared" si="1"/>
        <v>0</v>
      </c>
      <c r="V10" s="1567" t="s">
        <v>8</v>
      </c>
      <c r="W10" s="1568">
        <f t="shared" si="2"/>
        <v>0</v>
      </c>
      <c r="X10" s="1569"/>
      <c r="Y10" s="3760" t="s">
        <v>533</v>
      </c>
      <c r="Z10" s="3761"/>
      <c r="AA10" s="1570" t="e">
        <f t="shared" ref="AA10:AA42" si="3">D10/F10</f>
        <v>#DIV/0!</v>
      </c>
      <c r="AB10" s="1570" t="e">
        <f t="shared" ref="AB10:AB42" si="4">D10/H10</f>
        <v>#DIV/0!</v>
      </c>
      <c r="AC10" s="1570" t="e">
        <f t="shared" ref="AC10:AC42" si="5">D10/J10</f>
        <v>#DIV/0!</v>
      </c>
    </row>
    <row r="11" spans="1:29" s="1218" customFormat="1" ht="15">
      <c r="A11" s="2938"/>
      <c r="B11" s="2945" t="s">
        <v>2754</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768" t="s">
        <v>535</v>
      </c>
      <c r="Q11" s="1149" t="str">
        <f t="shared" ref="Q11:Q17" si="6">B11</f>
        <v>用途</v>
      </c>
      <c r="R11" s="1567" t="s">
        <v>8</v>
      </c>
      <c r="S11" s="1568">
        <f t="shared" si="0"/>
        <v>100</v>
      </c>
      <c r="T11" s="1567" t="s">
        <v>8</v>
      </c>
      <c r="U11" s="1568">
        <f t="shared" si="1"/>
        <v>100</v>
      </c>
      <c r="V11" s="1567" t="s">
        <v>8</v>
      </c>
      <c r="W11" s="1568">
        <f t="shared" si="2"/>
        <v>100</v>
      </c>
      <c r="X11" s="1569"/>
      <c r="Y11" s="3725" t="s">
        <v>536</v>
      </c>
      <c r="Z11" s="1148" t="str">
        <f t="shared" ref="Z11:Z17" si="7">Q11</f>
        <v>用途</v>
      </c>
      <c r="AA11" s="1570">
        <f t="shared" si="3"/>
        <v>1</v>
      </c>
      <c r="AB11" s="1570">
        <f t="shared" si="4"/>
        <v>1</v>
      </c>
      <c r="AC11" s="1570">
        <f t="shared" si="5"/>
        <v>1</v>
      </c>
    </row>
    <row r="12" spans="1:29" s="1336" customFormat="1" ht="27">
      <c r="A12" s="2939"/>
      <c r="B12" s="2944" t="s">
        <v>2755</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768"/>
      <c r="Q12" s="1149" t="str">
        <f t="shared" si="6"/>
        <v>土地使用年限（年）</v>
      </c>
      <c r="R12" s="1567" t="s">
        <v>8</v>
      </c>
      <c r="S12" s="1568">
        <f t="shared" si="0"/>
        <v>100</v>
      </c>
      <c r="T12" s="1567" t="s">
        <v>8</v>
      </c>
      <c r="U12" s="1568">
        <f t="shared" si="1"/>
        <v>100</v>
      </c>
      <c r="V12" s="1567" t="s">
        <v>8</v>
      </c>
      <c r="W12" s="1568">
        <f t="shared" si="2"/>
        <v>100</v>
      </c>
      <c r="X12" s="1569"/>
      <c r="Y12" s="3725"/>
      <c r="Z12" s="1148" t="str">
        <f t="shared" si="7"/>
        <v>土地使用年限（年）</v>
      </c>
      <c r="AA12" s="1570">
        <f t="shared" si="3"/>
        <v>1</v>
      </c>
      <c r="AB12" s="1570">
        <f t="shared" si="4"/>
        <v>1</v>
      </c>
      <c r="AC12" s="1570">
        <f t="shared" si="5"/>
        <v>1</v>
      </c>
    </row>
    <row r="13" spans="1:29" ht="15">
      <c r="A13" s="2940"/>
      <c r="B13" s="2944"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768"/>
      <c r="Q13" s="1149" t="str">
        <f t="shared" si="6"/>
        <v>容积率</v>
      </c>
      <c r="R13" s="1567" t="s">
        <v>8</v>
      </c>
      <c r="S13" s="1568" t="e">
        <f t="shared" si="0"/>
        <v>#N/A</v>
      </c>
      <c r="T13" s="1567" t="s">
        <v>8</v>
      </c>
      <c r="U13" s="1568" t="e">
        <f t="shared" si="1"/>
        <v>#N/A</v>
      </c>
      <c r="V13" s="1567" t="s">
        <v>8</v>
      </c>
      <c r="W13" s="1568" t="e">
        <f t="shared" si="2"/>
        <v>#N/A</v>
      </c>
      <c r="X13" s="1569"/>
      <c r="Y13" s="3725"/>
      <c r="Z13" s="1148" t="str">
        <f t="shared" si="7"/>
        <v>容积率</v>
      </c>
      <c r="AA13" s="1570" t="e">
        <f t="shared" si="3"/>
        <v>#N/A</v>
      </c>
      <c r="AB13" s="1570" t="e">
        <f t="shared" si="4"/>
        <v>#N/A</v>
      </c>
      <c r="AC13" s="1570"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768"/>
      <c r="Q14" s="1149">
        <f t="shared" si="6"/>
        <v>111</v>
      </c>
      <c r="R14" s="1567" t="s">
        <v>8</v>
      </c>
      <c r="S14" s="1568">
        <f t="shared" si="0"/>
        <v>100</v>
      </c>
      <c r="T14" s="1567" t="s">
        <v>8</v>
      </c>
      <c r="U14" s="1568">
        <f t="shared" si="1"/>
        <v>100</v>
      </c>
      <c r="V14" s="1567" t="s">
        <v>8</v>
      </c>
      <c r="W14" s="1568">
        <f t="shared" si="2"/>
        <v>100</v>
      </c>
      <c r="X14" s="1569"/>
      <c r="Y14" s="3725"/>
      <c r="Z14" s="1148">
        <f t="shared" si="7"/>
        <v>111</v>
      </c>
      <c r="AA14" s="1570">
        <f>D14/F14</f>
        <v>1</v>
      </c>
      <c r="AB14" s="1570">
        <f>D14/H14</f>
        <v>1</v>
      </c>
      <c r="AC14" s="1570">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768"/>
      <c r="Q15" s="1149">
        <f t="shared" si="6"/>
        <v>111</v>
      </c>
      <c r="R15" s="1567" t="s">
        <v>8</v>
      </c>
      <c r="S15" s="1568">
        <f t="shared" si="0"/>
        <v>100</v>
      </c>
      <c r="T15" s="1567" t="s">
        <v>8</v>
      </c>
      <c r="U15" s="1568">
        <f t="shared" si="1"/>
        <v>100</v>
      </c>
      <c r="V15" s="1567" t="s">
        <v>8</v>
      </c>
      <c r="W15" s="1568">
        <f t="shared" si="2"/>
        <v>100</v>
      </c>
      <c r="X15" s="1569"/>
      <c r="Y15" s="3725"/>
      <c r="Z15" s="1148">
        <f t="shared" si="7"/>
        <v>111</v>
      </c>
      <c r="AA15" s="1570">
        <f t="shared" si="3"/>
        <v>1</v>
      </c>
      <c r="AB15" s="1570">
        <f t="shared" si="4"/>
        <v>1</v>
      </c>
      <c r="AC15" s="1570">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768"/>
      <c r="Q16" s="1149">
        <f t="shared" si="6"/>
        <v>111</v>
      </c>
      <c r="R16" s="1567" t="s">
        <v>8</v>
      </c>
      <c r="S16" s="1568">
        <f t="shared" si="0"/>
        <v>100</v>
      </c>
      <c r="T16" s="1567" t="s">
        <v>8</v>
      </c>
      <c r="U16" s="1568">
        <f t="shared" si="1"/>
        <v>100</v>
      </c>
      <c r="V16" s="1567" t="s">
        <v>8</v>
      </c>
      <c r="W16" s="1568">
        <f t="shared" si="2"/>
        <v>100</v>
      </c>
      <c r="X16" s="1569"/>
      <c r="Y16" s="3725"/>
      <c r="Z16" s="1148">
        <f t="shared" si="7"/>
        <v>111</v>
      </c>
      <c r="AA16" s="1570">
        <f t="shared" si="3"/>
        <v>1</v>
      </c>
      <c r="AB16" s="1570">
        <f t="shared" si="4"/>
        <v>1</v>
      </c>
      <c r="AC16" s="1570">
        <f t="shared" si="5"/>
        <v>1</v>
      </c>
    </row>
    <row r="17" spans="1:29" ht="57">
      <c r="A17" s="2934"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770" t="s">
        <v>540</v>
      </c>
      <c r="Q17" s="1571" t="str">
        <f t="shared" si="6"/>
        <v>产业集聚程度</v>
      </c>
      <c r="R17" s="1572" t="s">
        <v>8</v>
      </c>
      <c r="S17" s="1573">
        <f t="shared" si="0"/>
        <v>100</v>
      </c>
      <c r="T17" s="1572" t="s">
        <v>8</v>
      </c>
      <c r="U17" s="1573">
        <f t="shared" si="1"/>
        <v>100</v>
      </c>
      <c r="V17" s="1572" t="s">
        <v>8</v>
      </c>
      <c r="W17" s="1573">
        <f t="shared" si="2"/>
        <v>100</v>
      </c>
      <c r="X17" s="1566"/>
      <c r="Y17" s="3770" t="s">
        <v>540</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771"/>
      <c r="Q18" s="1571"/>
      <c r="R18" s="1572"/>
      <c r="S18" s="1573"/>
      <c r="T18" s="1572"/>
      <c r="U18" s="1573"/>
      <c r="V18" s="1572"/>
      <c r="W18" s="1573"/>
      <c r="X18" s="1566"/>
      <c r="Y18" s="3771"/>
      <c r="Z18" s="1574"/>
      <c r="AA18" s="1575">
        <v>1</v>
      </c>
      <c r="AB18" s="1575">
        <v>1</v>
      </c>
      <c r="AC18" s="1575">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771"/>
      <c r="Q19" s="1571" t="str">
        <f>B19</f>
        <v>交通便捷度</v>
      </c>
      <c r="R19" s="1572" t="s">
        <v>8</v>
      </c>
      <c r="S19" s="1573">
        <f>F19</f>
        <v>100</v>
      </c>
      <c r="T19" s="1572" t="s">
        <v>8</v>
      </c>
      <c r="U19" s="1573">
        <f>H19</f>
        <v>100</v>
      </c>
      <c r="V19" s="1572" t="s">
        <v>8</v>
      </c>
      <c r="W19" s="1573">
        <f>J19</f>
        <v>100</v>
      </c>
      <c r="X19" s="1566"/>
      <c r="Y19" s="3771"/>
      <c r="Z19" s="1574" t="str">
        <f>Q19</f>
        <v>交通便捷度</v>
      </c>
      <c r="AA19" s="1575">
        <f t="shared" si="3"/>
        <v>1</v>
      </c>
      <c r="AB19" s="1575">
        <f t="shared" si="4"/>
        <v>1</v>
      </c>
      <c r="AC19" s="1575">
        <f t="shared" si="5"/>
        <v>1</v>
      </c>
    </row>
    <row r="20" spans="1:29" ht="15">
      <c r="A20" s="531"/>
      <c r="B20" s="920"/>
      <c r="C20" s="575"/>
      <c r="D20" s="554"/>
      <c r="E20" s="555"/>
      <c r="F20" s="554"/>
      <c r="G20" s="555"/>
      <c r="H20" s="554"/>
      <c r="I20" s="557"/>
      <c r="J20" s="554"/>
      <c r="K20" s="530"/>
      <c r="L20" s="2142"/>
      <c r="M20" s="2134"/>
      <c r="N20" s="2134"/>
      <c r="O20" s="2141"/>
      <c r="P20" s="3771"/>
      <c r="Q20" s="1571"/>
      <c r="R20" s="1572"/>
      <c r="S20" s="1573"/>
      <c r="T20" s="1572"/>
      <c r="U20" s="1573"/>
      <c r="V20" s="1572"/>
      <c r="W20" s="1573"/>
      <c r="X20" s="1566"/>
      <c r="Y20" s="3771"/>
      <c r="Z20" s="1574"/>
      <c r="AA20" s="1575">
        <v>1</v>
      </c>
      <c r="AB20" s="1575">
        <v>1</v>
      </c>
      <c r="AC20" s="1575">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2"/>
      <c r="M21" s="2134"/>
      <c r="N21" s="2134"/>
      <c r="O21" s="2141"/>
      <c r="P21" s="3771"/>
      <c r="Q21" s="1571" t="str">
        <f t="shared" ref="Q21:Q35" si="8">B21</f>
        <v>区域土地利用方向</v>
      </c>
      <c r="R21" s="1572" t="s">
        <v>8</v>
      </c>
      <c r="S21" s="1573">
        <f>F21</f>
        <v>100</v>
      </c>
      <c r="T21" s="1572" t="s">
        <v>8</v>
      </c>
      <c r="U21" s="1573">
        <f>H21</f>
        <v>100</v>
      </c>
      <c r="V21" s="1572" t="s">
        <v>8</v>
      </c>
      <c r="W21" s="1573">
        <f>J21</f>
        <v>100</v>
      </c>
      <c r="X21" s="1566"/>
      <c r="Y21" s="3771"/>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6"/>
      <c r="L22" s="2142"/>
      <c r="M22" s="2134"/>
      <c r="N22" s="2134"/>
      <c r="O22" s="2141"/>
      <c r="P22" s="3771"/>
      <c r="Q22" s="1571"/>
      <c r="R22" s="1572"/>
      <c r="S22" s="1573"/>
      <c r="T22" s="1572"/>
      <c r="U22" s="1573"/>
      <c r="V22" s="1572"/>
      <c r="W22" s="1573"/>
      <c r="X22" s="1566"/>
      <c r="Y22" s="3771"/>
      <c r="Z22" s="1574"/>
      <c r="AA22" s="1575"/>
      <c r="AB22" s="1575"/>
      <c r="AC22" s="1575"/>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771"/>
      <c r="Q23" s="1571" t="str">
        <f t="shared" si="8"/>
        <v>环境状况</v>
      </c>
      <c r="R23" s="1572" t="s">
        <v>8</v>
      </c>
      <c r="S23" s="1573">
        <f>F23</f>
        <v>100</v>
      </c>
      <c r="T23" s="1572" t="s">
        <v>8</v>
      </c>
      <c r="U23" s="1573">
        <f>H23</f>
        <v>100</v>
      </c>
      <c r="V23" s="1572" t="s">
        <v>8</v>
      </c>
      <c r="W23" s="1573">
        <f>J23</f>
        <v>100</v>
      </c>
      <c r="X23" s="1566"/>
      <c r="Y23" s="3771"/>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771"/>
      <c r="Q24" s="1571"/>
      <c r="R24" s="1572"/>
      <c r="S24" s="1573"/>
      <c r="T24" s="1572"/>
      <c r="U24" s="1573"/>
      <c r="V24" s="1572"/>
      <c r="W24" s="1573"/>
      <c r="X24" s="1566"/>
      <c r="Y24" s="3771"/>
      <c r="Z24" s="1574"/>
      <c r="AA24" s="1575">
        <v>1</v>
      </c>
      <c r="AB24" s="1575">
        <v>1</v>
      </c>
      <c r="AC24" s="1575">
        <v>1</v>
      </c>
    </row>
    <row r="25" spans="1:29" s="1218" customFormat="1" ht="42.75">
      <c r="A25" s="576"/>
      <c r="B25" s="2617" t="s">
        <v>2546</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771"/>
      <c r="Q25" s="1149" t="str">
        <f t="shared" si="8"/>
        <v>公共配套设施</v>
      </c>
      <c r="R25" s="1567" t="s">
        <v>8</v>
      </c>
      <c r="S25" s="1568">
        <f>F25</f>
        <v>100</v>
      </c>
      <c r="T25" s="1567" t="s">
        <v>8</v>
      </c>
      <c r="U25" s="1568">
        <f>H25</f>
        <v>100</v>
      </c>
      <c r="V25" s="1567" t="s">
        <v>8</v>
      </c>
      <c r="W25" s="1568">
        <f>J25</f>
        <v>100</v>
      </c>
      <c r="X25" s="1569"/>
      <c r="Y25" s="3771"/>
      <c r="Z25" s="1148" t="str">
        <f>Q25</f>
        <v>公共配套设施</v>
      </c>
      <c r="AA25" s="1575">
        <f>D25/F25</f>
        <v>1</v>
      </c>
      <c r="AB25" s="1575">
        <f>D25/H25</f>
        <v>1</v>
      </c>
      <c r="AC25" s="1575">
        <f>D25/J25</f>
        <v>1</v>
      </c>
    </row>
    <row r="26" spans="1:29" s="1218" customFormat="1" ht="15">
      <c r="A26" s="576"/>
      <c r="B26" s="594"/>
      <c r="C26" s="2616"/>
      <c r="D26" s="554"/>
      <c r="E26" s="553"/>
      <c r="F26" s="554"/>
      <c r="G26" s="553"/>
      <c r="H26" s="554"/>
      <c r="I26" s="575"/>
      <c r="J26" s="554"/>
      <c r="K26" s="530"/>
      <c r="L26" s="2135"/>
      <c r="M26" s="2136"/>
      <c r="N26" s="2136"/>
      <c r="O26" s="2137"/>
      <c r="P26" s="3771"/>
      <c r="Q26" s="1149"/>
      <c r="R26" s="1567"/>
      <c r="S26" s="1568"/>
      <c r="T26" s="1567"/>
      <c r="U26" s="1568"/>
      <c r="V26" s="1567"/>
      <c r="W26" s="1568"/>
      <c r="X26" s="1569"/>
      <c r="Y26" s="3771"/>
      <c r="Z26" s="1148"/>
      <c r="AA26" s="1570">
        <v>1</v>
      </c>
      <c r="AB26" s="1570">
        <v>1</v>
      </c>
      <c r="AC26" s="1570">
        <v>1</v>
      </c>
    </row>
    <row r="27" spans="1:29" s="1218" customFormat="1" ht="28.5">
      <c r="A27" s="576"/>
      <c r="B27" s="2617" t="s">
        <v>2547</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771"/>
      <c r="Q27" s="2602" t="str">
        <f t="shared" ref="Q27" si="9">B27</f>
        <v>基础设施水平</v>
      </c>
      <c r="R27" s="1567" t="s">
        <v>8</v>
      </c>
      <c r="S27" s="1568">
        <f>F27</f>
        <v>100</v>
      </c>
      <c r="T27" s="1567" t="s">
        <v>8</v>
      </c>
      <c r="U27" s="1568">
        <f>H27</f>
        <v>100</v>
      </c>
      <c r="V27" s="1567" t="s">
        <v>8</v>
      </c>
      <c r="W27" s="1568">
        <f>J27</f>
        <v>100</v>
      </c>
      <c r="X27" s="1569"/>
      <c r="Y27" s="3771"/>
      <c r="Z27" s="2599" t="str">
        <f>Q27</f>
        <v>基础设施水平</v>
      </c>
      <c r="AA27" s="1575">
        <f>D27/F27</f>
        <v>1</v>
      </c>
      <c r="AB27" s="1575">
        <f>D27/H27</f>
        <v>1</v>
      </c>
      <c r="AC27" s="1575">
        <f>D27/J27</f>
        <v>1</v>
      </c>
    </row>
    <row r="28" spans="1:29" s="1218" customFormat="1" ht="15">
      <c r="A28" s="576"/>
      <c r="B28" s="594"/>
      <c r="C28" s="2616"/>
      <c r="D28" s="554"/>
      <c r="E28" s="578"/>
      <c r="F28" s="554"/>
      <c r="G28" s="578"/>
      <c r="H28" s="554"/>
      <c r="I28" s="578"/>
      <c r="J28" s="554"/>
      <c r="K28" s="530"/>
      <c r="L28" s="2135"/>
      <c r="M28" s="2136"/>
      <c r="N28" s="2136"/>
      <c r="O28" s="2137"/>
      <c r="P28" s="3771"/>
      <c r="Q28" s="2602"/>
      <c r="R28" s="1567"/>
      <c r="S28" s="1568"/>
      <c r="T28" s="1567"/>
      <c r="U28" s="1568"/>
      <c r="V28" s="1567"/>
      <c r="W28" s="1568"/>
      <c r="X28" s="1569"/>
      <c r="Y28" s="3771"/>
      <c r="Z28" s="2599"/>
      <c r="AA28" s="1570">
        <v>1</v>
      </c>
      <c r="AB28" s="1570">
        <v>1</v>
      </c>
      <c r="AC28" s="1570">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7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771"/>
      <c r="Z29" s="1574" t="str">
        <f t="shared" ref="Z29:Z42" si="13">Q29</f>
        <v>临街状况</v>
      </c>
      <c r="AA29" s="1575">
        <f t="shared" si="3"/>
        <v>1</v>
      </c>
      <c r="AB29" s="1575">
        <f t="shared" si="4"/>
        <v>1</v>
      </c>
      <c r="AC29" s="1575">
        <f t="shared" si="5"/>
        <v>1</v>
      </c>
    </row>
    <row r="30" spans="1:29" ht="27">
      <c r="A30" s="531"/>
      <c r="B30" s="920" t="s">
        <v>548</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771"/>
      <c r="Q30" s="1571" t="str">
        <f t="shared" si="8"/>
        <v>毗邻道路的类型与等级</v>
      </c>
      <c r="R30" s="1572" t="s">
        <v>8</v>
      </c>
      <c r="S30" s="1573">
        <f t="shared" si="10"/>
        <v>100</v>
      </c>
      <c r="T30" s="1572" t="s">
        <v>8</v>
      </c>
      <c r="U30" s="1573">
        <f t="shared" si="11"/>
        <v>100</v>
      </c>
      <c r="V30" s="1572" t="s">
        <v>8</v>
      </c>
      <c r="W30" s="1573">
        <f t="shared" si="12"/>
        <v>100</v>
      </c>
      <c r="X30" s="1566"/>
      <c r="Y30" s="3771"/>
      <c r="Z30" s="1574" t="str">
        <f t="shared" si="13"/>
        <v>毗邻道路的类型与等级</v>
      </c>
      <c r="AA30" s="1575">
        <f t="shared" si="3"/>
        <v>1</v>
      </c>
      <c r="AB30" s="1575">
        <f t="shared" si="4"/>
        <v>1</v>
      </c>
      <c r="AC30" s="1575">
        <f t="shared" si="5"/>
        <v>1</v>
      </c>
    </row>
    <row r="31" spans="1:29" ht="15">
      <c r="A31" s="531"/>
      <c r="B31" s="594"/>
      <c r="C31" s="575"/>
      <c r="D31" s="554"/>
      <c r="E31" s="575"/>
      <c r="F31" s="554"/>
      <c r="G31" s="575"/>
      <c r="H31" s="554"/>
      <c r="I31" s="575"/>
      <c r="J31" s="554"/>
      <c r="K31" s="580"/>
      <c r="L31" s="2142"/>
      <c r="M31" s="2134"/>
      <c r="N31" s="2134"/>
      <c r="O31" s="2141"/>
      <c r="P31" s="3771"/>
      <c r="Q31" s="1571"/>
      <c r="R31" s="1572"/>
      <c r="S31" s="1573"/>
      <c r="T31" s="1572"/>
      <c r="U31" s="1573"/>
      <c r="V31" s="1572"/>
      <c r="W31" s="1573"/>
      <c r="X31" s="1566"/>
      <c r="Y31" s="3771"/>
      <c r="Z31" s="1574"/>
      <c r="AA31" s="1575">
        <v>1</v>
      </c>
      <c r="AB31" s="1575">
        <v>1</v>
      </c>
      <c r="AC31" s="1575">
        <v>1</v>
      </c>
    </row>
    <row r="32" spans="1:29" ht="15">
      <c r="A32" s="531"/>
      <c r="B32" s="526" t="s">
        <v>549</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771"/>
      <c r="Q32" s="1571" t="str">
        <f t="shared" si="8"/>
        <v>土地级别</v>
      </c>
      <c r="R32" s="1572" t="s">
        <v>8</v>
      </c>
      <c r="S32" s="1573">
        <f t="shared" si="10"/>
        <v>100</v>
      </c>
      <c r="T32" s="1572" t="s">
        <v>8</v>
      </c>
      <c r="U32" s="1573">
        <f t="shared" si="11"/>
        <v>100</v>
      </c>
      <c r="V32" s="1572" t="s">
        <v>8</v>
      </c>
      <c r="W32" s="1573">
        <f t="shared" si="12"/>
        <v>100</v>
      </c>
      <c r="X32" s="1566"/>
      <c r="Y32" s="3771"/>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771"/>
      <c r="Q33" s="1571">
        <f t="shared" si="8"/>
        <v>111</v>
      </c>
      <c r="R33" s="1572" t="s">
        <v>8</v>
      </c>
      <c r="S33" s="1573">
        <f t="shared" si="10"/>
        <v>100</v>
      </c>
      <c r="T33" s="1572" t="s">
        <v>8</v>
      </c>
      <c r="U33" s="1573">
        <f t="shared" si="11"/>
        <v>100</v>
      </c>
      <c r="V33" s="1572" t="s">
        <v>8</v>
      </c>
      <c r="W33" s="1573">
        <f t="shared" si="12"/>
        <v>100</v>
      </c>
      <c r="X33" s="1566"/>
      <c r="Y33" s="3771"/>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772" t="s">
        <v>550</v>
      </c>
      <c r="Q34" s="1571">
        <f t="shared" si="8"/>
        <v>111</v>
      </c>
      <c r="R34" s="1572" t="s">
        <v>8</v>
      </c>
      <c r="S34" s="1573">
        <f t="shared" si="10"/>
        <v>100</v>
      </c>
      <c r="T34" s="1572" t="s">
        <v>8</v>
      </c>
      <c r="U34" s="1573">
        <f t="shared" si="11"/>
        <v>100</v>
      </c>
      <c r="V34" s="1572" t="s">
        <v>8</v>
      </c>
      <c r="W34" s="1573">
        <f t="shared" si="12"/>
        <v>100</v>
      </c>
      <c r="X34" s="1566"/>
      <c r="Y34" s="3773" t="s">
        <v>550</v>
      </c>
      <c r="Z34" s="1574">
        <f t="shared" si="13"/>
        <v>111</v>
      </c>
      <c r="AA34" s="1575">
        <f t="shared" si="3"/>
        <v>1</v>
      </c>
      <c r="AB34" s="1575">
        <f t="shared" si="4"/>
        <v>1</v>
      </c>
      <c r="AC34" s="1575">
        <f t="shared" si="5"/>
        <v>1</v>
      </c>
    </row>
    <row r="35" spans="1:29" s="1337"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773"/>
      <c r="Q35" s="1571">
        <f t="shared" si="8"/>
        <v>111</v>
      </c>
      <c r="R35" s="1576" t="s">
        <v>8</v>
      </c>
      <c r="S35" s="1577">
        <f t="shared" si="10"/>
        <v>100</v>
      </c>
      <c r="T35" s="1576" t="s">
        <v>8</v>
      </c>
      <c r="U35" s="1577">
        <f t="shared" si="11"/>
        <v>100</v>
      </c>
      <c r="V35" s="1576" t="s">
        <v>8</v>
      </c>
      <c r="W35" s="1577">
        <f t="shared" si="12"/>
        <v>100</v>
      </c>
      <c r="X35" s="1578"/>
      <c r="Y35" s="3773"/>
      <c r="Z35" s="1579">
        <f t="shared" si="13"/>
        <v>111</v>
      </c>
      <c r="AA35" s="1575">
        <f t="shared" si="3"/>
        <v>1</v>
      </c>
      <c r="AB35" s="1575">
        <f t="shared" si="4"/>
        <v>1</v>
      </c>
      <c r="AC35" s="1575">
        <f t="shared" si="5"/>
        <v>1</v>
      </c>
    </row>
    <row r="36" spans="1:29" ht="15">
      <c r="A36" s="2931"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773"/>
      <c r="Q36" s="1571" t="str">
        <f>B36</f>
        <v>宗地面积</v>
      </c>
      <c r="R36" s="1572" t="s">
        <v>8</v>
      </c>
      <c r="S36" s="1573" t="e">
        <f t="shared" si="10"/>
        <v>#N/A</v>
      </c>
      <c r="T36" s="1572" t="s">
        <v>8</v>
      </c>
      <c r="U36" s="1573" t="e">
        <f t="shared" si="11"/>
        <v>#N/A</v>
      </c>
      <c r="V36" s="1572" t="s">
        <v>8</v>
      </c>
      <c r="W36" s="1573" t="e">
        <f t="shared" si="12"/>
        <v>#N/A</v>
      </c>
      <c r="X36" s="1566"/>
      <c r="Y36" s="3773"/>
      <c r="Z36" s="1574" t="str">
        <f t="shared" si="13"/>
        <v>宗地面积</v>
      </c>
      <c r="AA36" s="1575" t="e">
        <f t="shared" si="3"/>
        <v>#N/A</v>
      </c>
      <c r="AB36" s="1575" t="e">
        <f t="shared" si="4"/>
        <v>#N/A</v>
      </c>
      <c r="AC36" s="1575"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773"/>
      <c r="Q37" s="1571" t="str">
        <f t="shared" ref="Q37:Q42" si="14">B37</f>
        <v>宗地形状</v>
      </c>
      <c r="R37" s="1572" t="s">
        <v>8</v>
      </c>
      <c r="S37" s="1573">
        <f t="shared" si="10"/>
        <v>100</v>
      </c>
      <c r="T37" s="1572" t="s">
        <v>8</v>
      </c>
      <c r="U37" s="1573">
        <f t="shared" si="11"/>
        <v>100</v>
      </c>
      <c r="V37" s="1572" t="s">
        <v>8</v>
      </c>
      <c r="W37" s="1573">
        <f t="shared" si="12"/>
        <v>100</v>
      </c>
      <c r="X37" s="1566"/>
      <c r="Y37" s="3773"/>
      <c r="Z37" s="1574" t="str">
        <f t="shared" si="13"/>
        <v>宗地形状</v>
      </c>
      <c r="AA37" s="1575">
        <f t="shared" si="3"/>
        <v>1</v>
      </c>
      <c r="AB37" s="1575">
        <f t="shared" si="4"/>
        <v>1</v>
      </c>
      <c r="AC37" s="1575">
        <f t="shared" si="5"/>
        <v>1</v>
      </c>
    </row>
    <row r="38" spans="1:29" s="1218" customFormat="1" ht="15">
      <c r="A38" s="599"/>
      <c r="B38" s="1895" t="s">
        <v>2422</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773"/>
      <c r="Q38" s="1571" t="str">
        <f t="shared" si="14"/>
        <v>宗地开发程度</v>
      </c>
      <c r="R38" s="1567" t="s">
        <v>8</v>
      </c>
      <c r="S38" s="1568">
        <f t="shared" si="10"/>
        <v>100</v>
      </c>
      <c r="T38" s="1567" t="s">
        <v>8</v>
      </c>
      <c r="U38" s="1568">
        <f t="shared" si="11"/>
        <v>100</v>
      </c>
      <c r="V38" s="1567" t="s">
        <v>8</v>
      </c>
      <c r="W38" s="1568">
        <f t="shared" si="12"/>
        <v>100</v>
      </c>
      <c r="X38" s="1569"/>
      <c r="Y38" s="3773"/>
      <c r="Z38" s="1148" t="str">
        <f t="shared" si="13"/>
        <v>宗地开发程度</v>
      </c>
      <c r="AA38" s="1570">
        <f t="shared" si="3"/>
        <v>1</v>
      </c>
      <c r="AB38" s="1570">
        <f t="shared" si="4"/>
        <v>1</v>
      </c>
      <c r="AC38" s="1570">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73" t="s">
        <v>601</v>
      </c>
      <c r="Q39" s="1571" t="str">
        <f t="shared" si="14"/>
        <v>工程地质条件</v>
      </c>
      <c r="R39" s="1572" t="s">
        <v>8</v>
      </c>
      <c r="S39" s="1573">
        <f t="shared" si="10"/>
        <v>100</v>
      </c>
      <c r="T39" s="1572" t="s">
        <v>8</v>
      </c>
      <c r="U39" s="1573">
        <f t="shared" si="11"/>
        <v>100</v>
      </c>
      <c r="V39" s="1572" t="s">
        <v>8</v>
      </c>
      <c r="W39" s="1573">
        <f t="shared" si="12"/>
        <v>100</v>
      </c>
      <c r="X39" s="1566"/>
      <c r="Y39" s="3773" t="s">
        <v>601</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773"/>
      <c r="Q40" s="1571">
        <f t="shared" si="14"/>
        <v>111</v>
      </c>
      <c r="R40" s="1572" t="s">
        <v>8</v>
      </c>
      <c r="S40" s="1573">
        <f t="shared" si="10"/>
        <v>100</v>
      </c>
      <c r="T40" s="1572" t="s">
        <v>8</v>
      </c>
      <c r="U40" s="1573">
        <f t="shared" si="11"/>
        <v>100</v>
      </c>
      <c r="V40" s="1572" t="s">
        <v>8</v>
      </c>
      <c r="W40" s="1573">
        <f t="shared" si="12"/>
        <v>100</v>
      </c>
      <c r="X40" s="1566"/>
      <c r="Y40" s="3773"/>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773"/>
      <c r="Q41" s="1571">
        <f t="shared" si="14"/>
        <v>111</v>
      </c>
      <c r="R41" s="1572" t="s">
        <v>8</v>
      </c>
      <c r="S41" s="1573">
        <f t="shared" si="10"/>
        <v>100</v>
      </c>
      <c r="T41" s="1572" t="s">
        <v>8</v>
      </c>
      <c r="U41" s="1573">
        <f t="shared" si="11"/>
        <v>100</v>
      </c>
      <c r="V41" s="1572" t="s">
        <v>8</v>
      </c>
      <c r="W41" s="1573">
        <f t="shared" si="12"/>
        <v>100</v>
      </c>
      <c r="X41" s="1566"/>
      <c r="Y41" s="3773"/>
      <c r="Z41" s="1574">
        <f t="shared" si="13"/>
        <v>111</v>
      </c>
      <c r="AA41" s="1575">
        <f t="shared" si="3"/>
        <v>1</v>
      </c>
      <c r="AB41" s="1575">
        <f t="shared" si="4"/>
        <v>1</v>
      </c>
      <c r="AC41" s="1575">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773"/>
      <c r="Q42" s="1571">
        <f t="shared" si="14"/>
        <v>111</v>
      </c>
      <c r="R42" s="1576" t="s">
        <v>8</v>
      </c>
      <c r="S42" s="1577">
        <f t="shared" si="10"/>
        <v>100</v>
      </c>
      <c r="T42" s="1576" t="s">
        <v>8</v>
      </c>
      <c r="U42" s="1577">
        <f t="shared" si="11"/>
        <v>100</v>
      </c>
      <c r="V42" s="1576" t="s">
        <v>8</v>
      </c>
      <c r="W42" s="1577">
        <f t="shared" si="12"/>
        <v>100</v>
      </c>
      <c r="X42" s="1578"/>
      <c r="Y42" s="3773"/>
      <c r="Z42" s="1579">
        <f t="shared" si="13"/>
        <v>111</v>
      </c>
      <c r="AA42" s="1575">
        <f t="shared" si="3"/>
        <v>1</v>
      </c>
      <c r="AB42" s="1575">
        <f t="shared" si="4"/>
        <v>1</v>
      </c>
      <c r="AC42" s="1575">
        <f t="shared" si="5"/>
        <v>1</v>
      </c>
    </row>
    <row r="43" spans="1:29" ht="15">
      <c r="A43" s="606" t="s">
        <v>556</v>
      </c>
      <c r="B43" s="607" t="s">
        <v>2930</v>
      </c>
      <c r="C43" s="608" t="s">
        <v>1</v>
      </c>
      <c r="D43" s="609"/>
      <c r="E43" s="610"/>
      <c r="F43" s="611"/>
      <c r="G43" s="612"/>
      <c r="H43" s="613"/>
      <c r="I43" s="610"/>
      <c r="J43" s="613"/>
      <c r="K43" s="1338"/>
      <c r="L43" s="2144"/>
      <c r="M43" s="2134"/>
      <c r="N43" s="2134"/>
      <c r="O43" s="2145"/>
      <c r="P43" s="3768" t="str">
        <f>A43</f>
        <v>成交单价</v>
      </c>
      <c r="Q43" s="3768"/>
      <c r="R43" s="3782">
        <f>E43</f>
        <v>0</v>
      </c>
      <c r="S43" s="3782"/>
      <c r="T43" s="3782">
        <f>G43</f>
        <v>0</v>
      </c>
      <c r="U43" s="3782"/>
      <c r="V43" s="3782">
        <f>I43</f>
        <v>0</v>
      </c>
      <c r="W43" s="3782"/>
      <c r="X43" s="1558"/>
      <c r="Y43" s="1580"/>
      <c r="Z43" s="1558"/>
      <c r="AA43" s="1558"/>
      <c r="AB43" s="1558"/>
      <c r="AC43" s="1558"/>
    </row>
    <row r="44" spans="1:29" ht="15.75" thickBot="1">
      <c r="A44" s="614" t="s">
        <v>2691</v>
      </c>
      <c r="B44" s="615"/>
      <c r="C44" s="616" t="e">
        <f>R45</f>
        <v>#DIV/0!</v>
      </c>
      <c r="D44" s="617"/>
      <c r="E44" s="616" t="e">
        <f>R44</f>
        <v>#DIV/0!</v>
      </c>
      <c r="F44" s="618"/>
      <c r="G44" s="619" t="e">
        <f>T44</f>
        <v>#DIV/0!</v>
      </c>
      <c r="H44" s="617"/>
      <c r="I44" s="616" t="e">
        <f>V44</f>
        <v>#DIV/0!</v>
      </c>
      <c r="J44" s="617"/>
      <c r="K44" s="1339"/>
      <c r="L44" s="2144"/>
      <c r="M44" s="2134"/>
      <c r="N44" s="2134"/>
      <c r="O44" s="2145"/>
      <c r="P44" s="3768" t="str">
        <f>A44</f>
        <v>比较价格（元/平方米）</v>
      </c>
      <c r="Q44" s="3768"/>
      <c r="R44" s="3792" t="e">
        <f>ROUND(PRODUCT(R43,AA9:AA42),0)</f>
        <v>#DIV/0!</v>
      </c>
      <c r="S44" s="3792"/>
      <c r="T44" s="3792" t="e">
        <f>ROUND(PRODUCT(T43,AB9:AB42),0)</f>
        <v>#DIV/0!</v>
      </c>
      <c r="U44" s="3792"/>
      <c r="V44" s="3792" t="e">
        <f>ROUND(PRODUCT(V43,AC9:AC42),0)</f>
        <v>#DIV/0!</v>
      </c>
      <c r="W44" s="3792"/>
      <c r="X44" s="1558"/>
      <c r="Y44" s="1558"/>
      <c r="Z44" s="1558"/>
      <c r="AA44" s="1558"/>
      <c r="AB44" s="1558"/>
      <c r="AC44" s="1558"/>
    </row>
    <row r="45" spans="1:29" ht="15.75" thickBot="1">
      <c r="A45" s="620" t="s">
        <v>2931</v>
      </c>
      <c r="B45" s="621"/>
      <c r="C45" s="622" t="e">
        <f>R45</f>
        <v>#DIV/0!</v>
      </c>
      <c r="D45" s="622"/>
      <c r="E45" s="622"/>
      <c r="F45" s="622"/>
      <c r="G45" s="622"/>
      <c r="H45" s="622"/>
      <c r="I45" s="622"/>
      <c r="J45" s="622"/>
      <c r="K45" s="1340"/>
      <c r="L45" s="2144"/>
      <c r="M45" s="2134"/>
      <c r="N45" s="2134"/>
      <c r="O45" s="2145"/>
      <c r="P45" s="3789" t="str">
        <f>A45</f>
        <v>估价对象XX用房的比较价格（楼面单价，元/平方米）</v>
      </c>
      <c r="Q45" s="3790"/>
      <c r="R45" s="3791" t="e">
        <f>ROUND(AVERAGE(R44:V44),0)</f>
        <v>#DIV/0!</v>
      </c>
      <c r="S45" s="3791"/>
      <c r="T45" s="3791"/>
      <c r="U45" s="3791"/>
      <c r="V45" s="3791"/>
      <c r="W45" s="379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3" customFormat="1" ht="13.5" customHeight="1">
      <c r="A50" s="2146"/>
      <c r="B50" s="2146"/>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3"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560</v>
      </c>
      <c r="B52" s="629" t="s">
        <v>561</v>
      </c>
      <c r="C52" s="1559" t="s">
        <v>1724</v>
      </c>
      <c r="D52" s="2227" t="s">
        <v>2292</v>
      </c>
      <c r="E52" s="630" t="s">
        <v>562</v>
      </c>
      <c r="F52" s="1951" t="s">
        <v>563</v>
      </c>
      <c r="G52" s="3835" t="s">
        <v>2283</v>
      </c>
      <c r="H52" s="3836"/>
      <c r="I52" s="1952" t="s">
        <v>1947</v>
      </c>
      <c r="J52" s="1554" t="str">
        <f>项目基本情况!F41</f>
        <v>江苏省南通市</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4" customFormat="1" ht="12.75">
      <c r="A53" s="632" t="s">
        <v>564</v>
      </c>
      <c r="B53" s="633" t="e">
        <f>C45</f>
        <v>#DIV/0!</v>
      </c>
      <c r="C53" s="634">
        <v>1</v>
      </c>
      <c r="D53" s="2228">
        <v>1</v>
      </c>
      <c r="E53" s="634">
        <f>'数据-汇总表'!E8+'数据-汇总表'!E9</f>
        <v>114432</v>
      </c>
      <c r="F53" s="1950" t="e">
        <f t="shared" ref="F53:F62" si="15">ROUND(B53*E53/10000,0)</f>
        <v>#DIV/0!</v>
      </c>
      <c r="G53" s="3837"/>
      <c r="H53" s="383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4" customFormat="1" ht="12.75">
      <c r="A54" s="636" t="s">
        <v>565</v>
      </c>
      <c r="B54" s="637" t="e">
        <f>ROUND($C$45*C54*D54,0)</f>
        <v>#DIV/0!</v>
      </c>
      <c r="C54" s="377">
        <f t="shared" ref="C54:C62" si="16">IF($C$52="北京市系数",I54,J54)</f>
        <v>0</v>
      </c>
      <c r="D54" s="2229">
        <v>0.25</v>
      </c>
      <c r="E54" s="638"/>
      <c r="F54" s="1950" t="e">
        <f t="shared" si="15"/>
        <v>#DIV/0!</v>
      </c>
      <c r="G54" s="3839" t="s">
        <v>2284</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4" customFormat="1" ht="12.75">
      <c r="A55" s="636" t="s">
        <v>566</v>
      </c>
      <c r="B55" s="637" t="e">
        <f t="shared" ref="B55:B62" si="17">ROUND($C$45*C55*D55,0)</f>
        <v>#DIV/0!</v>
      </c>
      <c r="C55" s="377">
        <f t="shared" si="16"/>
        <v>0</v>
      </c>
      <c r="D55" s="2229">
        <v>0.25</v>
      </c>
      <c r="E55" s="638"/>
      <c r="F55" s="1950" t="e">
        <f t="shared" si="15"/>
        <v>#DIV/0!</v>
      </c>
      <c r="G55" s="383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4" customFormat="1" ht="12.75">
      <c r="A56" s="636" t="s">
        <v>567</v>
      </c>
      <c r="B56" s="637" t="e">
        <f t="shared" si="17"/>
        <v>#DIV/0!</v>
      </c>
      <c r="C56" s="377">
        <f t="shared" si="16"/>
        <v>0</v>
      </c>
      <c r="D56" s="2229">
        <v>0.25</v>
      </c>
      <c r="E56" s="638"/>
      <c r="F56" s="1950" t="e">
        <f t="shared" si="15"/>
        <v>#DIV/0!</v>
      </c>
      <c r="G56" s="383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4" customFormat="1" ht="12.75">
      <c r="A57" s="636" t="s">
        <v>568</v>
      </c>
      <c r="B57" s="637" t="e">
        <f t="shared" si="17"/>
        <v>#DIV/0!</v>
      </c>
      <c r="C57" s="377">
        <f t="shared" si="16"/>
        <v>0</v>
      </c>
      <c r="D57" s="2229">
        <v>0.25</v>
      </c>
      <c r="E57" s="638"/>
      <c r="F57" s="1950" t="e">
        <f t="shared" si="15"/>
        <v>#DIV/0!</v>
      </c>
      <c r="G57" s="383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4" customFormat="1" ht="12.75">
      <c r="A58" s="2331" t="s">
        <v>2325</v>
      </c>
      <c r="B58" s="637" t="e">
        <f t="shared" si="17"/>
        <v>#DIV/0!</v>
      </c>
      <c r="C58" s="377">
        <f t="shared" si="16"/>
        <v>0</v>
      </c>
      <c r="D58" s="2229">
        <v>0.25</v>
      </c>
      <c r="E58" s="640">
        <f>'数据-汇总表'!E11</f>
        <v>0</v>
      </c>
      <c r="F58" s="1950" t="e">
        <f t="shared" si="15"/>
        <v>#DIV/0!</v>
      </c>
      <c r="G58" s="1956" t="s">
        <v>2285</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4" customFormat="1" ht="12.75">
      <c r="A59" s="636" t="s">
        <v>569</v>
      </c>
      <c r="B59" s="637" t="e">
        <f t="shared" si="17"/>
        <v>#DIV/0!</v>
      </c>
      <c r="C59" s="377">
        <f t="shared" si="16"/>
        <v>0</v>
      </c>
      <c r="D59" s="2229">
        <v>0.25</v>
      </c>
      <c r="E59" s="640">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4" customFormat="1" ht="12.75">
      <c r="A60" s="636" t="s">
        <v>570</v>
      </c>
      <c r="B60" s="637" t="e">
        <f t="shared" si="17"/>
        <v>#DIV/0!</v>
      </c>
      <c r="C60" s="377">
        <f t="shared" si="16"/>
        <v>0</v>
      </c>
      <c r="D60" s="2229">
        <v>0.25</v>
      </c>
      <c r="E60" s="640">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4" customFormat="1" ht="12.75">
      <c r="A61" s="636" t="s">
        <v>571</v>
      </c>
      <c r="B61" s="637" t="e">
        <f t="shared" si="17"/>
        <v>#DIV/0!</v>
      </c>
      <c r="C61" s="377">
        <f t="shared" si="16"/>
        <v>0</v>
      </c>
      <c r="D61" s="2229">
        <v>0.25</v>
      </c>
      <c r="E61" s="640">
        <f>'数据-汇总表'!E14</f>
        <v>0</v>
      </c>
      <c r="F61" s="1950" t="e">
        <f t="shared" si="15"/>
        <v>#DIV/0!</v>
      </c>
      <c r="G61" s="1956" t="s">
        <v>2284</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4" customFormat="1" ht="13.5" thickBot="1">
      <c r="A62" s="636" t="s">
        <v>572</v>
      </c>
      <c r="B62" s="637" t="e">
        <f t="shared" si="17"/>
        <v>#DIV/0!</v>
      </c>
      <c r="C62" s="377">
        <f t="shared" si="16"/>
        <v>0</v>
      </c>
      <c r="D62" s="2229">
        <v>0.25</v>
      </c>
      <c r="E62" s="640">
        <f>'数据-汇总表'!E15</f>
        <v>0</v>
      </c>
      <c r="F62" s="1950" t="e">
        <f t="shared" si="15"/>
        <v>#DIV/0!</v>
      </c>
      <c r="G62" s="1957" t="s">
        <v>2285</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4" customFormat="1" ht="13.5" thickBot="1">
      <c r="A63" s="641" t="s">
        <v>573</v>
      </c>
      <c r="B63" s="642" t="s">
        <v>17</v>
      </c>
      <c r="C63" s="642" t="s">
        <v>18</v>
      </c>
      <c r="D63" s="642" t="s">
        <v>2293</v>
      </c>
      <c r="E63" s="642">
        <f>IF(B43="楼面地价",SUM(E53:E62),'数据-汇总表'!D3)</f>
        <v>38144</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4" t="str">
        <f>YEAR(C9)&amp;"-"&amp;MONTH(C9)&amp;"-1"</f>
        <v>2018-12-1</v>
      </c>
      <c r="D65" s="2823">
        <f>EDATE(C65,-3)</f>
        <v>43344</v>
      </c>
      <c r="E65" s="2823">
        <f t="shared" ref="E65:N65" si="18">EDATE(D65,-3)</f>
        <v>43252</v>
      </c>
      <c r="F65" s="2823">
        <f t="shared" si="18"/>
        <v>43160</v>
      </c>
      <c r="G65" s="2823">
        <f t="shared" si="18"/>
        <v>43070</v>
      </c>
      <c r="H65" s="2823">
        <f t="shared" si="18"/>
        <v>42979</v>
      </c>
      <c r="I65" s="2823">
        <f t="shared" si="18"/>
        <v>42887</v>
      </c>
      <c r="J65" s="2823">
        <f t="shared" si="18"/>
        <v>42795</v>
      </c>
      <c r="K65" s="2823">
        <f t="shared" si="18"/>
        <v>42705</v>
      </c>
      <c r="L65" s="2823">
        <f t="shared" si="18"/>
        <v>42614</v>
      </c>
      <c r="M65" s="2823">
        <f t="shared" si="18"/>
        <v>42522</v>
      </c>
      <c r="N65" s="2823">
        <f t="shared" si="18"/>
        <v>42430</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5" customFormat="1" ht="15">
      <c r="A67" s="2592" t="s">
        <v>2531</v>
      </c>
      <c r="B67" s="645"/>
      <c r="C67" s="2818" t="str">
        <f>YEAR(C65)&amp;"-"&amp;ROUNDUP(MONTH(C65)/3,0)</f>
        <v>2018-4</v>
      </c>
      <c r="D67" s="2825" t="str">
        <f t="shared" ref="D67:N67" si="19">YEAR(D65)&amp;"-"&amp;ROUNDUP(MONTH(D65)/3,0)</f>
        <v>2018-3</v>
      </c>
      <c r="E67" s="2825" t="str">
        <f t="shared" si="19"/>
        <v>2018-2</v>
      </c>
      <c r="F67" s="2825" t="str">
        <f t="shared" si="19"/>
        <v>2018-1</v>
      </c>
      <c r="G67" s="2825" t="str">
        <f t="shared" si="19"/>
        <v>2017-4</v>
      </c>
      <c r="H67" s="2825" t="str">
        <f t="shared" si="19"/>
        <v>2017-3</v>
      </c>
      <c r="I67" s="2825" t="str">
        <f t="shared" si="19"/>
        <v>2017-2</v>
      </c>
      <c r="J67" s="2825" t="str">
        <f t="shared" si="19"/>
        <v>2017-1</v>
      </c>
      <c r="K67" s="2825" t="str">
        <f t="shared" si="19"/>
        <v>2016-4</v>
      </c>
      <c r="L67" s="2825" t="str">
        <f t="shared" si="19"/>
        <v>2016-3</v>
      </c>
      <c r="M67" s="2825" t="str">
        <f t="shared" si="19"/>
        <v>2016-2</v>
      </c>
      <c r="N67" s="2825" t="str">
        <f t="shared" si="19"/>
        <v>2016-1</v>
      </c>
      <c r="O67" s="2159"/>
      <c r="P67" s="2160"/>
      <c r="Q67" s="2161"/>
      <c r="R67" s="2161"/>
      <c r="S67" s="2161"/>
      <c r="T67" s="2161"/>
      <c r="U67" s="2161"/>
      <c r="V67" s="2161"/>
      <c r="W67" s="2161"/>
      <c r="X67" s="2161"/>
      <c r="Y67" s="2161"/>
      <c r="Z67" s="2161"/>
      <c r="AA67" s="2161"/>
      <c r="AB67" s="2161"/>
      <c r="AC67" s="2161"/>
    </row>
    <row r="68" spans="1:29" s="1218" customFormat="1" ht="27.75" customHeight="1">
      <c r="A68" s="2822" t="s">
        <v>2647</v>
      </c>
      <c r="B68" s="478" t="str">
        <f>"北京市平均增长率"&amp;TEXT(基准地价!P24,"0.00%")</f>
        <v>北京市平均增长率0.00%</v>
      </c>
      <c r="C68" s="892">
        <v>100</v>
      </c>
      <c r="D68" s="729"/>
      <c r="E68" s="729"/>
      <c r="F68" s="729"/>
      <c r="G68" s="729"/>
      <c r="H68" s="729"/>
      <c r="I68" s="729"/>
      <c r="J68" s="729"/>
      <c r="K68" s="729"/>
      <c r="L68" s="729"/>
      <c r="M68" s="2816"/>
      <c r="N68" s="2817"/>
      <c r="O68" s="2162"/>
      <c r="P68" s="2158"/>
      <c r="Q68" s="1993"/>
      <c r="R68" s="1993"/>
      <c r="S68" s="1993"/>
      <c r="T68" s="1993"/>
      <c r="U68" s="1993"/>
      <c r="V68" s="1993"/>
      <c r="W68" s="1993"/>
      <c r="X68" s="1993"/>
      <c r="Y68" s="1993"/>
      <c r="Z68" s="1993"/>
      <c r="AA68" s="1993"/>
      <c r="AB68" s="1993"/>
      <c r="AC68" s="1993"/>
    </row>
    <row r="69" spans="1:29" s="1218" customFormat="1" ht="15.75" thickBot="1">
      <c r="A69" s="652" t="s">
        <v>575</v>
      </c>
      <c r="B69" s="653"/>
      <c r="C69" s="2814"/>
      <c r="D69" s="2815"/>
      <c r="E69" s="2815"/>
      <c r="F69" s="2815"/>
      <c r="G69" s="2815"/>
      <c r="H69" s="2815"/>
      <c r="I69" s="2815"/>
      <c r="J69" s="2815"/>
      <c r="K69" s="2815"/>
      <c r="L69" s="2815"/>
      <c r="M69" s="2815"/>
      <c r="N69" s="2815"/>
      <c r="O69" s="2162"/>
      <c r="P69" s="2158"/>
      <c r="Q69" s="2158"/>
      <c r="R69" s="1993"/>
      <c r="S69" s="1993"/>
      <c r="T69" s="1993"/>
      <c r="U69" s="1993"/>
      <c r="V69" s="1993"/>
      <c r="W69" s="1993"/>
      <c r="X69" s="1993"/>
      <c r="Y69" s="1993"/>
      <c r="Z69" s="1993"/>
      <c r="AA69" s="1993"/>
      <c r="AB69" s="1993"/>
      <c r="AC69" s="1993"/>
    </row>
    <row r="70" spans="1:29" s="1218" customFormat="1" ht="15">
      <c r="A70" s="658" t="s">
        <v>531</v>
      </c>
      <c r="B70" s="647"/>
      <c r="C70" s="659" t="s">
        <v>576</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8"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577</v>
      </c>
      <c r="B72" s="664" t="s">
        <v>534</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537</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7"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7"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7"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7"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7"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7"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539</v>
      </c>
      <c r="B85" s="664" t="s">
        <v>602</v>
      </c>
      <c r="C85" s="702" t="s">
        <v>579</v>
      </c>
      <c r="D85" s="702" t="s">
        <v>580</v>
      </c>
      <c r="E85" s="702" t="s">
        <v>581</v>
      </c>
      <c r="F85" s="702" t="s">
        <v>582</v>
      </c>
      <c r="G85" s="702" t="s">
        <v>583</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586</v>
      </c>
      <c r="C87" s="707" t="s">
        <v>579</v>
      </c>
      <c r="D87" s="707" t="s">
        <v>580</v>
      </c>
      <c r="E87" s="707" t="s">
        <v>581</v>
      </c>
      <c r="F87" s="707" t="s">
        <v>582</v>
      </c>
      <c r="G87" s="707" t="s">
        <v>583</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8" customFormat="1" ht="27.75" thickTop="1">
      <c r="A89" s="708"/>
      <c r="B89" s="672" t="s">
        <v>587</v>
      </c>
      <c r="C89" s="707" t="s">
        <v>579</v>
      </c>
      <c r="D89" s="707" t="s">
        <v>580</v>
      </c>
      <c r="E89" s="707" t="s">
        <v>581</v>
      </c>
      <c r="F89" s="707" t="s">
        <v>582</v>
      </c>
      <c r="G89" s="707" t="s">
        <v>583</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8" customFormat="1" ht="27.75" thickTop="1">
      <c r="A91" s="708"/>
      <c r="B91" s="672" t="s">
        <v>588</v>
      </c>
      <c r="C91" s="702" t="s">
        <v>579</v>
      </c>
      <c r="D91" s="702" t="s">
        <v>580</v>
      </c>
      <c r="E91" s="702" t="s">
        <v>581</v>
      </c>
      <c r="F91" s="702" t="s">
        <v>582</v>
      </c>
      <c r="G91" s="702" t="s">
        <v>583</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7" customFormat="1" ht="15.75" thickTop="1">
      <c r="A93" s="686"/>
      <c r="B93" s="1896" t="s">
        <v>2546</v>
      </c>
      <c r="C93" s="702" t="s">
        <v>579</v>
      </c>
      <c r="D93" s="702" t="s">
        <v>580</v>
      </c>
      <c r="E93" s="702" t="s">
        <v>581</v>
      </c>
      <c r="F93" s="702" t="s">
        <v>582</v>
      </c>
      <c r="G93" s="702" t="s">
        <v>583</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7" customFormat="1" ht="15.75" thickTop="1">
      <c r="A95" s="686"/>
      <c r="B95" s="2621" t="s">
        <v>2548</v>
      </c>
      <c r="C95" s="2622" t="s">
        <v>2549</v>
      </c>
      <c r="D95" s="2622" t="s">
        <v>2550</v>
      </c>
      <c r="E95" s="2622" t="s">
        <v>2551</v>
      </c>
      <c r="F95" s="2622" t="s">
        <v>2552</v>
      </c>
      <c r="G95" s="2622" t="s">
        <v>2553</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589</v>
      </c>
      <c r="D97" s="673" t="s">
        <v>590</v>
      </c>
      <c r="E97" s="673" t="s">
        <v>591</v>
      </c>
      <c r="F97" s="673" t="s">
        <v>592</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548</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549</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7"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7"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594</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7" customFormat="1" ht="15" thickTop="1">
      <c r="A114" s="727"/>
      <c r="B114" s="1896" t="s">
        <v>2423</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596</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7"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7"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N118"/>
  <sheetViews>
    <sheetView zoomScale="80" zoomScaleNormal="80" zoomScalePageLayoutView="80" workbookViewId="0">
      <selection activeCell="I47" sqref="I47"/>
    </sheetView>
  </sheetViews>
  <sheetFormatPr defaultColWidth="12" defaultRowHeight="12"/>
  <cols>
    <col min="1" max="1" width="9.625" style="1403" customWidth="1"/>
    <col min="2" max="2" width="19.125" style="1527" customWidth="1"/>
    <col min="3" max="4" width="12" style="1404"/>
    <col min="5" max="5" width="14.625" style="1404" customWidth="1"/>
    <col min="6" max="8" width="12" style="1404"/>
    <col min="9" max="9" width="12.1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2424</v>
      </c>
      <c r="D1" s="1520">
        <f>SUM(D29:D30,D33:D39)</f>
        <v>0</v>
      </c>
      <c r="E1" s="1405" t="s">
        <v>2425</v>
      </c>
      <c r="F1" s="2476"/>
      <c r="G1" s="1400"/>
      <c r="H1" s="1400"/>
      <c r="I1" s="1400"/>
      <c r="J1" s="1400"/>
      <c r="K1" s="1400"/>
      <c r="L1" s="1882" t="s">
        <v>2237</v>
      </c>
      <c r="M1" s="1883">
        <f>SUMPRODUCT((区片价!B5:B9=I2)*(区片价!C3:F3=E2)*(区片价!C5:F9))</f>
        <v>0</v>
      </c>
      <c r="N1" s="1884">
        <f>SUMPRODUCT((因素修正幅度!B5:B9=I2)*(因素修正幅度!C3:F3=E2)*(因素修正幅度!C5:F9))</f>
        <v>0</v>
      </c>
      <c r="O1" s="2189"/>
      <c r="P1" s="2189"/>
      <c r="Q1" s="2189"/>
      <c r="R1" s="2960" t="s">
        <v>2760</v>
      </c>
      <c r="S1" s="2960" t="s">
        <v>2761</v>
      </c>
      <c r="T1" s="2960" t="s">
        <v>2782</v>
      </c>
      <c r="U1" s="2960" t="s">
        <v>2783</v>
      </c>
      <c r="V1" s="2960" t="s">
        <v>2784</v>
      </c>
      <c r="W1" s="2189"/>
      <c r="X1" s="2189"/>
      <c r="Y1" s="2189"/>
      <c r="Z1" s="2189"/>
      <c r="AA1" s="2189"/>
      <c r="AB1" s="2189"/>
      <c r="AC1" s="2190"/>
    </row>
    <row r="2" spans="1:39" ht="15.75">
      <c r="A2" s="1405" t="s">
        <v>919</v>
      </c>
      <c r="B2" s="1036"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2238</v>
      </c>
      <c r="M2" s="1886">
        <f>SUMPRODUCT((区片价!B10:B28=I2)*(区片价!C3:F3=E2)*(区片价!C10:F28))</f>
        <v>0</v>
      </c>
      <c r="N2" s="1887">
        <f>SUMPRODUCT((因素修正幅度!B10:B28=I2)*(因素修正幅度!C3:F3=E2)*(因素修正幅度!C10:F28))</f>
        <v>0</v>
      </c>
      <c r="O2" s="2189"/>
      <c r="P2" s="2189"/>
      <c r="Q2" s="2189"/>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9"/>
      <c r="X2" s="2189"/>
      <c r="Y2" s="2189"/>
      <c r="Z2" s="2189"/>
      <c r="AA2" s="2189"/>
      <c r="AB2" s="2189"/>
      <c r="AC2" s="2190"/>
    </row>
    <row r="3" spans="1:39" ht="15.75">
      <c r="A3" s="1410" t="s">
        <v>1687</v>
      </c>
      <c r="B3" s="1036" t="e">
        <f>ROUND(B2*10000/D1,0)</f>
        <v>#DIV/0!</v>
      </c>
      <c r="C3" s="1406" t="s">
        <v>926</v>
      </c>
      <c r="D3" s="1407" t="s">
        <v>927</v>
      </c>
      <c r="E3" s="1411"/>
      <c r="F3" s="1412" t="s">
        <v>2932</v>
      </c>
      <c r="G3" s="1037">
        <f>IF(F3="宗地容积率",'数据-汇总表'!I4,IF(F3="估价对象容积率",'数据-汇总表'!I6,'数据-汇总表'!I7))</f>
        <v>3</v>
      </c>
      <c r="H3" s="1413" t="s">
        <v>928</v>
      </c>
      <c r="I3" s="1038">
        <v>8</v>
      </c>
      <c r="J3" s="1409" t="s">
        <v>929</v>
      </c>
      <c r="K3" s="1400"/>
      <c r="L3" s="1885" t="s">
        <v>2239</v>
      </c>
      <c r="M3" s="1886">
        <f>SUMPRODUCT((区片价!B29:B48=I2)*(区片价!C3:F3=E2)*(区片价!C29:F48))</f>
        <v>0</v>
      </c>
      <c r="N3" s="1887">
        <f>SUMPRODUCT((因素修正幅度!B29:B48=I2)*(因素修正幅度!C3:F3=E2)*(因素修正幅度!C29:F48))</f>
        <v>0</v>
      </c>
      <c r="O3" s="2189"/>
      <c r="P3" s="2189"/>
      <c r="Q3" s="2189"/>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0"/>
      <c r="L4" s="1885" t="s">
        <v>2240</v>
      </c>
      <c r="M4" s="1886">
        <f>SUMPRODUCT((区片价!B49:B75=I2)*(区片价!C3:F3=E2)*(区片价!C49:F75))</f>
        <v>0</v>
      </c>
      <c r="N4" s="1887">
        <f>SUMPRODUCT((因素修正幅度!B49:B75=I2)*(因素修正幅度!C3:F3=E2)*(因素修正幅度!C49:F75))</f>
        <v>0</v>
      </c>
      <c r="O4" s="2189"/>
      <c r="P4" s="2189"/>
      <c r="Q4" s="2189"/>
      <c r="R4" s="2961">
        <v>3</v>
      </c>
      <c r="S4" s="2961">
        <f>ROUND(IF(G3&gt;1,IF(R4&lt;7,SUMPRODUCT((B93:B98=R4)*(C92:N92=G2)*(C93:N98)),SUMIF(C92:N92,G2,C100:N100)),IF(R4&lt;7,SUMPRODUCT((B102:B107=R4)*(C92:N92=G2)*(C102:N107)),SUMIF(C92:N92,G2,C109:N109))),4)</f>
        <v>0</v>
      </c>
      <c r="T4" s="2961" t="e">
        <f t="shared" si="0"/>
        <v>#DIV/0!</v>
      </c>
      <c r="U4" s="2950"/>
      <c r="V4" s="2961" t="e">
        <f t="shared" si="1"/>
        <v>#DIV/0!</v>
      </c>
      <c r="W4" s="2189"/>
      <c r="X4" s="2189"/>
      <c r="Y4" s="2189"/>
      <c r="Z4" s="2189"/>
      <c r="AA4" s="2189"/>
      <c r="AB4" s="2189"/>
      <c r="AC4" s="2190"/>
    </row>
    <row r="5" spans="1:39" s="1420" customFormat="1" ht="15.75" thickBot="1">
      <c r="A5" s="1637" t="s">
        <v>1823</v>
      </c>
      <c r="B5" s="1414" t="s">
        <v>930</v>
      </c>
      <c r="C5" s="1039" t="e">
        <f>ROUND(IF(E2="商业",IF(F16="增加",C6*C7+C16,C6*C7-C16),IF(E2="住宅",IF(F16="增加",C6*C12+C16,C6*C12-C16),IF(F16="增加",C6+C16,C6-C16))),0)</f>
        <v>#DIV/0!</v>
      </c>
      <c r="D5" s="3149">
        <f>ROUND(IF(E2="商业",IF(F16="增加",C6+C16,C6-C16)),0)</f>
        <v>0</v>
      </c>
      <c r="E5" s="1415"/>
      <c r="F5" s="1415"/>
      <c r="G5" s="1416"/>
      <c r="H5" s="1416"/>
      <c r="I5" s="1416"/>
      <c r="J5" s="1417"/>
      <c r="K5" s="1593"/>
      <c r="L5" s="1885" t="s">
        <v>2241</v>
      </c>
      <c r="M5" s="1886">
        <f>SUMPRODUCT((区片价!B76:B109=I2)*(区片价!C3:F3=E2)*(区片价!C76:F109))</f>
        <v>0</v>
      </c>
      <c r="N5" s="1887">
        <f>SUMPRODUCT((因素修正幅度!B76:B109=I2)*(因素修正幅度!C3:F3=E2)*(因素修正幅度!C76:F109))</f>
        <v>0</v>
      </c>
      <c r="O5" s="2189"/>
      <c r="P5" s="2189"/>
      <c r="Q5" s="2189"/>
      <c r="R5" s="2961">
        <v>4</v>
      </c>
      <c r="S5" s="2961">
        <f>ROUND(IF(G3&gt;1,IF(R5&lt;7,SUMPRODUCT((B93:B98=R5)*(C92:N92=G2)*(C93:N98)),SUMIF(C92:N92,G2,C100:N100)),IF(R5&lt;7,SUMPRODUCT((B102:B107=R5)*(C92:N92=G2)*(C102:N107)),SUMIF(C92:N92,G2,C109:N109))),4)</f>
        <v>0</v>
      </c>
      <c r="T5" s="2961" t="e">
        <f t="shared" si="0"/>
        <v>#DIV/0!</v>
      </c>
      <c r="U5" s="2950"/>
      <c r="V5" s="2961"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0">
        <f>SUMIF(L1:L12,基准地价!G2,M1:M12)</f>
        <v>0</v>
      </c>
      <c r="D6" s="1422" t="s">
        <v>1695</v>
      </c>
      <c r="E6" s="1423"/>
      <c r="F6" s="1423"/>
      <c r="G6" s="1424"/>
      <c r="H6" s="1424"/>
      <c r="I6" s="1424"/>
      <c r="J6" s="1425"/>
      <c r="K6" s="1594"/>
      <c r="L6" s="1885" t="s">
        <v>2242</v>
      </c>
      <c r="M6" s="1886">
        <f>SUMPRODUCT((区片价!B110:B157=I2)*(区片价!C3:F3=E2)*(区片价!C110:F157))</f>
        <v>0</v>
      </c>
      <c r="N6" s="1887">
        <f>SUMPRODUCT((因素修正幅度!B110:B157=I2)*(因素修正幅度!C3:F3=E2)*(因素修正幅度!C110:F157))</f>
        <v>0</v>
      </c>
      <c r="O6" s="2189"/>
      <c r="P6" s="2189"/>
      <c r="Q6" s="2189"/>
      <c r="R6" s="2961">
        <v>5</v>
      </c>
      <c r="S6" s="2961">
        <f>ROUND(IF(G3&gt;1,IF(R6&lt;7,SUMPRODUCT((B93:B98=R6)*(C92:N92=G2)*(C93:N98)),SUMIF(C92:N92,G2,C100:N100)),IF(R6&lt;7,SUMPRODUCT((B102:B107=R6)*(C92:N92=G2)*(C102:N107)),SUMIF(C92:N92,G2,C109:N109))),4)</f>
        <v>0</v>
      </c>
      <c r="T6" s="2961" t="e">
        <f t="shared" si="0"/>
        <v>#DIV/0!</v>
      </c>
      <c r="U6" s="2950"/>
      <c r="V6" s="2961" t="e">
        <f t="shared" si="1"/>
        <v>#DIV/0!</v>
      </c>
      <c r="W6" s="2189"/>
      <c r="X6" s="2189"/>
      <c r="Y6" s="2189"/>
      <c r="Z6" s="2189"/>
      <c r="AA6" s="2189"/>
      <c r="AB6" s="2189"/>
      <c r="AC6" s="2191"/>
      <c r="AD6" s="1418"/>
      <c r="AE6" s="1418"/>
      <c r="AF6" s="1418"/>
      <c r="AG6" s="1418"/>
      <c r="AH6" s="1418"/>
      <c r="AI6" s="1418"/>
      <c r="AJ6" s="1419"/>
    </row>
    <row r="7" spans="1:39" ht="24">
      <c r="A7" s="3847" t="str">
        <f>IF(E2="商业",IF(C8="不临58条商业街","",2),"")</f>
        <v/>
      </c>
      <c r="B7" s="1426" t="s">
        <v>931</v>
      </c>
      <c r="C7" s="1041" t="e">
        <f>IF(C8="不临58条商业街",1,ROUND(1+(1.6*E8+1.2*E9+0.8*E10+0.4*E11)*C9,4))</f>
        <v>#DIV/0!</v>
      </c>
      <c r="D7" s="1427" t="s">
        <v>932</v>
      </c>
      <c r="E7" s="1042"/>
      <c r="F7" s="1428"/>
      <c r="G7" s="1429"/>
      <c r="H7" s="1429"/>
      <c r="I7" s="1429"/>
      <c r="J7" s="1430"/>
      <c r="K7" s="1594"/>
      <c r="L7" s="1885" t="s">
        <v>2243</v>
      </c>
      <c r="M7" s="1886">
        <f>SUMPRODUCT((区片价!B158:B205=I2)*(区片价!C3:F3=E2)*(区片价!C158:F205))</f>
        <v>0</v>
      </c>
      <c r="N7" s="1887">
        <f>SUMPRODUCT((因素修正幅度!B158:B205=I2)*(因素修正幅度!C3:F3=E2)*(因素修正幅度!C158:F205))</f>
        <v>0</v>
      </c>
      <c r="O7" s="2189"/>
      <c r="P7" s="2189"/>
      <c r="Q7" s="2189"/>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2763</v>
      </c>
      <c r="X7" s="2951">
        <f>G2</f>
        <v>0</v>
      </c>
      <c r="Y7" s="2951" t="s">
        <v>2764</v>
      </c>
      <c r="Z7" s="2952">
        <f>G3</f>
        <v>3</v>
      </c>
      <c r="AA7" s="2192"/>
      <c r="AB7" s="2192"/>
      <c r="AC7" s="2193"/>
      <c r="AD7" s="2953"/>
      <c r="AE7" s="2953"/>
      <c r="AF7" s="2953"/>
      <c r="AG7" s="2953"/>
      <c r="AH7" s="2953"/>
      <c r="AI7" s="2953"/>
      <c r="AJ7" s="2954"/>
    </row>
    <row r="8" spans="1:39" ht="15">
      <c r="A8" s="3848"/>
      <c r="B8" s="1413" t="s">
        <v>933</v>
      </c>
      <c r="C8" s="1528"/>
      <c r="D8" s="1043" t="s">
        <v>934</v>
      </c>
      <c r="E8" s="1044" t="e">
        <f>ROUND(C11/E7,4)</f>
        <v>#DIV/0!</v>
      </c>
      <c r="F8" s="1431" t="s">
        <v>935</v>
      </c>
      <c r="G8" s="1432"/>
      <c r="H8" s="1432"/>
      <c r="I8" s="1432"/>
      <c r="J8" s="1433"/>
      <c r="K8" s="1400"/>
      <c r="L8" s="1885" t="s">
        <v>2244</v>
      </c>
      <c r="M8" s="1886">
        <f>SUMPRODUCT((区片价!B206:B244=I2)*(区片价!C3:F3=E2)*(区片价!C206:F244))</f>
        <v>0</v>
      </c>
      <c r="N8" s="1887">
        <f>SUMPRODUCT((因素修正幅度!B206:B244=I2)*(因素修正幅度!C3:F3=E2)*(因素修正幅度!C206:F244))</f>
        <v>0</v>
      </c>
      <c r="O8" s="2189"/>
      <c r="P8" s="2189"/>
      <c r="Q8" s="2189"/>
      <c r="R8" s="2961">
        <v>7</v>
      </c>
      <c r="S8" s="2950"/>
      <c r="T8" s="2961" t="e">
        <f t="shared" si="0"/>
        <v>#DIV/0!</v>
      </c>
      <c r="U8" s="2950"/>
      <c r="V8" s="2961" t="e">
        <f t="shared" si="1"/>
        <v>#DIV/0!</v>
      </c>
      <c r="W8" s="3857" t="s">
        <v>2781</v>
      </c>
      <c r="X8" s="3858"/>
      <c r="Y8" s="1849" t="s">
        <v>2765</v>
      </c>
      <c r="Z8" s="1849" t="s">
        <v>2766</v>
      </c>
      <c r="AA8" s="1849" t="s">
        <v>2767</v>
      </c>
      <c r="AB8" s="1849" t="s">
        <v>2768</v>
      </c>
      <c r="AC8" s="1849" t="s">
        <v>2769</v>
      </c>
      <c r="AD8" s="1849" t="s">
        <v>2770</v>
      </c>
      <c r="AE8" s="1849" t="s">
        <v>2771</v>
      </c>
      <c r="AF8" s="1849" t="s">
        <v>2772</v>
      </c>
      <c r="AG8" s="1849" t="s">
        <v>2773</v>
      </c>
      <c r="AH8" s="1849" t="s">
        <v>2774</v>
      </c>
      <c r="AI8" s="1849" t="s">
        <v>2775</v>
      </c>
      <c r="AJ8" s="1849" t="s">
        <v>2776</v>
      </c>
    </row>
    <row r="9" spans="1:39" ht="15">
      <c r="A9" s="3848"/>
      <c r="B9" s="1413" t="s">
        <v>936</v>
      </c>
      <c r="C9" s="1045">
        <f>SUMIF(修正!C59:C119,C8,修正!E59:E119)</f>
        <v>0</v>
      </c>
      <c r="D9" s="1046" t="s">
        <v>937</v>
      </c>
      <c r="E9" s="1046" t="e">
        <f>ROUND(C11/E7,4)</f>
        <v>#DIV/0!</v>
      </c>
      <c r="F9" s="1431" t="s">
        <v>938</v>
      </c>
      <c r="G9" s="1432"/>
      <c r="H9" s="1432"/>
      <c r="I9" s="1432"/>
      <c r="J9" s="1433"/>
      <c r="K9" s="1400"/>
      <c r="L9" s="1885" t="s">
        <v>2245</v>
      </c>
      <c r="M9" s="1886">
        <f>SUMPRODUCT((区片价!B245:B289=I2)*(区片价!C3:F3=E2)*(区片价!C245:F289))</f>
        <v>0</v>
      </c>
      <c r="N9" s="1887">
        <f>SUMPRODUCT((因素修正幅度!B245:B289=I2)*(因素修正幅度!C3:F3=E2)*(因素修正幅度!C245:F289))</f>
        <v>0</v>
      </c>
      <c r="O9" s="2189"/>
      <c r="P9" s="2189"/>
      <c r="Q9" s="2189"/>
      <c r="R9" s="2961">
        <v>8</v>
      </c>
      <c r="S9" s="2950"/>
      <c r="T9" s="2961" t="e">
        <f t="shared" si="0"/>
        <v>#DIV/0!</v>
      </c>
      <c r="U9" s="2950"/>
      <c r="V9" s="2961" t="e">
        <f t="shared" si="1"/>
        <v>#DIV/0!</v>
      </c>
      <c r="W9" s="3856" t="s">
        <v>2777</v>
      </c>
      <c r="X9" s="2955" t="s">
        <v>2778</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848"/>
      <c r="B10" s="1413" t="s">
        <v>939</v>
      </c>
      <c r="C10" s="1046">
        <f>SUMIF(修正!C59:C119,C8,修正!F59:F119)</f>
        <v>0</v>
      </c>
      <c r="D10" s="1046" t="s">
        <v>940</v>
      </c>
      <c r="E10" s="1046" t="e">
        <f>ROUND(C11/E7,4)</f>
        <v>#DIV/0!</v>
      </c>
      <c r="F10" s="1431" t="s">
        <v>941</v>
      </c>
      <c r="G10" s="1432"/>
      <c r="H10" s="1432"/>
      <c r="I10" s="1432"/>
      <c r="J10" s="1433"/>
      <c r="K10" s="1400"/>
      <c r="L10" s="1885" t="s">
        <v>2246</v>
      </c>
      <c r="M10" s="1886">
        <f>SUMPRODUCT((区片价!B290:B316=I2)*(区片价!C3:F3=E2)*(区片价!C290:F316))</f>
        <v>0</v>
      </c>
      <c r="N10" s="1887">
        <f>SUMPRODUCT((因素修正幅度!B290:B316=I2)*(因素修正幅度!C3:F3=E2)*(因素修正幅度!C290:F316))</f>
        <v>0</v>
      </c>
      <c r="O10" s="2189"/>
      <c r="P10" s="2189"/>
      <c r="Q10" s="2189"/>
      <c r="R10" s="2961">
        <v>9</v>
      </c>
      <c r="S10" s="2950"/>
      <c r="T10" s="2961" t="e">
        <f t="shared" si="0"/>
        <v>#DIV/0!</v>
      </c>
      <c r="U10" s="2950"/>
      <c r="V10" s="2961" t="e">
        <f t="shared" si="1"/>
        <v>#DIV/0!</v>
      </c>
      <c r="W10" s="385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848"/>
      <c r="B11" s="1434" t="s">
        <v>942</v>
      </c>
      <c r="C11" s="1047">
        <f>C10/4</f>
        <v>0</v>
      </c>
      <c r="D11" s="1047" t="s">
        <v>943</v>
      </c>
      <c r="E11" s="1047" t="e">
        <f>ROUND(C11/E7,4)</f>
        <v>#DIV/0!</v>
      </c>
      <c r="F11" s="1435" t="s">
        <v>944</v>
      </c>
      <c r="G11" s="1436"/>
      <c r="H11" s="1436"/>
      <c r="I11" s="1436"/>
      <c r="J11" s="1437"/>
      <c r="K11" s="1400"/>
      <c r="L11" s="1885" t="s">
        <v>2247</v>
      </c>
      <c r="M11" s="1886">
        <f>SUMPRODUCT((区片价!B317:B337=I2)*(区片价!C3:F3=E2)*(区片价!C317:F337))</f>
        <v>0</v>
      </c>
      <c r="N11" s="1887">
        <f>SUMPRODUCT((因素修正幅度!B317:B337=I2)*(因素修正幅度!C3:F3=E2)*(因素修正幅度!C317:F337))</f>
        <v>0</v>
      </c>
      <c r="O11" s="2189"/>
      <c r="P11" s="2189"/>
      <c r="Q11" s="2189"/>
      <c r="R11" s="2961">
        <v>10</v>
      </c>
      <c r="S11" s="2950"/>
      <c r="T11" s="2961" t="e">
        <f t="shared" si="0"/>
        <v>#DIV/0!</v>
      </c>
      <c r="U11" s="2950"/>
      <c r="V11" s="2961" t="e">
        <f t="shared" si="1"/>
        <v>#DIV/0!</v>
      </c>
      <c r="W11" s="3856" t="s">
        <v>2779</v>
      </c>
      <c r="X11" s="1046" t="s">
        <v>2764</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847" t="s">
        <v>1871</v>
      </c>
      <c r="B12" s="1438" t="s">
        <v>945</v>
      </c>
      <c r="C12" s="1041">
        <f>ROUND(C15*D15*E15*F15*G15*H15*I15*J15,4)</f>
        <v>1</v>
      </c>
      <c r="D12" s="1439" t="s">
        <v>946</v>
      </c>
      <c r="E12" s="1440"/>
      <c r="F12" s="1440"/>
      <c r="G12" s="1441"/>
      <c r="H12" s="1441"/>
      <c r="I12" s="1441"/>
      <c r="J12" s="1442"/>
      <c r="K12" s="1400"/>
      <c r="L12" s="1888" t="s">
        <v>2248</v>
      </c>
      <c r="M12" s="1889">
        <f>SUMPRODUCT((区片价!B338:B344=I2)*(区片价!C3:F3=E2)*(区片价!C338:F344))</f>
        <v>0</v>
      </c>
      <c r="N12" s="1890">
        <f>SUMPRODUCT((因素修正幅度!B338:B344=I2)*(因素修正幅度!C3:F3=E2)*(因素修正幅度!C338:F344))</f>
        <v>0</v>
      </c>
      <c r="O12" s="2189"/>
      <c r="P12" s="2189"/>
      <c r="Q12" s="2189"/>
      <c r="R12" s="2961">
        <v>11</v>
      </c>
      <c r="S12" s="2950"/>
      <c r="T12" s="2961" t="e">
        <f t="shared" si="0"/>
        <v>#DIV/0!</v>
      </c>
      <c r="U12" s="2950"/>
      <c r="V12" s="2961" t="e">
        <f t="shared" si="1"/>
        <v>#DIV/0!</v>
      </c>
      <c r="W12" s="3856"/>
      <c r="X12" s="2958" t="s">
        <v>2780</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849"/>
      <c r="B13" s="1443" t="s">
        <v>1696</v>
      </c>
      <c r="C13" s="1444" t="s">
        <v>1697</v>
      </c>
      <c r="D13" s="1087" t="s">
        <v>1698</v>
      </c>
      <c r="E13" s="1087" t="s">
        <v>1699</v>
      </c>
      <c r="F13" s="1445" t="s">
        <v>947</v>
      </c>
      <c r="G13" s="1446" t="s">
        <v>1642</v>
      </c>
      <c r="H13" s="1447" t="s">
        <v>1642</v>
      </c>
      <c r="I13" s="1448" t="s">
        <v>1642</v>
      </c>
      <c r="J13" s="1449" t="s">
        <v>1642</v>
      </c>
      <c r="K13" s="1400"/>
      <c r="L13" s="2189"/>
      <c r="M13" s="2189"/>
      <c r="N13" s="2189"/>
      <c r="O13" s="2189"/>
      <c r="P13" s="2189"/>
      <c r="Q13" s="2189"/>
      <c r="R13" s="2961">
        <v>12</v>
      </c>
      <c r="S13" s="2950"/>
      <c r="T13" s="2961" t="e">
        <f t="shared" si="0"/>
        <v>#DIV/0!</v>
      </c>
      <c r="U13" s="2950"/>
      <c r="V13" s="2961" t="e">
        <f t="shared" si="1"/>
        <v>#DIV/0!</v>
      </c>
      <c r="W13" s="3856"/>
      <c r="X13" s="2958"/>
      <c r="Y13" s="2957">
        <f>(-0.163*(Y12^2)-0.59*Y12+7617)*(10^(-4))/Y11</f>
        <v>0.25390000000000001</v>
      </c>
      <c r="Z13" s="2957">
        <f t="shared" ref="Z13:AJ13" si="5">(-0.163*(Z12^2)-0.59*Z12+7617)*(10^(-4))/Z11</f>
        <v>0.25390000000000001</v>
      </c>
      <c r="AA13" s="2957">
        <f t="shared" si="5"/>
        <v>0.25390000000000001</v>
      </c>
      <c r="AB13" s="2957">
        <f t="shared" si="5"/>
        <v>0.25390000000000001</v>
      </c>
      <c r="AC13" s="2957">
        <f t="shared" si="5"/>
        <v>0.25390000000000001</v>
      </c>
      <c r="AD13" s="2957">
        <f t="shared" si="5"/>
        <v>0.25390000000000001</v>
      </c>
      <c r="AE13" s="2957">
        <f t="shared" si="5"/>
        <v>0.25390000000000001</v>
      </c>
      <c r="AF13" s="2957">
        <f t="shared" si="5"/>
        <v>0.25390000000000001</v>
      </c>
      <c r="AG13" s="2957">
        <f t="shared" si="5"/>
        <v>0.25390000000000001</v>
      </c>
      <c r="AH13" s="2957">
        <f t="shared" si="5"/>
        <v>0.25390000000000001</v>
      </c>
      <c r="AI13" s="2957">
        <f t="shared" si="5"/>
        <v>0.25390000000000001</v>
      </c>
      <c r="AJ13" s="2957">
        <f t="shared" si="5"/>
        <v>0.25390000000000001</v>
      </c>
    </row>
    <row r="14" spans="1:39" ht="12.75" customHeight="1" thickBot="1">
      <c r="A14" s="3849"/>
      <c r="B14" s="1450"/>
      <c r="C14" s="1451"/>
      <c r="D14" s="1452"/>
      <c r="E14" s="1452"/>
      <c r="F14" s="1453"/>
      <c r="G14" s="1454" t="s">
        <v>948</v>
      </c>
      <c r="H14" s="1455"/>
      <c r="I14" s="1456"/>
      <c r="J14" s="1457"/>
      <c r="K14" s="1400"/>
      <c r="L14" s="2189"/>
      <c r="M14" s="2189"/>
      <c r="N14" s="2189"/>
      <c r="O14" s="2189"/>
      <c r="P14" s="2189"/>
      <c r="Q14" s="2189"/>
      <c r="R14" s="2961">
        <v>13</v>
      </c>
      <c r="S14" s="2950"/>
      <c r="T14" s="2961" t="e">
        <f t="shared" si="0"/>
        <v>#DIV/0!</v>
      </c>
      <c r="U14" s="2950"/>
      <c r="V14" s="2961" t="e">
        <f t="shared" si="1"/>
        <v>#DIV/0!</v>
      </c>
      <c r="W14" s="2189"/>
      <c r="X14" s="2189"/>
      <c r="Y14" s="2189"/>
      <c r="Z14" s="2189"/>
      <c r="AA14" s="2189"/>
      <c r="AB14" s="2189"/>
      <c r="AC14" s="2190"/>
    </row>
    <row r="15" spans="1:39" ht="13.5" customHeight="1" thickBot="1">
      <c r="A15" s="3850"/>
      <c r="B15" s="1458" t="s">
        <v>1700</v>
      </c>
      <c r="C15" s="1049">
        <f>IF(C14="有",1.1,1)</f>
        <v>1</v>
      </c>
      <c r="D15" s="1049">
        <f>IF(D14="有",1.1,1)</f>
        <v>1</v>
      </c>
      <c r="E15" s="1049">
        <f>IF(E14="有",1.1,1)</f>
        <v>1</v>
      </c>
      <c r="F15" s="1049">
        <f>IF(F14="500米范围内",1.2,IF(F14="500-1000米",1.1,1))</f>
        <v>1</v>
      </c>
      <c r="G15" s="1050">
        <v>1</v>
      </c>
      <c r="H15" s="1050">
        <v>1</v>
      </c>
      <c r="I15" s="1050">
        <v>1</v>
      </c>
      <c r="J15" s="1051">
        <v>1</v>
      </c>
      <c r="K15" s="1400"/>
      <c r="L15" s="1597" t="s">
        <v>897</v>
      </c>
      <c r="M15" s="1427" t="s">
        <v>983</v>
      </c>
      <c r="N15" s="1427" t="s">
        <v>984</v>
      </c>
      <c r="O15" s="1427" t="s">
        <v>901</v>
      </c>
      <c r="P15" s="1475" t="s">
        <v>985</v>
      </c>
      <c r="Q15" s="2189"/>
      <c r="R15" s="2961">
        <v>14</v>
      </c>
      <c r="S15" s="2950"/>
      <c r="T15" s="2961" t="e">
        <f t="shared" si="0"/>
        <v>#DIV/0!</v>
      </c>
      <c r="U15" s="2950"/>
      <c r="V15" s="2961" t="e">
        <f t="shared" si="1"/>
        <v>#DIV/0!</v>
      </c>
      <c r="W15" s="2189"/>
      <c r="X15" s="2189"/>
      <c r="Y15" s="2189"/>
      <c r="Z15" s="2189"/>
      <c r="AA15" s="2189"/>
      <c r="AB15" s="2189"/>
      <c r="AC15" s="2190"/>
    </row>
    <row r="16" spans="1:39" ht="24">
      <c r="A16" s="3847" t="s">
        <v>1838</v>
      </c>
      <c r="B16" s="1426" t="s">
        <v>949</v>
      </c>
      <c r="C16" s="1052" t="e">
        <f>ROUND(SUM(G17:J17)/C17,0)</f>
        <v>#DIV/0!</v>
      </c>
      <c r="D16" s="1459" t="s">
        <v>950</v>
      </c>
      <c r="E16" s="1460"/>
      <c r="F16" s="1461"/>
      <c r="G16" s="1462"/>
      <c r="H16" s="1462"/>
      <c r="I16" s="1462"/>
      <c r="J16" s="1462"/>
      <c r="K16" s="1400"/>
      <c r="L16" s="1463" t="s">
        <v>987</v>
      </c>
      <c r="M16" s="1045">
        <v>0.25</v>
      </c>
      <c r="N16" s="1045">
        <v>0.2</v>
      </c>
      <c r="O16" s="1045">
        <v>0.15</v>
      </c>
      <c r="P16" s="1538">
        <v>0.1</v>
      </c>
      <c r="Q16" s="2192"/>
      <c r="R16" s="2961">
        <v>15</v>
      </c>
      <c r="S16" s="2950"/>
      <c r="T16" s="2961" t="e">
        <f t="shared" si="0"/>
        <v>#DIV/0!</v>
      </c>
      <c r="U16" s="2950"/>
      <c r="V16" s="2961" t="e">
        <f t="shared" si="1"/>
        <v>#DIV/0!</v>
      </c>
      <c r="W16" s="2192"/>
      <c r="X16" s="2192"/>
      <c r="Y16" s="2192"/>
      <c r="Z16" s="2192"/>
      <c r="AA16" s="2192"/>
      <c r="AB16" s="2192"/>
      <c r="AC16" s="2193"/>
    </row>
    <row r="17" spans="1:40" ht="13.5" thickBot="1">
      <c r="A17" s="3848"/>
      <c r="B17" s="1464" t="s">
        <v>952</v>
      </c>
      <c r="C17" s="1053">
        <f>SUMPRODUCT((修正!A2:A5=E2)*(修正!B1:M1=G2)*(修正!B2:M5))</f>
        <v>0</v>
      </c>
      <c r="D17" s="1466" t="s">
        <v>953</v>
      </c>
      <c r="E17" s="1467" t="str">
        <f>IF(OR(G2="八级",G2="九级",G2="十级",G2="十一级",G2="十二级"),"五通一平","七通一平")</f>
        <v>七通一平</v>
      </c>
      <c r="F17" s="1465"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6" t="s">
        <v>955</v>
      </c>
      <c r="C18" s="2797">
        <f>SUMIF(修正!C18:C39,E3,修正!E18:E39)</f>
        <v>0</v>
      </c>
      <c r="D18" s="2798"/>
      <c r="E18" s="2799"/>
      <c r="F18" s="2800"/>
      <c r="G18" s="2794"/>
      <c r="H18" s="2794"/>
      <c r="I18" s="2794"/>
      <c r="J18" s="2801"/>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5" t="e">
        <f>ROUND(IF(H19="按公示增长率计算",SUMPRODUCT((地价!A3:A22=YEAR(G19)&amp;"-"&amp;ROUNDUP(MONTH(G19)/3,0))*(地价!X2:AB2=E2)*(地价!X3:AB22)),IF(H19="地价指数",M20/M19,(1+I19)^O19)),4)</f>
        <v>#DIV/0!</v>
      </c>
      <c r="D19" s="1473" t="s">
        <v>957</v>
      </c>
      <c r="E19" s="1056">
        <v>41640</v>
      </c>
      <c r="F19" s="1473" t="s">
        <v>958</v>
      </c>
      <c r="G19" s="1057">
        <f>'数据-取费表'!B2</f>
        <v>43438</v>
      </c>
      <c r="H19" s="1474" t="s">
        <v>2933</v>
      </c>
      <c r="I19" s="2808" t="str">
        <f>IF(H19="季度增幅（自定义）",SUMIF(N21:N24,E2,O21:O24),"")</f>
        <v/>
      </c>
      <c r="J19" s="1470"/>
      <c r="K19" s="1480"/>
      <c r="L19" s="3064" t="s">
        <v>2839</v>
      </c>
      <c r="M19" s="3065">
        <f>ROUND(SUMIF(地价!B2:F2,E2,地价!B22:F22),0)</f>
        <v>0</v>
      </c>
      <c r="N19" s="2810" t="s">
        <v>1676</v>
      </c>
      <c r="O19" s="2809">
        <f>ROUNDDOWN(DATEDIF(E19,G19,"M")/3,0)</f>
        <v>19</v>
      </c>
      <c r="P19" s="1595"/>
      <c r="R19" s="2949"/>
      <c r="S19" s="2949"/>
      <c r="T19" s="2949"/>
      <c r="U19" s="2949"/>
      <c r="V19" s="2949"/>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2" t="s">
        <v>1836</v>
      </c>
      <c r="B20" s="2803" t="s">
        <v>971</v>
      </c>
      <c r="C20" s="2804" t="e">
        <f>ROUND(POWER(1+G20,J20-I20)*(POWER(1+G20,I20)-1)/(POWER(1+G20,J20)-1),4)</f>
        <v>#DIV/0!</v>
      </c>
      <c r="D20" s="2805" t="s">
        <v>972</v>
      </c>
      <c r="E20" s="3120">
        <f ca="1">存贷款利率!I4/100</f>
        <v>4.3499999999999997E-2</v>
      </c>
      <c r="F20" s="2805" t="s">
        <v>973</v>
      </c>
      <c r="G20" s="2806">
        <f>SUMIF(M15:P15,E2,M17:P17)</f>
        <v>0</v>
      </c>
      <c r="H20" s="2805" t="s">
        <v>974</v>
      </c>
      <c r="I20" s="2795" t="e">
        <f>SUMIF('数据-取费表'!C6:C15,E2,'数据-取费表'!F6:F15)/COUNTIF('数据-取费表'!C6:C15,E2)</f>
        <v>#DIV/0!</v>
      </c>
      <c r="J20" s="2807">
        <f>IF(E2="住宅",70,IF(E2="商业",40,50))</f>
        <v>50</v>
      </c>
      <c r="K20" s="1480"/>
      <c r="L20" s="3066" t="s">
        <v>2840</v>
      </c>
      <c r="M20" s="3067">
        <f>ROUND(SUMPRODUCT((地价!A4:A22=YEAR(G19)&amp;"-"&amp;ROUNDUP(MONTH(G19)/3,0))*(地价!B2:F2=E2)*(地价!B4:F22)),0)</f>
        <v>0</v>
      </c>
      <c r="N20" s="2813" t="s">
        <v>2643</v>
      </c>
      <c r="O20" s="2811" t="s">
        <v>2642</v>
      </c>
      <c r="P20" s="2812" t="s">
        <v>2648</v>
      </c>
      <c r="R20" s="2949"/>
      <c r="S20" s="2949"/>
      <c r="T20" s="2949"/>
      <c r="U20" s="2949"/>
      <c r="V20" s="2949"/>
      <c r="W20" s="2195"/>
      <c r="X20" s="2195"/>
      <c r="Y20" s="2195"/>
      <c r="Z20" s="2195"/>
      <c r="AA20" s="2195"/>
      <c r="AB20" s="2195"/>
      <c r="AC20" s="2195"/>
      <c r="AD20" s="1471"/>
      <c r="AE20" s="1471"/>
      <c r="AF20" s="1471"/>
      <c r="AG20" s="1471"/>
      <c r="AH20" s="1471"/>
      <c r="AI20" s="1471"/>
    </row>
    <row r="21" spans="1:40" s="1420" customFormat="1" ht="14.25">
      <c r="A21" s="1641" t="s">
        <v>1837</v>
      </c>
      <c r="B21" s="1479" t="s">
        <v>2759</v>
      </c>
      <c r="C21" s="1156">
        <f>IF(B21="容积率修正",IF(G3&lt;=10,D22,J22),C23)</f>
        <v>0</v>
      </c>
      <c r="D21" s="1480"/>
      <c r="E21" s="1480"/>
      <c r="F21" s="1480"/>
      <c r="G21" s="1480"/>
      <c r="H21" s="1480"/>
      <c r="I21" s="1480"/>
      <c r="J21" s="1481"/>
      <c r="K21" s="1480"/>
      <c r="L21" s="1480"/>
      <c r="M21" s="1480"/>
      <c r="N21" s="1477" t="s">
        <v>975</v>
      </c>
      <c r="O21" s="1541"/>
      <c r="P21" s="2793">
        <f>SUMPRODUCT((地价!A3:A22=YEAR(G19)&amp;"-"&amp;ROUNDUP(MONTH(G19)/3,0))*(地价!AD2:AH2=N21)*(地价!AD3:AH22))</f>
        <v>0</v>
      </c>
      <c r="R21" s="2949"/>
      <c r="S21" s="2949"/>
      <c r="T21" s="2949"/>
      <c r="U21" s="2949"/>
      <c r="V21" s="2949"/>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8" t="s">
        <v>1702</v>
      </c>
      <c r="D22" s="1058" t="b">
        <f>IF(E22=G22,F22,IF(G3&lt;=10,ROUND(F22+(H22-F22)*(G3-E22)/(G22-E22),4),"——"))</f>
        <v>0</v>
      </c>
      <c r="E22" s="1037">
        <f>ROUNDDOWN(G3,1)</f>
        <v>3</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80"/>
      <c r="L22" s="1480"/>
      <c r="M22" s="1480"/>
      <c r="N22" s="1477" t="s">
        <v>978</v>
      </c>
      <c r="O22" s="1541"/>
      <c r="P22" s="2793">
        <f>SUMPRODUCT((地价!A3:A22=YEAR(G19)&amp;"-"&amp;ROUNDUP(MONTH(G19)/3,0))*(地价!AD2:AH2=N22)*(地价!AD3:AH22))</f>
        <v>0</v>
      </c>
      <c r="R22" s="2949"/>
      <c r="S22" s="2949"/>
      <c r="T22" s="2949"/>
      <c r="U22" s="2949"/>
      <c r="V22" s="2949"/>
      <c r="W22" s="2195"/>
      <c r="X22" s="2195"/>
      <c r="Y22" s="2195"/>
      <c r="Z22" s="2195"/>
      <c r="AA22" s="2195"/>
      <c r="AB22" s="2195"/>
      <c r="AC22" s="2195"/>
      <c r="AD22" s="1471"/>
      <c r="AE22" s="1471"/>
      <c r="AF22" s="1471"/>
      <c r="AG22" s="1471"/>
      <c r="AH22" s="1471"/>
      <c r="AI22" s="1471"/>
    </row>
    <row r="23" spans="1:40" ht="27.75" thickBot="1">
      <c r="A23" s="1642" t="s">
        <v>1871</v>
      </c>
      <c r="B23" s="1482" t="s">
        <v>979</v>
      </c>
      <c r="C23" s="1059">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3">
        <f>SUMPRODUCT((地价!A3:A22=YEAR(G19)&amp;"-"&amp;ROUNDUP(MONTH(G19)/3,0))*(地价!AD2:AH2=N23)*(地价!AD3:AH22))</f>
        <v>0</v>
      </c>
      <c r="R23" s="2949"/>
      <c r="S23" s="2949"/>
      <c r="T23" s="2949"/>
      <c r="U23" s="2949"/>
      <c r="V23" s="2949"/>
      <c r="W23" s="2195"/>
      <c r="X23" s="2195"/>
      <c r="Y23" s="2195"/>
      <c r="Z23" s="2195"/>
      <c r="AA23" s="2195"/>
      <c r="AB23" s="2195"/>
      <c r="AC23" s="2195"/>
      <c r="AN23" s="1403"/>
    </row>
    <row r="24" spans="1:40" s="1420" customFormat="1" ht="15.75" thickBot="1">
      <c r="A24" s="1640" t="s">
        <v>1872</v>
      </c>
      <c r="B24" s="1414" t="s">
        <v>980</v>
      </c>
      <c r="C24" s="1060">
        <f>SUMIF(A44:A87,E2,B44:B87)</f>
        <v>0</v>
      </c>
      <c r="D24" s="1534"/>
      <c r="E24" s="1535"/>
      <c r="F24" s="1535"/>
      <c r="G24" s="1535"/>
      <c r="H24" s="1535"/>
      <c r="I24" s="1535"/>
      <c r="J24" s="1535"/>
      <c r="K24" s="1480"/>
      <c r="L24" s="1480"/>
      <c r="M24" s="1480"/>
      <c r="N24" s="1483" t="s">
        <v>981</v>
      </c>
      <c r="O24" s="1542"/>
      <c r="P24" s="1540">
        <f>SUMPRODUCT((地价!A3:A22=YEAR(G19)&amp;"-"&amp;ROUNDUP(MONTH(G19)/3,0))*(地价!AD2:AH2=N24)*(地价!AD3:AH22))</f>
        <v>0</v>
      </c>
      <c r="R24" s="2949"/>
      <c r="S24" s="2949"/>
      <c r="T24" s="2949"/>
      <c r="U24" s="2949"/>
      <c r="V24" s="2949"/>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1" t="s">
        <v>2646</v>
      </c>
      <c r="O25" s="2195"/>
      <c r="P25" s="1540">
        <f>SUMPRODUCT((地价!A3:A22=YEAR(G19)&amp;"-"&amp;ROUNDUP(MONTH(G19)/3,0))*(地价!AD2:AH2=N25)*(地价!AD3:AH22))</f>
        <v>0</v>
      </c>
      <c r="R25" s="2949"/>
      <c r="S25" s="2949"/>
      <c r="T25" s="2949"/>
      <c r="U25" s="2949"/>
      <c r="V25" s="2949"/>
      <c r="W25" s="2195"/>
      <c r="X25" s="2195"/>
      <c r="Y25" s="2195"/>
      <c r="Z25" s="2195"/>
      <c r="AA25" s="2195"/>
      <c r="AB25" s="2195"/>
      <c r="AC25" s="2195"/>
    </row>
    <row r="26" spans="1:40" ht="14.25">
      <c r="A26" s="1488"/>
      <c r="B26" s="1482" t="s">
        <v>986</v>
      </c>
      <c r="C26" s="1061" t="e">
        <f>E29+SUM(E33:E39)</f>
        <v>#DIV/0!</v>
      </c>
      <c r="D26" s="1489"/>
      <c r="E26" s="1455"/>
      <c r="F26" s="1490"/>
      <c r="G26" s="1455"/>
      <c r="H26" s="1455"/>
      <c r="I26" s="1455"/>
      <c r="J26" s="1491"/>
      <c r="K26" s="1400"/>
      <c r="L26" s="2195"/>
      <c r="M26" s="2195"/>
      <c r="N26" s="2195"/>
      <c r="O26" s="2195"/>
      <c r="P26" s="2195"/>
      <c r="Q26" s="2195"/>
      <c r="R26" s="2949"/>
      <c r="S26" s="2949"/>
      <c r="T26" s="2949"/>
      <c r="U26" s="2949"/>
      <c r="V26" s="2949"/>
      <c r="W26" s="2195"/>
      <c r="X26" s="2195"/>
      <c r="Y26" s="2195"/>
      <c r="Z26" s="2195"/>
      <c r="AA26" s="2195"/>
      <c r="AB26" s="2195"/>
      <c r="AC26" s="2195"/>
      <c r="AD26" s="1471"/>
      <c r="AE26" s="1471"/>
      <c r="AF26" s="1471"/>
      <c r="AG26" s="1471"/>
    </row>
    <row r="27" spans="1:40" ht="15" thickBot="1">
      <c r="A27" s="1488"/>
      <c r="B27" s="1492" t="s">
        <v>988</v>
      </c>
      <c r="C27" s="1062" t="e">
        <f>E30+SUM(I33:I39)</f>
        <v>#DIV/0!</v>
      </c>
      <c r="D27" s="1493"/>
      <c r="E27" s="1494"/>
      <c r="F27" s="1495"/>
      <c r="G27" s="1494"/>
      <c r="H27" s="1494"/>
      <c r="I27" s="1494"/>
      <c r="J27" s="1496"/>
      <c r="K27" s="1400"/>
      <c r="L27" s="2195"/>
      <c r="M27" s="2195"/>
      <c r="N27" s="2195"/>
      <c r="O27" s="2195"/>
      <c r="P27" s="2195"/>
      <c r="Q27" s="2195"/>
      <c r="R27" s="2949"/>
      <c r="S27" s="2949"/>
      <c r="T27" s="2949"/>
      <c r="U27" s="2949"/>
      <c r="V27" s="2949"/>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49"/>
      <c r="S28" s="2949"/>
      <c r="T28" s="2949"/>
      <c r="U28" s="2949"/>
      <c r="V28" s="2949"/>
      <c r="W28" s="2195"/>
      <c r="X28" s="2195"/>
      <c r="Y28" s="2195"/>
      <c r="Z28" s="2195"/>
      <c r="AA28" s="2195"/>
      <c r="AB28" s="2195"/>
      <c r="AC28" s="2195"/>
      <c r="AD28" s="1471"/>
      <c r="AE28" s="1471"/>
      <c r="AF28" s="1471"/>
      <c r="AG28" s="1471"/>
    </row>
    <row r="29" spans="1:40" ht="24">
      <c r="A29" s="1501"/>
      <c r="B29" s="1502" t="s">
        <v>993</v>
      </c>
      <c r="C29" s="1061" t="e">
        <f>ROUND(C5*C18*C19*C20*C21*C24,0)</f>
        <v>#DIV/0!</v>
      </c>
      <c r="D29" s="1503"/>
      <c r="E29" s="1849" t="e">
        <f>ROUND(C29*D29/10000,0)</f>
        <v>#DIV/0!</v>
      </c>
      <c r="F29" s="1504" t="s">
        <v>1701</v>
      </c>
      <c r="G29" s="1505"/>
      <c r="H29" s="1505"/>
      <c r="I29" s="1505"/>
      <c r="J29" s="1506"/>
      <c r="K29" s="1400"/>
      <c r="L29" s="2195"/>
      <c r="M29" s="2195"/>
      <c r="N29" s="2195"/>
      <c r="O29" s="2195"/>
      <c r="P29" s="2195"/>
      <c r="Q29" s="2195"/>
      <c r="R29" s="2949"/>
      <c r="S29" s="2949"/>
      <c r="T29" s="2949"/>
      <c r="U29" s="2949"/>
      <c r="V29" s="2949"/>
      <c r="W29" s="2195"/>
      <c r="X29" s="2195"/>
      <c r="Y29" s="2195"/>
      <c r="Z29" s="2195"/>
      <c r="AA29" s="2195"/>
      <c r="AB29" s="2195"/>
      <c r="AC29" s="2195"/>
      <c r="AH29" s="1401"/>
      <c r="AI29" s="1401"/>
      <c r="AJ29" s="1404"/>
      <c r="AK29" s="1404"/>
      <c r="AL29" s="1404"/>
      <c r="AM29" s="1404"/>
    </row>
    <row r="30" spans="1:40" ht="24.75" thickBot="1">
      <c r="A30" s="1507"/>
      <c r="B30" s="1508" t="s">
        <v>994</v>
      </c>
      <c r="C30" s="1049"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853" t="s">
        <v>2960</v>
      </c>
      <c r="B33" s="1523" t="s">
        <v>999</v>
      </c>
      <c r="C33" s="1061" t="e">
        <f>ROUND(D5*C19*C20*C24*F33,0)</f>
        <v>#DIV/0!</v>
      </c>
      <c r="D33" s="1536"/>
      <c r="E33" s="1046" t="e">
        <f>ROUND(C33*D33/10000,0)</f>
        <v>#DIV/0!</v>
      </c>
      <c r="F33" s="1046">
        <f>SUMIF(修正!A45:A56,G2,修正!B45:B56)</f>
        <v>0</v>
      </c>
      <c r="G33" s="1046" t="e">
        <f t="shared" ref="G33:G39" si="6">ROUND(IF(E2="工业",C33*$M$39,C33*$M$38),0)</f>
        <v>#DIV/0!</v>
      </c>
      <c r="H33" s="1046">
        <f>D33</f>
        <v>0</v>
      </c>
      <c r="I33" s="1046"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854"/>
      <c r="B34" s="1444" t="s">
        <v>1000</v>
      </c>
      <c r="C34" s="1061" t="e">
        <f>ROUND(D5*C19*C20*C24*F34,0)</f>
        <v>#DIV/0!</v>
      </c>
      <c r="D34" s="1536"/>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854"/>
      <c r="B35" s="1444" t="s">
        <v>1001</v>
      </c>
      <c r="C35" s="1061" t="e">
        <f>ROUND(D5*C19*C20*C24*F35,0)</f>
        <v>#DIV/0!</v>
      </c>
      <c r="D35" s="1536"/>
      <c r="E35" s="1046" t="e">
        <f t="shared" si="7"/>
        <v>#DIV/0!</v>
      </c>
      <c r="F35" s="1046">
        <f>SUMIF(修正!A45:A56,G2,修正!D45:D56)</f>
        <v>0</v>
      </c>
      <c r="G35" s="1046" t="e">
        <f t="shared" si="6"/>
        <v>#DIV/0!</v>
      </c>
      <c r="H35" s="1046">
        <f t="shared" si="8"/>
        <v>0</v>
      </c>
      <c r="I35" s="1046"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855"/>
      <c r="B36" s="1444" t="s">
        <v>1002</v>
      </c>
      <c r="C36" s="1061" t="e">
        <f>ROUND(D5*C19*C20*C24*F36,0)</f>
        <v>#DIV/0!</v>
      </c>
      <c r="D36" s="1536"/>
      <c r="E36" s="1046" t="e">
        <f t="shared" si="7"/>
        <v>#DIV/0!</v>
      </c>
      <c r="F36" s="1046">
        <f>SUMIF(修正!A45:A56,G2,修正!E45:E56)</f>
        <v>0</v>
      </c>
      <c r="G36" s="1046" t="e">
        <f t="shared" si="6"/>
        <v>#DIV/0!</v>
      </c>
      <c r="H36" s="1046">
        <f t="shared" si="8"/>
        <v>0</v>
      </c>
      <c r="I36" s="1046"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6" t="e">
        <f>ROUND(C5*C19*C20*C24*F37,0)</f>
        <v>#DIV/0!</v>
      </c>
      <c r="D37" s="1536"/>
      <c r="E37" s="1046" t="e">
        <f t="shared" si="7"/>
        <v>#DIV/0!</v>
      </c>
      <c r="F37" s="1061">
        <f>SUMIF(修正!A45:A56,G2,修正!F45:F56)</f>
        <v>0</v>
      </c>
      <c r="G37" s="1046" t="e">
        <f t="shared" si="6"/>
        <v>#DIV/0!</v>
      </c>
      <c r="H37" s="1046">
        <f t="shared" si="8"/>
        <v>0</v>
      </c>
      <c r="I37" s="1046"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6" t="e">
        <f>ROUND(C5*C19*C20*C24*F38,0)</f>
        <v>#DIV/0!</v>
      </c>
      <c r="D38" s="1536"/>
      <c r="E38" s="1046" t="e">
        <f t="shared" si="7"/>
        <v>#DIV/0!</v>
      </c>
      <c r="F38" s="1061">
        <f>SUMIF(修正!A45:A56,G2,修正!G45:G56)</f>
        <v>0</v>
      </c>
      <c r="G38" s="1046" t="e">
        <f t="shared" si="6"/>
        <v>#DIV/0!</v>
      </c>
      <c r="H38" s="1046">
        <f t="shared" si="8"/>
        <v>0</v>
      </c>
      <c r="I38" s="1046"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49" t="e">
        <f>ROUND(C5*C19*C20*C24*F39,0)</f>
        <v>#DIV/0!</v>
      </c>
      <c r="D39" s="1537"/>
      <c r="E39" s="1049" t="e">
        <f t="shared" si="7"/>
        <v>#DIV/0!</v>
      </c>
      <c r="F39" s="1063">
        <f>SUMIF(修正!A45:A56,G2,修正!H45:H56)</f>
        <v>0</v>
      </c>
      <c r="G39" s="1049" t="e">
        <f t="shared" si="6"/>
        <v>#DIV/0!</v>
      </c>
      <c r="H39" s="1049">
        <f t="shared" si="8"/>
        <v>0</v>
      </c>
      <c r="I39" s="1049"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4"/>
      <c r="H44" s="2447"/>
      <c r="I44" s="1064"/>
      <c r="J44" s="1064"/>
      <c r="K44" s="1064"/>
      <c r="L44" s="1064"/>
      <c r="M44" s="1064"/>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4"/>
      <c r="J45" s="1064"/>
      <c r="K45" s="1064"/>
      <c r="L45" s="1064"/>
      <c r="M45" s="1064"/>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5" t="s">
        <v>1008</v>
      </c>
      <c r="B46" s="2432" t="s">
        <v>1009</v>
      </c>
      <c r="C46" s="2454" t="s">
        <v>1010</v>
      </c>
      <c r="D46" s="2455" t="s">
        <v>1011</v>
      </c>
      <c r="E46" s="2456" t="s">
        <v>1013</v>
      </c>
      <c r="F46" s="2457" t="s">
        <v>2249</v>
      </c>
      <c r="G46" s="2455" t="s">
        <v>1014</v>
      </c>
      <c r="H46" s="2438" t="s">
        <v>2416</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5" t="s">
        <v>1020</v>
      </c>
      <c r="B47" s="2435" t="str">
        <f>估价对象房地状况!C16</f>
        <v>估价对象位于XX商圈，周边商业氛围成熟，人流量大，商业繁华度好</v>
      </c>
      <c r="C47" s="1048"/>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5" t="s">
        <v>1021</v>
      </c>
      <c r="B48" s="2432" t="str">
        <f>估价对象房地状况!C18</f>
        <v>估价对象周边道路状况、公共交通通达情况、停车便捷程度，综合评价交通便捷度较好</v>
      </c>
      <c r="C48" s="1048"/>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5" t="s">
        <v>1022</v>
      </c>
      <c r="B49" s="2432">
        <f>估价对象房地状况!C19</f>
        <v>0</v>
      </c>
      <c r="C49" s="1048"/>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5" t="s">
        <v>1023</v>
      </c>
      <c r="B50" s="3122" t="s">
        <v>2935</v>
      </c>
      <c r="C50" s="1048"/>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5" t="s">
        <v>1024</v>
      </c>
      <c r="B51" s="2432">
        <f>估价对象房地状况!C24</f>
        <v>0</v>
      </c>
      <c r="C51" s="1048"/>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5" t="s">
        <v>1025</v>
      </c>
      <c r="B52" s="3121" t="s">
        <v>2934</v>
      </c>
      <c r="C52" s="1048"/>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v>
      </c>
      <c r="C53" s="1048"/>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v>
      </c>
      <c r="C54" s="1048"/>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区域自然环境：；人文环境；综合评价环境状况一般</v>
      </c>
      <c r="C55" s="1048"/>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4"/>
      <c r="K56" s="1064"/>
      <c r="L56" s="1064"/>
      <c r="M56" s="1064"/>
      <c r="N56" s="1064"/>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5" t="s">
        <v>1008</v>
      </c>
      <c r="B57" s="2432"/>
      <c r="C57" s="2454" t="s">
        <v>1010</v>
      </c>
      <c r="D57" s="2455" t="s">
        <v>1011</v>
      </c>
      <c r="E57" s="2456" t="s">
        <v>1013</v>
      </c>
      <c r="F57" s="2457" t="s">
        <v>2250</v>
      </c>
      <c r="G57" s="2455" t="s">
        <v>1014</v>
      </c>
      <c r="H57" s="2438" t="s">
        <v>2416</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5" t="s">
        <v>1030</v>
      </c>
      <c r="B58" s="2435" t="str">
        <f>估价对象房地状况!C17</f>
        <v>估价对象位于XX商圈，周边办公楼项目较多，入驻率高，办公集聚程度较好</v>
      </c>
      <c r="C58" s="1048"/>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5" t="s">
        <v>1021</v>
      </c>
      <c r="B59" s="2432" t="str">
        <f>估价对象房地状况!C18</f>
        <v>估价对象周边道路状况、公共交通通达情况、停车便捷程度，综合评价交通便捷度较好</v>
      </c>
      <c r="C59" s="1048"/>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5" t="s">
        <v>1022</v>
      </c>
      <c r="B60" s="2432">
        <f>估价对象房地状况!C19</f>
        <v>0</v>
      </c>
      <c r="C60" s="1048"/>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5" t="s">
        <v>1023</v>
      </c>
      <c r="B61" s="3122" t="s">
        <v>2936</v>
      </c>
      <c r="C61" s="1048"/>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5" t="s">
        <v>1024</v>
      </c>
      <c r="B62" s="2432">
        <f>估价对象房地状况!C24</f>
        <v>0</v>
      </c>
      <c r="C62" s="1048"/>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5" t="s">
        <v>1025</v>
      </c>
      <c r="B63" s="3121" t="s">
        <v>2934</v>
      </c>
      <c r="C63" s="1048"/>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5" t="s">
        <v>1026</v>
      </c>
      <c r="B64" s="2433" t="str">
        <f>估价对象房地状况!C21</f>
        <v>估价对象所在区域公共配套设施齐备情况</v>
      </c>
      <c r="C64" s="1048"/>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5" t="s">
        <v>1027</v>
      </c>
      <c r="B65" s="2433" t="str">
        <f>估价对象房地状况!C22</f>
        <v>估价对象所在区域基础设施水平</v>
      </c>
      <c r="C65" s="1048"/>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区域自然环境：；人文环境；综合评价环境状况一般</v>
      </c>
      <c r="C66" s="1048"/>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4"/>
      <c r="K67" s="1064"/>
      <c r="L67" s="1064"/>
      <c r="M67" s="1064"/>
      <c r="N67" s="1064"/>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5" t="s">
        <v>1008</v>
      </c>
      <c r="B68" s="2432"/>
      <c r="C68" s="2454" t="s">
        <v>1010</v>
      </c>
      <c r="D68" s="2455" t="s">
        <v>1011</v>
      </c>
      <c r="E68" s="2456" t="s">
        <v>1013</v>
      </c>
      <c r="F68" s="2457" t="s">
        <v>2251</v>
      </c>
      <c r="G68" s="2455" t="s">
        <v>1014</v>
      </c>
      <c r="H68" s="2438" t="s">
        <v>2416</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5" t="s">
        <v>1032</v>
      </c>
      <c r="B69" s="2435" t="str">
        <f>估价对象房地状况!C15</f>
        <v>估价对象周边居住用地比例、居住小区规模和社区发展完善程度，综合评价居住社区成熟度一般</v>
      </c>
      <c r="C69" s="1157"/>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5" t="s">
        <v>1033</v>
      </c>
      <c r="B70" s="2432" t="str">
        <f>估价对象房地状况!C18</f>
        <v>估价对象周边道路状况、公共交通通达情况、停车便捷程度，综合评价交通便捷度较好</v>
      </c>
      <c r="C70" s="1157"/>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5" t="s">
        <v>1022</v>
      </c>
      <c r="B71" s="2432">
        <f>估价对象房地状况!C19</f>
        <v>0</v>
      </c>
      <c r="C71" s="1157"/>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5" t="s">
        <v>1034</v>
      </c>
      <c r="B72" s="2432">
        <f>估价对象房地状况!C24</f>
        <v>0</v>
      </c>
      <c r="C72" s="1157"/>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5" t="s">
        <v>1026</v>
      </c>
      <c r="B73" s="2433" t="str">
        <f>估价对象房地状况!C21</f>
        <v>估价对象所在区域公共配套设施齐备情况</v>
      </c>
      <c r="C73" s="1157"/>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5" t="s">
        <v>1027</v>
      </c>
      <c r="B74" s="2433" t="str">
        <f>估价对象房地状况!C22</f>
        <v>估价对象所在区域基础设施水平</v>
      </c>
      <c r="C74" s="1157"/>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5" t="s">
        <v>1025</v>
      </c>
      <c r="B75" s="3121" t="s">
        <v>2934</v>
      </c>
      <c r="C75" s="1157"/>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5" t="s">
        <v>1028</v>
      </c>
      <c r="B76" s="2435" t="str">
        <f>估价对象房地状况!C20</f>
        <v>区域自然环境：；人文环境；综合评价环境状况一般</v>
      </c>
      <c r="C76" s="1157"/>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7"/>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4"/>
      <c r="K78" s="1064"/>
      <c r="L78" s="1064"/>
      <c r="M78" s="1064"/>
      <c r="N78" s="1064"/>
      <c r="AC78" s="1404"/>
      <c r="AD78" s="1403"/>
      <c r="AJ78" s="1402"/>
      <c r="AN78" s="1403"/>
    </row>
    <row r="79" spans="1:40" ht="24">
      <c r="A79" s="1065" t="s">
        <v>1008</v>
      </c>
      <c r="B79" s="2432"/>
      <c r="C79" s="2454" t="s">
        <v>1010</v>
      </c>
      <c r="D79" s="2455" t="s">
        <v>1011</v>
      </c>
      <c r="E79" s="2456" t="s">
        <v>1013</v>
      </c>
      <c r="F79" s="2457" t="s">
        <v>2252</v>
      </c>
      <c r="G79" s="2455" t="s">
        <v>1014</v>
      </c>
      <c r="H79" s="2438" t="s">
        <v>2416</v>
      </c>
      <c r="I79" s="2455" t="s">
        <v>1012</v>
      </c>
      <c r="J79" s="2458" t="s">
        <v>1015</v>
      </c>
      <c r="K79" s="2458" t="s">
        <v>1016</v>
      </c>
      <c r="L79" s="2458" t="s">
        <v>1017</v>
      </c>
      <c r="M79" s="2458" t="s">
        <v>1018</v>
      </c>
      <c r="N79" s="2458" t="s">
        <v>1019</v>
      </c>
      <c r="AC79" s="1404"/>
      <c r="AD79" s="1403"/>
      <c r="AJ79" s="1402"/>
      <c r="AN79" s="1403"/>
    </row>
    <row r="80" spans="1:40" ht="36">
      <c r="A80" s="1065" t="s">
        <v>1037</v>
      </c>
      <c r="B80" s="2432" t="str">
        <f>估价对象房地状况!G15</f>
        <v>估价对象位于XX开发区，园区建设成熟度XX，产业集聚程度XX</v>
      </c>
      <c r="C80" s="1048"/>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5" t="s">
        <v>1033</v>
      </c>
      <c r="B81" s="2432" t="str">
        <f>估价对象房地状况!G16</f>
        <v>估价对象周边道路状况、公共交通通达情况、停车便捷程度，综合评价交通便捷度较好</v>
      </c>
      <c r="C81" s="1048"/>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5" t="s">
        <v>1022</v>
      </c>
      <c r="B82" s="2432">
        <f>估价对象房地状况!G17</f>
        <v>0</v>
      </c>
      <c r="C82" s="1048"/>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5" t="s">
        <v>1034</v>
      </c>
      <c r="B83" s="2432">
        <f>估价对象房地状况!G22</f>
        <v>0</v>
      </c>
      <c r="C83" s="1048"/>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5" t="s">
        <v>1026</v>
      </c>
      <c r="B84" s="2433" t="str">
        <f>估价对象房地状况!G19</f>
        <v>估价对象所在区域公共配套设施齐备情况</v>
      </c>
      <c r="C84" s="1048"/>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5" t="s">
        <v>1027</v>
      </c>
      <c r="B85" s="2433" t="str">
        <f>估价对象房地状况!G20</f>
        <v>估价对象所在区域基础设施水平</v>
      </c>
      <c r="C85" s="1048"/>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5" t="s">
        <v>1025</v>
      </c>
      <c r="B86" s="3121" t="s">
        <v>2934</v>
      </c>
      <c r="C86" s="1048"/>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8"/>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851" t="s">
        <v>1633</v>
      </c>
      <c r="B90" s="3851"/>
      <c r="C90" s="3851"/>
      <c r="D90" s="3851"/>
      <c r="E90" s="3851"/>
      <c r="F90" s="3851"/>
      <c r="G90" s="3851"/>
      <c r="H90" s="3851"/>
      <c r="I90" s="3851"/>
      <c r="J90" s="3851"/>
      <c r="K90" s="2474"/>
      <c r="L90" s="2474"/>
      <c r="M90" s="2474"/>
      <c r="N90" s="2474"/>
    </row>
    <row r="91" spans="1:40">
      <c r="A91" s="3852" t="s">
        <v>1443</v>
      </c>
      <c r="B91" s="3852" t="s">
        <v>1634</v>
      </c>
      <c r="C91" s="1138" t="s">
        <v>1635</v>
      </c>
      <c r="D91" s="1139"/>
      <c r="E91" s="1139"/>
      <c r="F91" s="1139"/>
      <c r="G91" s="1139"/>
      <c r="H91" s="1139"/>
      <c r="I91" s="1139"/>
      <c r="J91" s="1140"/>
      <c r="K91" s="1132"/>
      <c r="L91" s="1132"/>
      <c r="M91" s="1132"/>
      <c r="N91" s="1132"/>
    </row>
    <row r="92" spans="1:40">
      <c r="A92" s="3852"/>
      <c r="B92" s="3852"/>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859" t="s">
        <v>2762</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86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86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86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86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86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86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86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859" t="s">
        <v>1637</v>
      </c>
      <c r="B101" s="1145" t="s">
        <v>905</v>
      </c>
      <c r="C101" s="1146">
        <f>$G$3</f>
        <v>3</v>
      </c>
      <c r="D101" s="1146">
        <f t="shared" ref="D101:N101" si="31">$G$3</f>
        <v>3</v>
      </c>
      <c r="E101" s="1146">
        <f t="shared" si="31"/>
        <v>3</v>
      </c>
      <c r="F101" s="1146">
        <f t="shared" si="31"/>
        <v>3</v>
      </c>
      <c r="G101" s="1146">
        <f t="shared" si="31"/>
        <v>3</v>
      </c>
      <c r="H101" s="1146">
        <f t="shared" si="31"/>
        <v>3</v>
      </c>
      <c r="I101" s="1146">
        <f t="shared" si="31"/>
        <v>3</v>
      </c>
      <c r="J101" s="1146">
        <f t="shared" si="31"/>
        <v>3</v>
      </c>
      <c r="K101" s="1146">
        <f t="shared" si="31"/>
        <v>3</v>
      </c>
      <c r="L101" s="1146">
        <f t="shared" si="31"/>
        <v>3</v>
      </c>
      <c r="M101" s="1146">
        <f t="shared" si="31"/>
        <v>3</v>
      </c>
      <c r="N101" s="1146">
        <f t="shared" si="31"/>
        <v>3</v>
      </c>
    </row>
    <row r="102" spans="1:14">
      <c r="A102" s="3860"/>
      <c r="B102" s="1141">
        <v>1</v>
      </c>
      <c r="C102" s="1142">
        <f>1.9362/C101</f>
        <v>0.64539999999999997</v>
      </c>
      <c r="D102" s="1142">
        <f>1.9362/D101</f>
        <v>0.64539999999999997</v>
      </c>
      <c r="E102" s="1142">
        <f>1.8629/E101</f>
        <v>0.62096666666666667</v>
      </c>
      <c r="F102" s="1142">
        <f>1.8629/F101</f>
        <v>0.62096666666666667</v>
      </c>
      <c r="G102" s="1142">
        <f>1.8629/G101</f>
        <v>0.62096666666666667</v>
      </c>
      <c r="H102" s="1142">
        <f>1.8629/H101</f>
        <v>0.62096666666666667</v>
      </c>
      <c r="I102" s="1142">
        <f>1.8629/I101</f>
        <v>0.62096666666666667</v>
      </c>
      <c r="J102" s="1142">
        <f>1.942/J101</f>
        <v>0.64733333333333332</v>
      </c>
      <c r="K102" s="1142">
        <f>1.942/K101</f>
        <v>0.64733333333333332</v>
      </c>
      <c r="L102" s="1142">
        <f>1.942/L101</f>
        <v>0.64733333333333332</v>
      </c>
      <c r="M102" s="1142">
        <f>1.942/M101</f>
        <v>0.64733333333333332</v>
      </c>
      <c r="N102" s="1142">
        <f>1.942/N101</f>
        <v>0.64733333333333332</v>
      </c>
    </row>
    <row r="103" spans="1:14">
      <c r="A103" s="3860"/>
      <c r="B103" s="1141">
        <v>2</v>
      </c>
      <c r="C103" s="1142">
        <f>1.4198/C101</f>
        <v>0.47326666666666667</v>
      </c>
      <c r="D103" s="1142">
        <f>1.4198/D101</f>
        <v>0.47326666666666667</v>
      </c>
      <c r="E103" s="1142">
        <f>1.3372/E101</f>
        <v>0.44573333333333331</v>
      </c>
      <c r="F103" s="1142">
        <f>1.3372/F101</f>
        <v>0.44573333333333331</v>
      </c>
      <c r="G103" s="1142">
        <f>1.3372/G101</f>
        <v>0.44573333333333331</v>
      </c>
      <c r="H103" s="1142">
        <f>1.3372/H101</f>
        <v>0.44573333333333331</v>
      </c>
      <c r="I103" s="1142">
        <f>1.3372/I101</f>
        <v>0.44573333333333331</v>
      </c>
      <c r="J103" s="1142">
        <f>1.2799/J101</f>
        <v>0.42663333333333336</v>
      </c>
      <c r="K103" s="1142">
        <f>1.2799/K101</f>
        <v>0.42663333333333336</v>
      </c>
      <c r="L103" s="1142">
        <f>1.2799/L101</f>
        <v>0.42663333333333336</v>
      </c>
      <c r="M103" s="1142">
        <f>1.2799/M101</f>
        <v>0.42663333333333336</v>
      </c>
      <c r="N103" s="1142">
        <f>1.2799/N101</f>
        <v>0.42663333333333336</v>
      </c>
    </row>
    <row r="104" spans="1:14">
      <c r="A104" s="3860"/>
      <c r="B104" s="1141">
        <v>3</v>
      </c>
      <c r="C104" s="1142">
        <f>1.1594/C101</f>
        <v>0.38646666666666668</v>
      </c>
      <c r="D104" s="1142">
        <f>1.1594/D101</f>
        <v>0.38646666666666668</v>
      </c>
      <c r="E104" s="1142">
        <f>1.0788/E101</f>
        <v>0.35959999999999998</v>
      </c>
      <c r="F104" s="1142">
        <f>1.0788/F101</f>
        <v>0.35959999999999998</v>
      </c>
      <c r="G104" s="1142">
        <f>1.0788/G101</f>
        <v>0.35959999999999998</v>
      </c>
      <c r="H104" s="1142">
        <f>1.0788/H101</f>
        <v>0.35959999999999998</v>
      </c>
      <c r="I104" s="1142">
        <f>1.0788/I101</f>
        <v>0.35959999999999998</v>
      </c>
      <c r="J104" s="1142">
        <f>1.0072/J101</f>
        <v>0.33573333333333338</v>
      </c>
      <c r="K104" s="1142">
        <f>1.0072/K101</f>
        <v>0.33573333333333338</v>
      </c>
      <c r="L104" s="1142">
        <f>1.0072/L101</f>
        <v>0.33573333333333338</v>
      </c>
      <c r="M104" s="1142">
        <f>1.0072/M101</f>
        <v>0.33573333333333338</v>
      </c>
      <c r="N104" s="1142">
        <f>1.0072/N101</f>
        <v>0.33573333333333338</v>
      </c>
    </row>
    <row r="105" spans="1:14">
      <c r="A105" s="3860"/>
      <c r="B105" s="1141">
        <v>4</v>
      </c>
      <c r="C105" s="1142">
        <f>0.9622/C101</f>
        <v>0.32073333333333337</v>
      </c>
      <c r="D105" s="1142">
        <f>0.9622/D101</f>
        <v>0.32073333333333337</v>
      </c>
      <c r="E105" s="1142">
        <f>0.8656/E101</f>
        <v>0.28853333333333336</v>
      </c>
      <c r="F105" s="1142">
        <f>0.8656/F101</f>
        <v>0.28853333333333336</v>
      </c>
      <c r="G105" s="1142">
        <f>0.8656/G101</f>
        <v>0.28853333333333336</v>
      </c>
      <c r="H105" s="1142">
        <f>0.8656/H101</f>
        <v>0.28853333333333336</v>
      </c>
      <c r="I105" s="1142">
        <f>0.8656/I101</f>
        <v>0.28853333333333336</v>
      </c>
      <c r="J105" s="1142">
        <f>0.7525/J101</f>
        <v>0.2508333333333333</v>
      </c>
      <c r="K105" s="1142">
        <f>0.7525/K101</f>
        <v>0.2508333333333333</v>
      </c>
      <c r="L105" s="1142">
        <f>0.7525/L101</f>
        <v>0.2508333333333333</v>
      </c>
      <c r="M105" s="1142">
        <f>0.7525/M101</f>
        <v>0.2508333333333333</v>
      </c>
      <c r="N105" s="1142">
        <f>0.7525/N101</f>
        <v>0.2508333333333333</v>
      </c>
    </row>
    <row r="106" spans="1:14">
      <c r="A106" s="3860"/>
      <c r="B106" s="1141">
        <v>5</v>
      </c>
      <c r="C106" s="1142">
        <f>0.8417/C101</f>
        <v>0.28056666666666669</v>
      </c>
      <c r="D106" s="1142">
        <f>0.8417/D101</f>
        <v>0.28056666666666669</v>
      </c>
      <c r="E106" s="1142">
        <f>0.7371/E101</f>
        <v>0.2457</v>
      </c>
      <c r="F106" s="1142">
        <f>0.7371/F101</f>
        <v>0.2457</v>
      </c>
      <c r="G106" s="1142">
        <f>0.7371/G101</f>
        <v>0.2457</v>
      </c>
      <c r="H106" s="1142">
        <f>0.7371/H101</f>
        <v>0.2457</v>
      </c>
      <c r="I106" s="1142">
        <f>0.7371/I101</f>
        <v>0.2457</v>
      </c>
      <c r="J106" s="1142">
        <f>0.5659/J101</f>
        <v>0.18863333333333332</v>
      </c>
      <c r="K106" s="1142">
        <f>0.5659/K101</f>
        <v>0.18863333333333332</v>
      </c>
      <c r="L106" s="1142">
        <f>0.5659/L101</f>
        <v>0.18863333333333332</v>
      </c>
      <c r="M106" s="1142">
        <f>0.5659/M101</f>
        <v>0.18863333333333332</v>
      </c>
      <c r="N106" s="1142">
        <f>0.5659/N101</f>
        <v>0.18863333333333332</v>
      </c>
    </row>
    <row r="107" spans="1:14">
      <c r="A107" s="3860"/>
      <c r="B107" s="1141">
        <v>6</v>
      </c>
      <c r="C107" s="1142">
        <f>0.7608/C101</f>
        <v>0.25359999999999999</v>
      </c>
      <c r="D107" s="1142">
        <f>0.7608/D101</f>
        <v>0.25359999999999999</v>
      </c>
      <c r="E107" s="1142">
        <f>0.6482/E101</f>
        <v>0.21606666666666666</v>
      </c>
      <c r="F107" s="1142">
        <f>0.6482/F101</f>
        <v>0.21606666666666666</v>
      </c>
      <c r="G107" s="1142">
        <f>0.6482/G101</f>
        <v>0.21606666666666666</v>
      </c>
      <c r="H107" s="1142">
        <f>0.6482/H101</f>
        <v>0.21606666666666666</v>
      </c>
      <c r="I107" s="1142">
        <f>0.6482/I101</f>
        <v>0.21606666666666666</v>
      </c>
      <c r="J107" s="1142">
        <f>0.4525/J101</f>
        <v>0.15083333333333335</v>
      </c>
      <c r="K107" s="1142">
        <f>0.4525/K101</f>
        <v>0.15083333333333335</v>
      </c>
      <c r="L107" s="1142">
        <f>0.4525/L101</f>
        <v>0.15083333333333335</v>
      </c>
      <c r="M107" s="1142">
        <f>0.4525/M101</f>
        <v>0.15083333333333335</v>
      </c>
      <c r="N107" s="1142">
        <f>0.4525/N101</f>
        <v>0.15083333333333335</v>
      </c>
    </row>
    <row r="108" spans="1:14">
      <c r="A108" s="3860"/>
      <c r="B108" s="386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861"/>
      <c r="B109" s="3863"/>
      <c r="C109" s="1144">
        <f>(-0.163*(C108^2)-0.59*C108+7617)*(10^(-4))/C101</f>
        <v>0.25339493333333335</v>
      </c>
      <c r="D109" s="1144">
        <f>(-0.163*(D108^2)-0.59*D108+7617)*(10^(-4))/D101</f>
        <v>0.25339493333333335</v>
      </c>
      <c r="E109" s="1144">
        <f>(-0.161*(E108^2)-7.509*E108+6533)*(10^(-4))/E101</f>
        <v>0.2154208</v>
      </c>
      <c r="F109" s="1144">
        <f>(-0.161*(F108^2)-7.509*F108+6533)*(10^(-4))/F101</f>
        <v>0.2154208</v>
      </c>
      <c r="G109" s="1144">
        <f>(-0.161*(G108^2)-7.509*G108+6533)*(10^(-4))/G101</f>
        <v>0.2154208</v>
      </c>
      <c r="H109" s="1144">
        <f>(-0.161*(H108^2)-7.509*H108+6533)*(10^(-4))/H101</f>
        <v>0.2154208</v>
      </c>
      <c r="I109" s="1144">
        <f>(-0.161*(I108^2)-7.509*I108+6533)*(10^(-4))/I101</f>
        <v>0.2154208</v>
      </c>
      <c r="J109" s="1144">
        <f>(-0.214*(J108^2)-21.991*J108+4665)*(10^(-4))/J101</f>
        <v>0.14917920000000001</v>
      </c>
      <c r="K109" s="1144">
        <f>(-0.214*(K108^2)-21.991*K108+4665)*(10^(-4))/K101</f>
        <v>0.14917920000000001</v>
      </c>
      <c r="L109" s="1144">
        <f>(-0.214*(L108^2)-21.991*L108+4665)*(10^(-4))/L101</f>
        <v>0.14917920000000001</v>
      </c>
      <c r="M109" s="1144">
        <f>(-0.214*(M108^2)-21.991*M108+4665)*(10^(-4))/M101</f>
        <v>0.14917920000000001</v>
      </c>
      <c r="N109" s="1144">
        <f>(-0.214*(N108^2)-21.991*N108+4665)*(10^(-4))/N101</f>
        <v>0.14917920000000001</v>
      </c>
    </row>
    <row r="110" spans="1:14">
      <c r="A110" s="3846" t="s">
        <v>1639</v>
      </c>
      <c r="B110" s="3846"/>
      <c r="C110" s="3846"/>
      <c r="D110" s="3846"/>
      <c r="E110" s="3846"/>
      <c r="F110" s="3846"/>
      <c r="G110" s="3846"/>
      <c r="H110" s="3846"/>
      <c r="I110" s="3846"/>
      <c r="J110" s="3846"/>
      <c r="K110" s="2472"/>
      <c r="L110" s="2472"/>
      <c r="M110" s="2472"/>
      <c r="N110" s="2472"/>
    </row>
    <row r="112" spans="1:14" ht="12.75" thickBot="1"/>
    <row r="113" spans="1:13" ht="25.5" thickBot="1">
      <c r="A113" s="1014" t="s">
        <v>895</v>
      </c>
      <c r="B113" s="2475">
        <f>G3</f>
        <v>3</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2.75">
      <c r="A116" s="1027" t="s">
        <v>900</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2.75">
      <c r="A117" s="1030" t="s">
        <v>901</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5" thickBot="1">
      <c r="A118" s="1031" t="s">
        <v>902</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125" defaultRowHeight="19.5" customHeight="1"/>
  <cols>
    <col min="1" max="1" width="13.625" style="1064" customWidth="1"/>
    <col min="2" max="9" width="8.125" style="1103" customWidth="1"/>
    <col min="10" max="13" width="8.125" style="1064"/>
    <col min="14" max="14" width="10" style="1064" customWidth="1"/>
    <col min="15" max="16" width="8.125" style="1064"/>
    <col min="17" max="17" width="34.125" style="1064" customWidth="1"/>
    <col min="18" max="18" width="8.125" style="1064" customWidth="1"/>
    <col min="19" max="19" width="8.125" style="1064"/>
    <col min="20" max="20" width="11.625" style="1064" customWidth="1"/>
    <col min="21" max="16384" width="8.1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8" customFormat="1" ht="19.5" customHeight="1">
      <c r="A18" s="3852" t="s">
        <v>1007</v>
      </c>
      <c r="B18" s="1152" t="s">
        <v>1446</v>
      </c>
      <c r="C18" s="1129" t="s">
        <v>1447</v>
      </c>
      <c r="D18" s="1130"/>
      <c r="E18" s="1152">
        <v>1</v>
      </c>
      <c r="F18" s="1131" t="s">
        <v>1448</v>
      </c>
      <c r="G18" s="1132"/>
      <c r="H18" s="1103"/>
      <c r="I18" s="1103"/>
    </row>
    <row r="19" spans="1:9" s="1598" customFormat="1" ht="19.5" customHeight="1">
      <c r="A19" s="3852"/>
      <c r="B19" s="3852" t="s">
        <v>1449</v>
      </c>
      <c r="C19" s="1129" t="s">
        <v>1450</v>
      </c>
      <c r="D19" s="1130"/>
      <c r="E19" s="1152">
        <v>0.9</v>
      </c>
      <c r="F19" s="1131" t="s">
        <v>1451</v>
      </c>
      <c r="G19" s="1132"/>
      <c r="H19" s="1103"/>
      <c r="I19" s="1103"/>
    </row>
    <row r="20" spans="1:9" s="1598" customFormat="1" ht="19.5" customHeight="1">
      <c r="A20" s="3852"/>
      <c r="B20" s="3852"/>
      <c r="C20" s="1129" t="s">
        <v>1452</v>
      </c>
      <c r="D20" s="1130"/>
      <c r="E20" s="1152">
        <v>1.1000000000000001</v>
      </c>
      <c r="F20" s="1131" t="s">
        <v>1453</v>
      </c>
      <c r="G20" s="1132"/>
      <c r="H20" s="1103"/>
      <c r="I20" s="1103"/>
    </row>
    <row r="21" spans="1:9" s="1598" customFormat="1" ht="19.5" customHeight="1">
      <c r="A21" s="3852"/>
      <c r="B21" s="3852"/>
      <c r="C21" s="1129" t="s">
        <v>1454</v>
      </c>
      <c r="D21" s="1130"/>
      <c r="E21" s="1152">
        <v>0.8</v>
      </c>
      <c r="F21" s="1131" t="s">
        <v>1455</v>
      </c>
      <c r="G21" s="1132"/>
      <c r="H21" s="1103"/>
      <c r="I21" s="1103"/>
    </row>
    <row r="22" spans="1:9" s="1598" customFormat="1" ht="19.5" customHeight="1">
      <c r="A22" s="3852"/>
      <c r="B22" s="3852"/>
      <c r="C22" s="1129" t="s">
        <v>1456</v>
      </c>
      <c r="D22" s="1130"/>
      <c r="E22" s="1152">
        <v>0.5</v>
      </c>
      <c r="F22" s="1131"/>
      <c r="G22" s="1132"/>
      <c r="H22" s="1103"/>
      <c r="I22" s="1103"/>
    </row>
    <row r="23" spans="1:9" s="1598" customFormat="1" ht="19.5" customHeight="1">
      <c r="A23" s="3852" t="s">
        <v>1029</v>
      </c>
      <c r="B23" s="1152" t="s">
        <v>1446</v>
      </c>
      <c r="C23" s="1129" t="s">
        <v>1457</v>
      </c>
      <c r="D23" s="1130"/>
      <c r="E23" s="1152">
        <v>1</v>
      </c>
      <c r="F23" s="1131" t="s">
        <v>1458</v>
      </c>
      <c r="G23" s="1132"/>
      <c r="H23" s="1103"/>
      <c r="I23" s="1103"/>
    </row>
    <row r="24" spans="1:9" s="1598" customFormat="1" ht="19.5" customHeight="1">
      <c r="A24" s="3852"/>
      <c r="B24" s="3852" t="s">
        <v>1449</v>
      </c>
      <c r="C24" s="1129" t="s">
        <v>1459</v>
      </c>
      <c r="D24" s="1130"/>
      <c r="E24" s="1152">
        <v>0.5</v>
      </c>
      <c r="F24" s="1131"/>
      <c r="G24" s="1132"/>
      <c r="H24" s="1103"/>
      <c r="I24" s="1103"/>
    </row>
    <row r="25" spans="1:9" s="1598" customFormat="1" ht="19.5" customHeight="1">
      <c r="A25" s="3852"/>
      <c r="B25" s="3852"/>
      <c r="C25" s="1129" t="s">
        <v>1460</v>
      </c>
      <c r="D25" s="1130"/>
      <c r="E25" s="1152">
        <v>1.1000000000000001</v>
      </c>
      <c r="F25" s="1131"/>
      <c r="G25" s="1132"/>
      <c r="H25" s="1103"/>
      <c r="I25" s="1103"/>
    </row>
    <row r="26" spans="1:9" s="1598" customFormat="1" ht="19.5" customHeight="1">
      <c r="A26" s="3852"/>
      <c r="B26" s="3852"/>
      <c r="C26" s="1129" t="s">
        <v>1461</v>
      </c>
      <c r="D26" s="1130"/>
      <c r="E26" s="1152">
        <v>1.1000000000000001</v>
      </c>
      <c r="F26" s="1131"/>
      <c r="G26" s="1132"/>
      <c r="H26" s="1103"/>
      <c r="I26" s="1103"/>
    </row>
    <row r="27" spans="1:9" s="1598" customFormat="1" ht="19.5" customHeight="1">
      <c r="A27" s="3852"/>
      <c r="B27" s="3852"/>
      <c r="C27" s="1129" t="s">
        <v>1462</v>
      </c>
      <c r="D27" s="1130"/>
      <c r="E27" s="1152">
        <v>0.9</v>
      </c>
      <c r="F27" s="1131" t="s">
        <v>1463</v>
      </c>
      <c r="G27" s="1132"/>
      <c r="H27" s="1103"/>
      <c r="I27" s="1103"/>
    </row>
    <row r="28" spans="1:9" s="1598" customFormat="1" ht="19.5" customHeight="1">
      <c r="A28" s="3852"/>
      <c r="B28" s="3852"/>
      <c r="C28" s="1129" t="s">
        <v>1464</v>
      </c>
      <c r="D28" s="1130"/>
      <c r="E28" s="1152">
        <v>0.9</v>
      </c>
      <c r="F28" s="1131" t="s">
        <v>1465</v>
      </c>
      <c r="G28" s="1132"/>
      <c r="H28" s="1103"/>
      <c r="I28" s="1103"/>
    </row>
    <row r="29" spans="1:9" s="1598" customFormat="1" ht="19.5" customHeight="1">
      <c r="A29" s="3852"/>
      <c r="B29" s="3852"/>
      <c r="C29" s="1129" t="s">
        <v>1466</v>
      </c>
      <c r="D29" s="1130"/>
      <c r="E29" s="1152">
        <v>0.9</v>
      </c>
      <c r="F29" s="1131" t="s">
        <v>1467</v>
      </c>
      <c r="G29" s="1132"/>
      <c r="H29" s="1103"/>
      <c r="I29" s="1103"/>
    </row>
    <row r="30" spans="1:9" s="1598" customFormat="1" ht="19.5" customHeight="1">
      <c r="A30" s="3852"/>
      <c r="B30" s="3852"/>
      <c r="C30" s="1129" t="s">
        <v>1468</v>
      </c>
      <c r="D30" s="1130"/>
      <c r="E30" s="1152">
        <v>0.9</v>
      </c>
      <c r="F30" s="1131" t="s">
        <v>1469</v>
      </c>
      <c r="G30" s="1132"/>
      <c r="H30" s="1103"/>
      <c r="I30" s="1103"/>
    </row>
    <row r="31" spans="1:9" s="1598" customFormat="1" ht="19.5" customHeight="1">
      <c r="A31" s="3852"/>
      <c r="B31" s="3852"/>
      <c r="C31" s="1129" t="s">
        <v>1470</v>
      </c>
      <c r="D31" s="1130"/>
      <c r="E31" s="1152">
        <v>0.8</v>
      </c>
      <c r="F31" s="1131" t="s">
        <v>1471</v>
      </c>
      <c r="G31" s="1132"/>
      <c r="H31" s="1103"/>
      <c r="I31" s="1103"/>
    </row>
    <row r="32" spans="1:9" s="1598" customFormat="1" ht="19.5" customHeight="1">
      <c r="A32" s="3852"/>
      <c r="B32" s="3852"/>
      <c r="C32" s="1129" t="s">
        <v>1472</v>
      </c>
      <c r="D32" s="1130"/>
      <c r="E32" s="1152">
        <v>0.8</v>
      </c>
      <c r="F32" s="1131" t="s">
        <v>1473</v>
      </c>
      <c r="G32" s="1132"/>
      <c r="H32" s="1103"/>
      <c r="I32" s="1103"/>
    </row>
    <row r="33" spans="1:9" s="1598" customFormat="1" ht="19.5" customHeight="1">
      <c r="A33" s="3852" t="s">
        <v>1474</v>
      </c>
      <c r="B33" s="1152" t="s">
        <v>1446</v>
      </c>
      <c r="C33" s="1129" t="s">
        <v>1475</v>
      </c>
      <c r="D33" s="1130"/>
      <c r="E33" s="1152">
        <v>1</v>
      </c>
      <c r="F33" s="1131" t="s">
        <v>1476</v>
      </c>
      <c r="G33" s="1132"/>
      <c r="H33" s="1103"/>
      <c r="I33" s="1103"/>
    </row>
    <row r="34" spans="1:9" s="1598" customFormat="1" ht="19.5" customHeight="1">
      <c r="A34" s="3852"/>
      <c r="B34" s="1152" t="s">
        <v>1449</v>
      </c>
      <c r="C34" s="1129" t="s">
        <v>1477</v>
      </c>
      <c r="D34" s="1130"/>
      <c r="E34" s="1152">
        <v>1.5</v>
      </c>
      <c r="F34" s="1131" t="s">
        <v>1478</v>
      </c>
      <c r="G34" s="1132"/>
      <c r="H34" s="1103"/>
      <c r="I34" s="1103"/>
    </row>
    <row r="35" spans="1:9" s="1598" customFormat="1" ht="19.5" customHeight="1">
      <c r="A35" s="3852" t="s">
        <v>1432</v>
      </c>
      <c r="B35" s="1152" t="s">
        <v>1446</v>
      </c>
      <c r="C35" s="1129" t="s">
        <v>1479</v>
      </c>
      <c r="D35" s="1130"/>
      <c r="E35" s="1152">
        <v>1</v>
      </c>
      <c r="F35" s="1131" t="s">
        <v>1480</v>
      </c>
      <c r="G35" s="1132"/>
      <c r="H35" s="1103"/>
      <c r="I35" s="1103"/>
    </row>
    <row r="36" spans="1:9" s="1598" customFormat="1" ht="19.5" customHeight="1">
      <c r="A36" s="3852"/>
      <c r="B36" s="3852" t="s">
        <v>1449</v>
      </c>
      <c r="C36" s="1129" t="s">
        <v>1481</v>
      </c>
      <c r="D36" s="1130"/>
      <c r="E36" s="1152">
        <v>1</v>
      </c>
      <c r="F36" s="1131" t="s">
        <v>1482</v>
      </c>
      <c r="G36" s="1132"/>
      <c r="H36" s="1103"/>
      <c r="I36" s="1103"/>
    </row>
    <row r="37" spans="1:9" s="1598" customFormat="1" ht="19.5" customHeight="1">
      <c r="A37" s="3852"/>
      <c r="B37" s="3852"/>
      <c r="C37" s="1129" t="s">
        <v>1483</v>
      </c>
      <c r="D37" s="1130"/>
      <c r="E37" s="1152">
        <v>1.5</v>
      </c>
      <c r="F37" s="1131" t="s">
        <v>1484</v>
      </c>
      <c r="G37" s="1132"/>
      <c r="H37" s="1103"/>
      <c r="I37" s="1103"/>
    </row>
    <row r="38" spans="1:9" s="1598" customFormat="1" ht="19.5" customHeight="1">
      <c r="A38" s="3852"/>
      <c r="B38" s="3852"/>
      <c r="C38" s="1129" t="s">
        <v>1485</v>
      </c>
      <c r="D38" s="1130"/>
      <c r="E38" s="1152">
        <v>1</v>
      </c>
      <c r="F38" s="1131" t="s">
        <v>1486</v>
      </c>
      <c r="G38" s="1132"/>
      <c r="H38" s="1103"/>
      <c r="I38" s="1103"/>
    </row>
    <row r="39" spans="1:9" s="1598" customFormat="1" ht="19.5" customHeight="1">
      <c r="A39" s="3852"/>
      <c r="B39" s="3852"/>
      <c r="C39" s="1129" t="s">
        <v>1487</v>
      </c>
      <c r="D39" s="1130"/>
      <c r="E39" s="1152">
        <v>1</v>
      </c>
      <c r="F39" s="1131" t="s">
        <v>1488</v>
      </c>
      <c r="G39" s="1132"/>
      <c r="H39" s="1103"/>
      <c r="I39" s="1103"/>
    </row>
    <row r="40" spans="1:9" s="1598" customFormat="1" ht="19.5" customHeight="1">
      <c r="A40" s="1599" t="s">
        <v>1489</v>
      </c>
      <c r="B40" s="1599"/>
      <c r="C40" s="1599"/>
      <c r="D40" s="1599"/>
      <c r="E40" s="1599"/>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852" t="s">
        <v>1501</v>
      </c>
      <c r="C61" s="1066" t="s">
        <v>1502</v>
      </c>
      <c r="D61" s="1066" t="s">
        <v>1503</v>
      </c>
      <c r="E61" s="1137">
        <v>0.5</v>
      </c>
      <c r="F61" s="1152">
        <v>80</v>
      </c>
      <c r="H61" s="1103">
        <f>SUMIF(C59:C119,基准地价!C8,E59:E119)</f>
        <v>0</v>
      </c>
    </row>
    <row r="62" spans="1:8" s="1103" customFormat="1" ht="24">
      <c r="A62" s="1152">
        <v>2</v>
      </c>
      <c r="B62" s="3852"/>
      <c r="C62" s="1066" t="s">
        <v>1504</v>
      </c>
      <c r="D62" s="1066" t="s">
        <v>1505</v>
      </c>
      <c r="E62" s="1137">
        <v>0.5</v>
      </c>
      <c r="F62" s="1152">
        <v>80</v>
      </c>
    </row>
    <row r="63" spans="1:8" s="1103" customFormat="1" ht="36">
      <c r="A63" s="1152">
        <v>3</v>
      </c>
      <c r="B63" s="3852"/>
      <c r="C63" s="1066" t="s">
        <v>1506</v>
      </c>
      <c r="D63" s="1066" t="s">
        <v>1507</v>
      </c>
      <c r="E63" s="1137">
        <v>0.5</v>
      </c>
      <c r="F63" s="1152">
        <v>80</v>
      </c>
    </row>
    <row r="64" spans="1:8" s="1103" customFormat="1" ht="36">
      <c r="A64" s="1152">
        <v>4</v>
      </c>
      <c r="B64" s="3852"/>
      <c r="C64" s="1066" t="s">
        <v>1508</v>
      </c>
      <c r="D64" s="1066" t="s">
        <v>1509</v>
      </c>
      <c r="E64" s="1137">
        <v>0.4</v>
      </c>
      <c r="F64" s="1152">
        <v>60</v>
      </c>
    </row>
    <row r="65" spans="1:6" s="1103" customFormat="1" ht="36">
      <c r="A65" s="1152">
        <v>5</v>
      </c>
      <c r="B65" s="3852"/>
      <c r="C65" s="1066" t="s">
        <v>1510</v>
      </c>
      <c r="D65" s="1066" t="s">
        <v>1511</v>
      </c>
      <c r="E65" s="1137">
        <v>0.2</v>
      </c>
      <c r="F65" s="1152">
        <v>30</v>
      </c>
    </row>
    <row r="66" spans="1:6" s="1103" customFormat="1" ht="36">
      <c r="A66" s="1152">
        <v>6</v>
      </c>
      <c r="B66" s="3852"/>
      <c r="C66" s="1066" t="s">
        <v>1512</v>
      </c>
      <c r="D66" s="1066" t="s">
        <v>1513</v>
      </c>
      <c r="E66" s="1137">
        <v>0.3</v>
      </c>
      <c r="F66" s="1152">
        <v>50</v>
      </c>
    </row>
    <row r="67" spans="1:6" s="1103" customFormat="1" ht="36">
      <c r="A67" s="1152">
        <v>7</v>
      </c>
      <c r="B67" s="3852"/>
      <c r="C67" s="1066" t="s">
        <v>1514</v>
      </c>
      <c r="D67" s="1066" t="s">
        <v>1515</v>
      </c>
      <c r="E67" s="1137">
        <v>0.2</v>
      </c>
      <c r="F67" s="1152">
        <v>30</v>
      </c>
    </row>
    <row r="68" spans="1:6" s="1103" customFormat="1" ht="36">
      <c r="A68" s="1152">
        <v>8</v>
      </c>
      <c r="B68" s="3852"/>
      <c r="C68" s="1066" t="s">
        <v>1516</v>
      </c>
      <c r="D68" s="1066" t="s">
        <v>1517</v>
      </c>
      <c r="E68" s="1137">
        <v>0.2</v>
      </c>
      <c r="F68" s="1152">
        <v>30</v>
      </c>
    </row>
    <row r="69" spans="1:6" s="1103" customFormat="1" ht="36">
      <c r="A69" s="1152">
        <v>9</v>
      </c>
      <c r="B69" s="3852"/>
      <c r="C69" s="1066" t="s">
        <v>1518</v>
      </c>
      <c r="D69" s="1066" t="s">
        <v>1519</v>
      </c>
      <c r="E69" s="1137">
        <v>0.2</v>
      </c>
      <c r="F69" s="1152">
        <v>30</v>
      </c>
    </row>
    <row r="70" spans="1:6" s="1103" customFormat="1" ht="48">
      <c r="A70" s="1152">
        <v>10</v>
      </c>
      <c r="B70" s="3852"/>
      <c r="C70" s="1066" t="s">
        <v>1520</v>
      </c>
      <c r="D70" s="1066" t="s">
        <v>1521</v>
      </c>
      <c r="E70" s="1137">
        <v>0.2</v>
      </c>
      <c r="F70" s="1152">
        <v>30</v>
      </c>
    </row>
    <row r="71" spans="1:6" s="1103" customFormat="1" ht="48">
      <c r="A71" s="1152">
        <v>11</v>
      </c>
      <c r="B71" s="3852"/>
      <c r="C71" s="1066" t="s">
        <v>1522</v>
      </c>
      <c r="D71" s="1066" t="s">
        <v>1523</v>
      </c>
      <c r="E71" s="1137">
        <v>0.2</v>
      </c>
      <c r="F71" s="1152">
        <v>30</v>
      </c>
    </row>
    <row r="72" spans="1:6" s="1103" customFormat="1" ht="36">
      <c r="A72" s="1152">
        <v>12</v>
      </c>
      <c r="B72" s="3852"/>
      <c r="C72" s="1066" t="s">
        <v>1524</v>
      </c>
      <c r="D72" s="1066" t="s">
        <v>1525</v>
      </c>
      <c r="E72" s="1137">
        <v>0.5</v>
      </c>
      <c r="F72" s="1152">
        <v>80</v>
      </c>
    </row>
    <row r="73" spans="1:6" s="1103" customFormat="1" ht="24">
      <c r="A73" s="1152">
        <v>13</v>
      </c>
      <c r="B73" s="3852"/>
      <c r="C73" s="1066" t="s">
        <v>1526</v>
      </c>
      <c r="D73" s="1066" t="s">
        <v>1527</v>
      </c>
      <c r="E73" s="1137">
        <v>0.4</v>
      </c>
      <c r="F73" s="1152">
        <v>60</v>
      </c>
    </row>
    <row r="74" spans="1:6" s="1103" customFormat="1" ht="24">
      <c r="A74" s="1152">
        <v>14</v>
      </c>
      <c r="B74" s="3852"/>
      <c r="C74" s="1066" t="s">
        <v>1528</v>
      </c>
      <c r="D74" s="1066" t="s">
        <v>1529</v>
      </c>
      <c r="E74" s="1137">
        <v>0.2</v>
      </c>
      <c r="F74" s="1152">
        <v>30</v>
      </c>
    </row>
    <row r="75" spans="1:6" s="1103" customFormat="1" ht="24">
      <c r="A75" s="1152">
        <v>15</v>
      </c>
      <c r="B75" s="3852"/>
      <c r="C75" s="1066" t="s">
        <v>1530</v>
      </c>
      <c r="D75" s="1066" t="s">
        <v>1531</v>
      </c>
      <c r="E75" s="1137">
        <v>0.2</v>
      </c>
      <c r="F75" s="1152">
        <v>30</v>
      </c>
    </row>
    <row r="76" spans="1:6" s="1103" customFormat="1" ht="24">
      <c r="A76" s="1152">
        <v>16</v>
      </c>
      <c r="B76" s="3852" t="s">
        <v>1532</v>
      </c>
      <c r="C76" s="1066" t="s">
        <v>1533</v>
      </c>
      <c r="D76" s="1066" t="s">
        <v>1534</v>
      </c>
      <c r="E76" s="1137">
        <v>0.5</v>
      </c>
      <c r="F76" s="1152">
        <v>80</v>
      </c>
    </row>
    <row r="77" spans="1:6" s="1103" customFormat="1" ht="24">
      <c r="A77" s="1152">
        <v>17</v>
      </c>
      <c r="B77" s="3852"/>
      <c r="C77" s="1066" t="s">
        <v>1535</v>
      </c>
      <c r="D77" s="1066" t="s">
        <v>1536</v>
      </c>
      <c r="E77" s="1137">
        <v>0.5</v>
      </c>
      <c r="F77" s="1152">
        <v>80</v>
      </c>
    </row>
    <row r="78" spans="1:6" s="1103" customFormat="1" ht="24">
      <c r="A78" s="1152">
        <v>18</v>
      </c>
      <c r="B78" s="3852"/>
      <c r="C78" s="1066" t="s">
        <v>1537</v>
      </c>
      <c r="D78" s="1066" t="s">
        <v>1538</v>
      </c>
      <c r="E78" s="1137">
        <v>0.2</v>
      </c>
      <c r="F78" s="1152">
        <v>30</v>
      </c>
    </row>
    <row r="79" spans="1:6" s="1103" customFormat="1" ht="24">
      <c r="A79" s="1152">
        <v>19</v>
      </c>
      <c r="B79" s="3852"/>
      <c r="C79" s="1066" t="s">
        <v>1539</v>
      </c>
      <c r="D79" s="1066" t="s">
        <v>1540</v>
      </c>
      <c r="E79" s="1137">
        <v>0.5</v>
      </c>
      <c r="F79" s="1152">
        <v>80</v>
      </c>
    </row>
    <row r="80" spans="1:6" s="1103" customFormat="1" ht="36">
      <c r="A80" s="1152">
        <v>20</v>
      </c>
      <c r="B80" s="3852"/>
      <c r="C80" s="1066" t="s">
        <v>1541</v>
      </c>
      <c r="D80" s="1066" t="s">
        <v>1542</v>
      </c>
      <c r="E80" s="1137">
        <v>0.2</v>
      </c>
      <c r="F80" s="1152">
        <v>30</v>
      </c>
    </row>
    <row r="81" spans="1:6" s="1103" customFormat="1" ht="36">
      <c r="A81" s="1152">
        <v>21</v>
      </c>
      <c r="B81" s="3852"/>
      <c r="C81" s="1066" t="s">
        <v>1543</v>
      </c>
      <c r="D81" s="1066" t="s">
        <v>1544</v>
      </c>
      <c r="E81" s="1137">
        <v>0.2</v>
      </c>
      <c r="F81" s="1152">
        <v>30</v>
      </c>
    </row>
    <row r="82" spans="1:6" s="1103" customFormat="1" ht="48">
      <c r="A82" s="1152">
        <v>22</v>
      </c>
      <c r="B82" s="3852"/>
      <c r="C82" s="1066" t="s">
        <v>1545</v>
      </c>
      <c r="D82" s="1066" t="s">
        <v>1546</v>
      </c>
      <c r="E82" s="1137">
        <v>0.2</v>
      </c>
      <c r="F82" s="1152">
        <v>30</v>
      </c>
    </row>
    <row r="83" spans="1:6" s="1103" customFormat="1" ht="48">
      <c r="A83" s="1152">
        <v>23</v>
      </c>
      <c r="B83" s="3852"/>
      <c r="C83" s="1066" t="s">
        <v>1547</v>
      </c>
      <c r="D83" s="1066" t="s">
        <v>1548</v>
      </c>
      <c r="E83" s="1137">
        <v>0.2</v>
      </c>
      <c r="F83" s="1152">
        <v>30</v>
      </c>
    </row>
    <row r="84" spans="1:6" s="1103" customFormat="1" ht="36">
      <c r="A84" s="1152">
        <v>24</v>
      </c>
      <c r="B84" s="3852"/>
      <c r="C84" s="1066" t="s">
        <v>1549</v>
      </c>
      <c r="D84" s="1066" t="s">
        <v>1550</v>
      </c>
      <c r="E84" s="1137">
        <v>0.2</v>
      </c>
      <c r="F84" s="1152">
        <v>30</v>
      </c>
    </row>
    <row r="85" spans="1:6" s="1103" customFormat="1" ht="36">
      <c r="A85" s="1152">
        <v>25</v>
      </c>
      <c r="B85" s="3852"/>
      <c r="C85" s="1066" t="s">
        <v>1551</v>
      </c>
      <c r="D85" s="1066" t="s">
        <v>1552</v>
      </c>
      <c r="E85" s="1137">
        <v>0.5</v>
      </c>
      <c r="F85" s="1152">
        <v>80</v>
      </c>
    </row>
    <row r="86" spans="1:6" s="1103" customFormat="1" ht="36">
      <c r="A86" s="1152">
        <v>26</v>
      </c>
      <c r="B86" s="3852"/>
      <c r="C86" s="1066" t="s">
        <v>1553</v>
      </c>
      <c r="D86" s="1066" t="s">
        <v>1554</v>
      </c>
      <c r="E86" s="1137">
        <v>0.2</v>
      </c>
      <c r="F86" s="1152">
        <v>30</v>
      </c>
    </row>
    <row r="87" spans="1:6" s="1103" customFormat="1" ht="36">
      <c r="A87" s="1152">
        <v>27</v>
      </c>
      <c r="B87" s="3852"/>
      <c r="C87" s="1066" t="s">
        <v>1555</v>
      </c>
      <c r="D87" s="1066" t="s">
        <v>1556</v>
      </c>
      <c r="E87" s="1137">
        <v>0.2</v>
      </c>
      <c r="F87" s="1152">
        <v>30</v>
      </c>
    </row>
    <row r="88" spans="1:6" s="1103" customFormat="1" ht="36">
      <c r="A88" s="1152">
        <v>28</v>
      </c>
      <c r="B88" s="3852"/>
      <c r="C88" s="1066" t="s">
        <v>1557</v>
      </c>
      <c r="D88" s="1066" t="s">
        <v>1558</v>
      </c>
      <c r="E88" s="1137">
        <v>0.2</v>
      </c>
      <c r="F88" s="1152">
        <v>30</v>
      </c>
    </row>
    <row r="89" spans="1:6" s="1103" customFormat="1" ht="24">
      <c r="A89" s="1152">
        <v>29</v>
      </c>
      <c r="B89" s="3852"/>
      <c r="C89" s="1066" t="s">
        <v>1559</v>
      </c>
      <c r="D89" s="1066" t="s">
        <v>1560</v>
      </c>
      <c r="E89" s="1137">
        <v>0.2</v>
      </c>
      <c r="F89" s="1152">
        <v>30</v>
      </c>
    </row>
    <row r="90" spans="1:6" s="1103" customFormat="1" ht="24">
      <c r="A90" s="1152">
        <v>30</v>
      </c>
      <c r="B90" s="3852"/>
      <c r="C90" s="1066" t="s">
        <v>1561</v>
      </c>
      <c r="D90" s="1066" t="s">
        <v>1562</v>
      </c>
      <c r="E90" s="1137">
        <v>0.2</v>
      </c>
      <c r="F90" s="1152">
        <v>30</v>
      </c>
    </row>
    <row r="91" spans="1:6" s="1103" customFormat="1" ht="36">
      <c r="A91" s="1152">
        <v>31</v>
      </c>
      <c r="B91" s="3852"/>
      <c r="C91" s="1066" t="s">
        <v>1563</v>
      </c>
      <c r="D91" s="1066" t="s">
        <v>1564</v>
      </c>
      <c r="E91" s="1137">
        <v>0.2</v>
      </c>
      <c r="F91" s="1152">
        <v>30</v>
      </c>
    </row>
    <row r="92" spans="1:6" s="1103" customFormat="1" ht="24">
      <c r="A92" s="1152">
        <v>32</v>
      </c>
      <c r="B92" s="3852" t="s">
        <v>1565</v>
      </c>
      <c r="C92" s="1152" t="s">
        <v>1566</v>
      </c>
      <c r="D92" s="1066" t="s">
        <v>1567</v>
      </c>
      <c r="E92" s="1137">
        <v>0.2</v>
      </c>
      <c r="F92" s="1152">
        <v>30</v>
      </c>
    </row>
    <row r="93" spans="1:6" s="1103" customFormat="1" ht="36">
      <c r="A93" s="1152">
        <v>33</v>
      </c>
      <c r="B93" s="3852"/>
      <c r="C93" s="1152" t="s">
        <v>1568</v>
      </c>
      <c r="D93" s="1066" t="s">
        <v>1569</v>
      </c>
      <c r="E93" s="1137">
        <v>0.2</v>
      </c>
      <c r="F93" s="1152">
        <v>30</v>
      </c>
    </row>
    <row r="94" spans="1:6" s="1103" customFormat="1" ht="48">
      <c r="A94" s="1152">
        <v>34</v>
      </c>
      <c r="B94" s="3852"/>
      <c r="C94" s="1152" t="s">
        <v>1570</v>
      </c>
      <c r="D94" s="1066" t="s">
        <v>1571</v>
      </c>
      <c r="E94" s="1137">
        <v>0.2</v>
      </c>
      <c r="F94" s="1152">
        <v>30</v>
      </c>
    </row>
    <row r="95" spans="1:6" s="1103" customFormat="1" ht="36">
      <c r="A95" s="1152">
        <v>35</v>
      </c>
      <c r="B95" s="3852"/>
      <c r="C95" s="1152" t="s">
        <v>1572</v>
      </c>
      <c r="D95" s="1066" t="s">
        <v>1573</v>
      </c>
      <c r="E95" s="1137">
        <v>0.2</v>
      </c>
      <c r="F95" s="1152">
        <v>30</v>
      </c>
    </row>
    <row r="96" spans="1:6" s="1103" customFormat="1" ht="48">
      <c r="A96" s="1152">
        <v>36</v>
      </c>
      <c r="B96" s="3852"/>
      <c r="C96" s="1066" t="s">
        <v>1574</v>
      </c>
      <c r="D96" s="1066" t="s">
        <v>1575</v>
      </c>
      <c r="E96" s="1137">
        <v>0.2</v>
      </c>
      <c r="F96" s="1152">
        <v>30</v>
      </c>
    </row>
    <row r="97" spans="1:6" s="1103" customFormat="1" ht="36">
      <c r="A97" s="1152">
        <v>37</v>
      </c>
      <c r="B97" s="3852"/>
      <c r="C97" s="1152" t="s">
        <v>1576</v>
      </c>
      <c r="D97" s="1066" t="s">
        <v>1577</v>
      </c>
      <c r="E97" s="1137">
        <v>0.2</v>
      </c>
      <c r="F97" s="1152">
        <v>30</v>
      </c>
    </row>
    <row r="98" spans="1:6" s="1103" customFormat="1" ht="36">
      <c r="A98" s="1152">
        <v>38</v>
      </c>
      <c r="B98" s="3852"/>
      <c r="C98" s="1152" t="s">
        <v>1578</v>
      </c>
      <c r="D98" s="1066" t="s">
        <v>1579</v>
      </c>
      <c r="E98" s="1137">
        <v>0.2</v>
      </c>
      <c r="F98" s="1152">
        <v>30</v>
      </c>
    </row>
    <row r="99" spans="1:6" s="1103" customFormat="1" ht="36">
      <c r="A99" s="1152">
        <v>39</v>
      </c>
      <c r="B99" s="3852" t="s">
        <v>1580</v>
      </c>
      <c r="C99" s="1152" t="s">
        <v>1581</v>
      </c>
      <c r="D99" s="1066" t="s">
        <v>1582</v>
      </c>
      <c r="E99" s="1137">
        <v>0.3</v>
      </c>
      <c r="F99" s="1152">
        <v>50</v>
      </c>
    </row>
    <row r="100" spans="1:6" s="1103" customFormat="1" ht="24">
      <c r="A100" s="1152">
        <v>40</v>
      </c>
      <c r="B100" s="3852"/>
      <c r="C100" s="1152" t="s">
        <v>1583</v>
      </c>
      <c r="D100" s="1066" t="s">
        <v>1584</v>
      </c>
      <c r="E100" s="1137">
        <v>0.2</v>
      </c>
      <c r="F100" s="1152">
        <v>30</v>
      </c>
    </row>
    <row r="101" spans="1:6" s="1103" customFormat="1" ht="36">
      <c r="A101" s="1152">
        <v>41</v>
      </c>
      <c r="B101" s="3852"/>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852" t="s">
        <v>1595</v>
      </c>
      <c r="C105" s="1152" t="s">
        <v>1596</v>
      </c>
      <c r="D105" s="1066" t="s">
        <v>1597</v>
      </c>
      <c r="E105" s="1137">
        <v>0.2</v>
      </c>
      <c r="F105" s="1152">
        <v>30</v>
      </c>
    </row>
    <row r="106" spans="1:6" s="1103" customFormat="1" ht="36">
      <c r="A106" s="1152">
        <v>46</v>
      </c>
      <c r="B106" s="3852"/>
      <c r="C106" s="1152" t="s">
        <v>1598</v>
      </c>
      <c r="D106" s="1066" t="s">
        <v>1599</v>
      </c>
      <c r="E106" s="1137">
        <v>0.2</v>
      </c>
      <c r="F106" s="1152">
        <v>30</v>
      </c>
    </row>
    <row r="107" spans="1:6" s="1103" customFormat="1" ht="36">
      <c r="A107" s="1152">
        <v>47</v>
      </c>
      <c r="B107" s="3852" t="s">
        <v>1600</v>
      </c>
      <c r="C107" s="1152" t="s">
        <v>1601</v>
      </c>
      <c r="D107" s="1066" t="s">
        <v>1602</v>
      </c>
      <c r="E107" s="1137">
        <v>0.3</v>
      </c>
      <c r="F107" s="1152">
        <v>50</v>
      </c>
    </row>
    <row r="108" spans="1:6" s="1103" customFormat="1" ht="36">
      <c r="A108" s="1152">
        <v>48</v>
      </c>
      <c r="B108" s="3852"/>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852" t="s">
        <v>1611</v>
      </c>
      <c r="C111" s="1152" t="s">
        <v>1612</v>
      </c>
      <c r="D111" s="1066" t="s">
        <v>1613</v>
      </c>
      <c r="E111" s="1137">
        <v>0.2</v>
      </c>
      <c r="F111" s="1152">
        <v>30</v>
      </c>
    </row>
    <row r="112" spans="1:6" s="1103" customFormat="1" ht="24">
      <c r="A112" s="1152">
        <v>52</v>
      </c>
      <c r="B112" s="3852"/>
      <c r="C112" s="1152" t="s">
        <v>1614</v>
      </c>
      <c r="D112" s="1066" t="s">
        <v>1615</v>
      </c>
      <c r="E112" s="1137">
        <v>0.2</v>
      </c>
      <c r="F112" s="1152">
        <v>30</v>
      </c>
    </row>
    <row r="113" spans="1:14" s="1103" customFormat="1" ht="24">
      <c r="A113" s="1152">
        <v>53</v>
      </c>
      <c r="B113" s="3852"/>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852" t="s">
        <v>1624</v>
      </c>
      <c r="C116" s="1152" t="s">
        <v>1625</v>
      </c>
      <c r="D116" s="1066" t="s">
        <v>1626</v>
      </c>
      <c r="E116" s="1137">
        <v>0.2</v>
      </c>
      <c r="F116" s="1152">
        <v>30</v>
      </c>
    </row>
    <row r="117" spans="1:14" ht="36">
      <c r="A117" s="1152">
        <v>57</v>
      </c>
      <c r="B117" s="3852"/>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851" t="s">
        <v>1633</v>
      </c>
      <c r="B121" s="3851"/>
      <c r="C121" s="3851"/>
      <c r="D121" s="3851"/>
      <c r="E121" s="3851"/>
      <c r="F121" s="3851"/>
      <c r="G121" s="3851"/>
      <c r="H121" s="3851"/>
      <c r="I121" s="3851"/>
      <c r="J121" s="3851"/>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8.875" defaultRowHeight="13.5"/>
  <cols>
    <col min="1" max="1" width="12.625" style="1103" customWidth="1"/>
    <col min="2" max="5" width="10.125" style="1064" customWidth="1"/>
    <col min="6" max="6" width="8.875" style="1064"/>
    <col min="7" max="7" width="8.875" style="1067"/>
    <col min="8" max="8" width="8.875" style="1064"/>
    <col min="9" max="9" width="8.875" style="1067"/>
    <col min="10" max="16384" width="8.875" style="1064"/>
  </cols>
  <sheetData>
    <row r="1" spans="1:20">
      <c r="A1" s="3864" t="s">
        <v>1039</v>
      </c>
      <c r="B1" s="3864"/>
      <c r="C1" s="3864"/>
      <c r="D1" s="3864"/>
      <c r="E1" s="3864"/>
      <c r="F1" s="386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865" t="s">
        <v>1052</v>
      </c>
      <c r="B2" s="3865"/>
      <c r="C2" s="3865"/>
      <c r="D2" s="3865"/>
      <c r="E2" s="3865"/>
      <c r="F2" s="386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86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86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2420</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2421</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8.875" defaultRowHeight="13.5"/>
  <cols>
    <col min="1" max="1" width="84" style="1778" customWidth="1"/>
    <col min="2" max="2" width="8.875" style="1778"/>
    <col min="3" max="4" width="9.625" style="1778" customWidth="1"/>
    <col min="5" max="16384" width="8.875"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受贵公司委托，我公司对江苏省南通市海安市高新区祖师庙村1组320621108211GB00054W00000000号一宗住宅、商业用地出让国有建设用地使用权市场价格进行了预评估。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海穗工业园区发展有限公司使用的、位于江苏省南通市海安市高新区祖师庙村1组320621108211GB00054W00000000号一宗住宅、商业用地出让国有建设用地使用权。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7" spans="1:4" ht="56.25">
      <c r="A7" s="1795" t="s">
        <v>2745</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2025</v>
      </c>
    </row>
    <row r="11" spans="1:4" ht="18.75">
      <c r="A11" s="1780" t="str">
        <f>TEXT(项目基本情况!D3,"yyyy年m月d日;;")&amp;IF(项目基本情况!B3=项目基本情况!D3,"（评估专业人员勘察现场之日）","")</f>
        <v>2018年12月4日（评估专业人员勘察现场之日）</v>
      </c>
    </row>
    <row r="12" spans="1:4" ht="18.75">
      <c r="A12" s="1797" t="s">
        <v>2024</v>
      </c>
    </row>
    <row r="13" spans="1:4" ht="18.75">
      <c r="A13" s="1791" t="s">
        <v>2939</v>
      </c>
    </row>
    <row r="14" spans="1:4" ht="37.5">
      <c r="A14" s="1791" t="str">
        <f>"根据"&amp;项目基本情况!F12&amp;"，本次评估估价对象证载（地类）用途为"&amp;项目基本情况!B12&amp;"。"</f>
        <v>根据《不动产权证书》[苏（2018）海安市不动产权第0018525号]，本次评估估价对象证载（地类）用途为其他普通商品住房、其他商服用地。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2071</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部有空置的建筑物（厂房、仓库等）。</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本次评估设定土地开发程度为红线外市政基础设施达“七通”、宗地红线内场地未平整。</v>
      </c>
    </row>
    <row r="19" spans="1:1" ht="18.75">
      <c r="A19" s="1791" t="s">
        <v>2072</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21" spans="1:1" ht="18.75">
      <c r="A21" s="1791" t="s">
        <v>2073</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海安市不动产权第0018525号]证载土地终止日期为住宅2088年6月9日、商业2058年6月9日。截至估价期日，出让国有建设用地使用权剩余土地使用年限为住宅69年、商业39年。</v>
      </c>
    </row>
    <row r="23" spans="1:1" ht="18.75">
      <c r="A23" s="1791" t="str">
        <f>IF(项目基本情况!B16="出让","本次评估设定估价对象剩余土地使用年限为"&amp;项目基本情况!D20&amp;"。","")</f>
        <v>本次评估设定估价对象剩余土地使用年限为住宅69年、商业39年。</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未平整，设定用途为住宅、商业，剩余土地使用年限为住宅69年、商业39年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8.875" defaultRowHeight="13.5"/>
  <cols>
    <col min="1" max="1" width="8.875" style="1035"/>
    <col min="2" max="16384" width="8.875"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80" customWidth="1"/>
    <col min="2" max="2" width="10.125" style="1881" customWidth="1"/>
  </cols>
  <sheetData>
    <row r="1" spans="1:6">
      <c r="A1" s="3868" t="s">
        <v>2078</v>
      </c>
      <c r="B1" s="386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1096</v>
      </c>
      <c r="B6" s="1859" t="s">
        <v>2087</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2088</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2089</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2090</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2091</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24.75" thickBot="1">
      <c r="A72" s="1855" t="s">
        <v>924</v>
      </c>
      <c r="B72" s="1859" t="s">
        <v>2092</v>
      </c>
      <c r="C72" s="1869"/>
      <c r="D72" s="1869"/>
      <c r="E72" s="1869"/>
      <c r="F72" s="1861">
        <v>0.05</v>
      </c>
    </row>
    <row r="73" spans="1:6" ht="24.75" thickBot="1">
      <c r="A73" s="1855" t="s">
        <v>924</v>
      </c>
      <c r="B73" s="1859" t="s">
        <v>2093</v>
      </c>
      <c r="C73" s="1869"/>
      <c r="D73" s="1869"/>
      <c r="E73" s="1869"/>
      <c r="F73" s="1861">
        <v>0.05</v>
      </c>
    </row>
    <row r="74" spans="1:6" ht="24.75" thickBot="1">
      <c r="A74" s="1855" t="s">
        <v>924</v>
      </c>
      <c r="B74" s="1859" t="s">
        <v>2094</v>
      </c>
      <c r="C74" s="1869"/>
      <c r="D74" s="1869"/>
      <c r="E74" s="1869"/>
      <c r="F74" s="1861">
        <v>0.05</v>
      </c>
    </row>
    <row r="75" spans="1:6" ht="24.75" thickBot="1">
      <c r="A75" s="1863" t="s">
        <v>924</v>
      </c>
      <c r="B75" s="1870" t="s">
        <v>2095</v>
      </c>
      <c r="C75" s="1866"/>
      <c r="D75" s="1866"/>
      <c r="E75" s="1866"/>
      <c r="F75" s="1871">
        <v>0.05</v>
      </c>
    </row>
    <row r="76" spans="1:6" ht="14.25" thickBot="1">
      <c r="A76" s="1855" t="s">
        <v>1407</v>
      </c>
      <c r="B76" s="1856" t="s">
        <v>2096</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24.75" thickBot="1">
      <c r="A102" s="1855" t="s">
        <v>1407</v>
      </c>
      <c r="B102" s="1859" t="s">
        <v>2097</v>
      </c>
      <c r="C102" s="1869"/>
      <c r="D102" s="1869"/>
      <c r="E102" s="1869"/>
      <c r="F102" s="1861">
        <v>0.05</v>
      </c>
    </row>
    <row r="103" spans="1:6" ht="24.75" thickBot="1">
      <c r="A103" s="1855" t="s">
        <v>1407</v>
      </c>
      <c r="B103" s="1859" t="s">
        <v>2098</v>
      </c>
      <c r="C103" s="1869"/>
      <c r="D103" s="1869"/>
      <c r="E103" s="1869"/>
      <c r="F103" s="1861">
        <v>0.05</v>
      </c>
    </row>
    <row r="104" spans="1:6" ht="14.25" thickBot="1">
      <c r="A104" s="1855" t="s">
        <v>1407</v>
      </c>
      <c r="B104" s="1859" t="s">
        <v>2099</v>
      </c>
      <c r="C104" s="1869"/>
      <c r="D104" s="1869"/>
      <c r="E104" s="1869"/>
      <c r="F104" s="1861">
        <v>0.05</v>
      </c>
    </row>
    <row r="105" spans="1:6" ht="14.25" thickBot="1">
      <c r="A105" s="1855" t="s">
        <v>1407</v>
      </c>
      <c r="B105" s="1859" t="s">
        <v>2100</v>
      </c>
      <c r="C105" s="1869"/>
      <c r="D105" s="1869"/>
      <c r="E105" s="1869"/>
      <c r="F105" s="1861">
        <v>0.05</v>
      </c>
    </row>
    <row r="106" spans="1:6" ht="14.25" thickBot="1">
      <c r="A106" s="1855" t="s">
        <v>1407</v>
      </c>
      <c r="B106" s="1859" t="s">
        <v>2101</v>
      </c>
      <c r="C106" s="1869"/>
      <c r="D106" s="1869"/>
      <c r="E106" s="1869"/>
      <c r="F106" s="1861">
        <v>0.05</v>
      </c>
    </row>
    <row r="107" spans="1:6" ht="24.75" thickBot="1">
      <c r="A107" s="1855" t="s">
        <v>1407</v>
      </c>
      <c r="B107" s="1859" t="s">
        <v>2102</v>
      </c>
      <c r="C107" s="1869"/>
      <c r="D107" s="1869"/>
      <c r="E107" s="1869"/>
      <c r="F107" s="1861">
        <v>0.05</v>
      </c>
    </row>
    <row r="108" spans="1:6" ht="24.75" thickBot="1">
      <c r="A108" s="1855" t="s">
        <v>1407</v>
      </c>
      <c r="B108" s="1859" t="s">
        <v>2103</v>
      </c>
      <c r="C108" s="1869"/>
      <c r="D108" s="1869"/>
      <c r="E108" s="1869"/>
      <c r="F108" s="1861">
        <v>0.05</v>
      </c>
    </row>
    <row r="109" spans="1:6" ht="24.75" thickBot="1">
      <c r="A109" s="1863" t="s">
        <v>1407</v>
      </c>
      <c r="B109" s="1870" t="s">
        <v>2104</v>
      </c>
      <c r="C109" s="1866"/>
      <c r="D109" s="1866"/>
      <c r="E109" s="1866"/>
      <c r="F109" s="1871">
        <v>0.05</v>
      </c>
    </row>
    <row r="110" spans="1:6" ht="14.25" thickBot="1">
      <c r="A110" s="1855" t="s">
        <v>1409</v>
      </c>
      <c r="B110" s="1856" t="s">
        <v>2105</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2106</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2107</v>
      </c>
      <c r="C138" s="1860">
        <v>0.105</v>
      </c>
      <c r="D138" s="1860">
        <v>0.125</v>
      </c>
      <c r="E138" s="1860">
        <v>0.112</v>
      </c>
      <c r="F138" s="1868"/>
    </row>
    <row r="139" spans="1:6" ht="14.25" thickBot="1">
      <c r="A139" s="1855" t="s">
        <v>1409</v>
      </c>
      <c r="B139" s="1859" t="s">
        <v>2108</v>
      </c>
      <c r="C139" s="1860">
        <v>0.127</v>
      </c>
      <c r="D139" s="1860">
        <v>0.127</v>
      </c>
      <c r="E139" s="1860">
        <v>0.122</v>
      </c>
      <c r="F139" s="1861">
        <v>0.13</v>
      </c>
    </row>
    <row r="140" spans="1:6" ht="14.25" thickBot="1">
      <c r="A140" s="1855" t="s">
        <v>1409</v>
      </c>
      <c r="B140" s="1859" t="s">
        <v>2109</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2110</v>
      </c>
      <c r="C144" s="1873">
        <v>0.126</v>
      </c>
      <c r="D144" s="1873">
        <v>0.126</v>
      </c>
      <c r="E144" s="1873">
        <v>0.121</v>
      </c>
      <c r="F144" s="1868"/>
    </row>
    <row r="145" spans="1:6" ht="14.25" thickBot="1">
      <c r="A145" s="1863" t="s">
        <v>1409</v>
      </c>
      <c r="B145" s="1874" t="s">
        <v>2111</v>
      </c>
      <c r="C145" s="1875"/>
      <c r="D145" s="1875"/>
      <c r="E145" s="1875"/>
      <c r="F145" s="1876">
        <v>0.05</v>
      </c>
    </row>
    <row r="146" spans="1:6" ht="24.75" thickBot="1">
      <c r="A146" s="1877" t="s">
        <v>1409</v>
      </c>
      <c r="B146" s="1862" t="s">
        <v>2112</v>
      </c>
      <c r="C146" s="1869"/>
      <c r="D146" s="1869"/>
      <c r="E146" s="1869"/>
      <c r="F146" s="1878">
        <v>0.05</v>
      </c>
    </row>
    <row r="147" spans="1:6" ht="24.75" thickBot="1">
      <c r="A147" s="1855" t="s">
        <v>1409</v>
      </c>
      <c r="B147" s="1859" t="s">
        <v>2113</v>
      </c>
      <c r="C147" s="1869"/>
      <c r="D147" s="1869"/>
      <c r="E147" s="1869"/>
      <c r="F147" s="1861">
        <v>0.05</v>
      </c>
    </row>
    <row r="148" spans="1:6" ht="24.75" thickBot="1">
      <c r="A148" s="1855" t="s">
        <v>1409</v>
      </c>
      <c r="B148" s="1859" t="s">
        <v>2114</v>
      </c>
      <c r="C148" s="1869"/>
      <c r="D148" s="1869"/>
      <c r="E148" s="1869"/>
      <c r="F148" s="1861">
        <v>0.05</v>
      </c>
    </row>
    <row r="149" spans="1:6" ht="24.75" thickBot="1">
      <c r="A149" s="1855" t="s">
        <v>1409</v>
      </c>
      <c r="B149" s="1859" t="s">
        <v>2115</v>
      </c>
      <c r="C149" s="1869"/>
      <c r="D149" s="1869"/>
      <c r="E149" s="1869"/>
      <c r="F149" s="1861">
        <v>0.05</v>
      </c>
    </row>
    <row r="150" spans="1:6" ht="24.75" thickBot="1">
      <c r="A150" s="1855" t="s">
        <v>1409</v>
      </c>
      <c r="B150" s="1859" t="s">
        <v>2116</v>
      </c>
      <c r="C150" s="1869"/>
      <c r="D150" s="1869"/>
      <c r="E150" s="1869"/>
      <c r="F150" s="1861">
        <v>0.05</v>
      </c>
    </row>
    <row r="151" spans="1:6" ht="24.75" thickBot="1">
      <c r="A151" s="1855" t="s">
        <v>1409</v>
      </c>
      <c r="B151" s="1859" t="s">
        <v>2117</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2118</v>
      </c>
      <c r="C153" s="1869"/>
      <c r="D153" s="1869"/>
      <c r="E153" s="1869"/>
      <c r="F153" s="1861">
        <v>0.05</v>
      </c>
    </row>
    <row r="154" spans="1:6" ht="14.25" thickBot="1">
      <c r="A154" s="1855" t="s">
        <v>1409</v>
      </c>
      <c r="B154" s="1859" t="s">
        <v>2119</v>
      </c>
      <c r="C154" s="1869"/>
      <c r="D154" s="1869"/>
      <c r="E154" s="1869"/>
      <c r="F154" s="1861">
        <v>0.05</v>
      </c>
    </row>
    <row r="155" spans="1:6" ht="24.75" thickBot="1">
      <c r="A155" s="1855" t="s">
        <v>1409</v>
      </c>
      <c r="B155" s="1859" t="s">
        <v>2120</v>
      </c>
      <c r="C155" s="1869"/>
      <c r="D155" s="1869"/>
      <c r="E155" s="1869"/>
      <c r="F155" s="1861">
        <v>0.05</v>
      </c>
    </row>
    <row r="156" spans="1:6" ht="24.75" thickBot="1">
      <c r="A156" s="1855" t="s">
        <v>1409</v>
      </c>
      <c r="B156" s="1859" t="s">
        <v>2121</v>
      </c>
      <c r="C156" s="1869"/>
      <c r="D156" s="1869"/>
      <c r="E156" s="1869"/>
      <c r="F156" s="1861">
        <v>0.05</v>
      </c>
    </row>
    <row r="157" spans="1:6" ht="14.25" thickBot="1">
      <c r="A157" s="1863" t="s">
        <v>1409</v>
      </c>
      <c r="B157" s="1870" t="s">
        <v>2122</v>
      </c>
      <c r="C157" s="1866"/>
      <c r="D157" s="1866"/>
      <c r="E157" s="1866"/>
      <c r="F157" s="1871">
        <v>0.05</v>
      </c>
    </row>
    <row r="158" spans="1:6" ht="14.25" thickBot="1">
      <c r="A158" s="1855" t="s">
        <v>1411</v>
      </c>
      <c r="B158" s="1856" t="s">
        <v>2123</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2124</v>
      </c>
      <c r="C171" s="1860">
        <v>0.127</v>
      </c>
      <c r="D171" s="1860">
        <v>0.126</v>
      </c>
      <c r="E171" s="1860">
        <v>0.126</v>
      </c>
      <c r="F171" s="1861">
        <v>0.11799999999999999</v>
      </c>
    </row>
    <row r="172" spans="1:6" ht="14.25" thickBot="1">
      <c r="A172" s="1855" t="s">
        <v>1411</v>
      </c>
      <c r="B172" s="1859" t="s">
        <v>2125</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2126</v>
      </c>
      <c r="C174" s="1860">
        <v>0.13</v>
      </c>
      <c r="D174" s="1860">
        <v>0.13</v>
      </c>
      <c r="E174" s="1860">
        <v>0.13</v>
      </c>
      <c r="F174" s="1861">
        <v>0.13</v>
      </c>
    </row>
    <row r="175" spans="1:6" ht="14.25" thickBot="1">
      <c r="A175" s="1855" t="s">
        <v>1411</v>
      </c>
      <c r="B175" s="1859" t="s">
        <v>2127</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2128</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2129</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2130</v>
      </c>
      <c r="C185" s="1860">
        <v>0.127</v>
      </c>
      <c r="D185" s="1860">
        <v>0.127</v>
      </c>
      <c r="E185" s="1860">
        <v>0.128</v>
      </c>
      <c r="F185" s="1861">
        <v>0.13</v>
      </c>
    </row>
    <row r="186" spans="1:6" ht="24.75" thickBot="1">
      <c r="A186" s="1855" t="s">
        <v>1411</v>
      </c>
      <c r="B186" s="1859" t="s">
        <v>2131</v>
      </c>
      <c r="C186" s="1869"/>
      <c r="D186" s="1869"/>
      <c r="E186" s="1869"/>
      <c r="F186" s="1861">
        <v>0.05</v>
      </c>
    </row>
    <row r="187" spans="1:6" ht="14.25" thickBot="1">
      <c r="A187" s="1855" t="s">
        <v>1411</v>
      </c>
      <c r="B187" s="1859" t="s">
        <v>2132</v>
      </c>
      <c r="C187" s="1869"/>
      <c r="D187" s="1869"/>
      <c r="E187" s="1869"/>
      <c r="F187" s="1861">
        <v>0.05</v>
      </c>
    </row>
    <row r="188" spans="1:6" ht="24.75" thickBot="1">
      <c r="A188" s="1855" t="s">
        <v>1411</v>
      </c>
      <c r="B188" s="1859" t="s">
        <v>2133</v>
      </c>
      <c r="C188" s="1869"/>
      <c r="D188" s="1869"/>
      <c r="E188" s="1869"/>
      <c r="F188" s="1861">
        <v>0.05</v>
      </c>
    </row>
    <row r="189" spans="1:6" ht="24.75" thickBot="1">
      <c r="A189" s="1855" t="s">
        <v>1411</v>
      </c>
      <c r="B189" s="1859" t="s">
        <v>2134</v>
      </c>
      <c r="C189" s="1869"/>
      <c r="D189" s="1869"/>
      <c r="E189" s="1869"/>
      <c r="F189" s="1861">
        <v>0.05</v>
      </c>
    </row>
    <row r="190" spans="1:6" ht="24.75" thickBot="1">
      <c r="A190" s="1855" t="s">
        <v>1411</v>
      </c>
      <c r="B190" s="1859" t="s">
        <v>2135</v>
      </c>
      <c r="C190" s="1869"/>
      <c r="D190" s="1869"/>
      <c r="E190" s="1869"/>
      <c r="F190" s="1861">
        <v>0.05</v>
      </c>
    </row>
    <row r="191" spans="1:6" ht="24.75" thickBot="1">
      <c r="A191" s="1855" t="s">
        <v>1411</v>
      </c>
      <c r="B191" s="1859" t="s">
        <v>2136</v>
      </c>
      <c r="C191" s="1869"/>
      <c r="D191" s="1869"/>
      <c r="E191" s="1869"/>
      <c r="F191" s="1861">
        <v>0.05</v>
      </c>
    </row>
    <row r="192" spans="1:6" ht="24.75" thickBot="1">
      <c r="A192" s="1855" t="s">
        <v>1411</v>
      </c>
      <c r="B192" s="1859" t="s">
        <v>2137</v>
      </c>
      <c r="C192" s="1869"/>
      <c r="D192" s="1869"/>
      <c r="E192" s="1869"/>
      <c r="F192" s="1861">
        <v>0.05</v>
      </c>
    </row>
    <row r="193" spans="1:6" ht="24.75" thickBot="1">
      <c r="A193" s="1855" t="s">
        <v>1411</v>
      </c>
      <c r="B193" s="1859" t="s">
        <v>2138</v>
      </c>
      <c r="C193" s="1869"/>
      <c r="D193" s="1869"/>
      <c r="E193" s="1869"/>
      <c r="F193" s="1861">
        <v>0.05</v>
      </c>
    </row>
    <row r="194" spans="1:6" ht="24.75" thickBot="1">
      <c r="A194" s="1855" t="s">
        <v>1411</v>
      </c>
      <c r="B194" s="1859" t="s">
        <v>2139</v>
      </c>
      <c r="C194" s="1869"/>
      <c r="D194" s="1869"/>
      <c r="E194" s="1869"/>
      <c r="F194" s="1861">
        <v>0.05</v>
      </c>
    </row>
    <row r="195" spans="1:6" ht="14.25" thickBot="1">
      <c r="A195" s="1855" t="s">
        <v>1411</v>
      </c>
      <c r="B195" s="1859" t="s">
        <v>2140</v>
      </c>
      <c r="C195" s="1869"/>
      <c r="D195" s="1869"/>
      <c r="E195" s="1869"/>
      <c r="F195" s="1861">
        <v>0.05</v>
      </c>
    </row>
    <row r="196" spans="1:6" ht="24.75" thickBot="1">
      <c r="A196" s="1855" t="s">
        <v>1411</v>
      </c>
      <c r="B196" s="1859" t="s">
        <v>2141</v>
      </c>
      <c r="C196" s="1869"/>
      <c r="D196" s="1869"/>
      <c r="E196" s="1869"/>
      <c r="F196" s="1861">
        <v>0.05</v>
      </c>
    </row>
    <row r="197" spans="1:6" ht="24.75" thickBot="1">
      <c r="A197" s="1855" t="s">
        <v>1411</v>
      </c>
      <c r="B197" s="1859" t="s">
        <v>2142</v>
      </c>
      <c r="C197" s="1869"/>
      <c r="D197" s="1869"/>
      <c r="E197" s="1869"/>
      <c r="F197" s="1861">
        <v>0.05</v>
      </c>
    </row>
    <row r="198" spans="1:6" ht="24.75" thickBot="1">
      <c r="A198" s="1855" t="s">
        <v>1411</v>
      </c>
      <c r="B198" s="1859" t="s">
        <v>2143</v>
      </c>
      <c r="C198" s="1869"/>
      <c r="D198" s="1869"/>
      <c r="E198" s="1869"/>
      <c r="F198" s="1861">
        <v>0.05</v>
      </c>
    </row>
    <row r="199" spans="1:6" ht="24.75" thickBot="1">
      <c r="A199" s="1855" t="s">
        <v>1411</v>
      </c>
      <c r="B199" s="1859" t="s">
        <v>2144</v>
      </c>
      <c r="C199" s="1869"/>
      <c r="D199" s="1869"/>
      <c r="E199" s="1869"/>
      <c r="F199" s="1861">
        <v>0.05</v>
      </c>
    </row>
    <row r="200" spans="1:6" ht="24.75" thickBot="1">
      <c r="A200" s="1855" t="s">
        <v>1411</v>
      </c>
      <c r="B200" s="1859" t="s">
        <v>2145</v>
      </c>
      <c r="C200" s="1869"/>
      <c r="D200" s="1869"/>
      <c r="E200" s="1869"/>
      <c r="F200" s="1861">
        <v>0.05</v>
      </c>
    </row>
    <row r="201" spans="1:6" ht="24.75" thickBot="1">
      <c r="A201" s="1855" t="s">
        <v>1411</v>
      </c>
      <c r="B201" s="1859" t="s">
        <v>2146</v>
      </c>
      <c r="C201" s="1869"/>
      <c r="D201" s="1869"/>
      <c r="E201" s="1869"/>
      <c r="F201" s="1861">
        <v>0.05</v>
      </c>
    </row>
    <row r="202" spans="1:6" ht="24.75" thickBot="1">
      <c r="A202" s="1855" t="s">
        <v>1411</v>
      </c>
      <c r="B202" s="1859" t="s">
        <v>2147</v>
      </c>
      <c r="C202" s="1869"/>
      <c r="D202" s="1869"/>
      <c r="E202" s="1869"/>
      <c r="F202" s="1861">
        <v>0.05</v>
      </c>
    </row>
    <row r="203" spans="1:6" ht="24.75" thickBot="1">
      <c r="A203" s="1855" t="s">
        <v>1411</v>
      </c>
      <c r="B203" s="1859" t="s">
        <v>2148</v>
      </c>
      <c r="C203" s="1869"/>
      <c r="D203" s="1869"/>
      <c r="E203" s="1869"/>
      <c r="F203" s="1861">
        <v>0.05</v>
      </c>
    </row>
    <row r="204" spans="1:6" ht="14.25" thickBot="1">
      <c r="A204" s="1855" t="s">
        <v>1411</v>
      </c>
      <c r="B204" s="1859" t="s">
        <v>2149</v>
      </c>
      <c r="C204" s="1869"/>
      <c r="D204" s="1869"/>
      <c r="E204" s="1869"/>
      <c r="F204" s="1861">
        <v>0.05</v>
      </c>
    </row>
    <row r="205" spans="1:6" ht="14.25" thickBot="1">
      <c r="A205" s="1863" t="s">
        <v>1411</v>
      </c>
      <c r="B205" s="1870" t="s">
        <v>2150</v>
      </c>
      <c r="C205" s="1866"/>
      <c r="D205" s="1866"/>
      <c r="E205" s="1866"/>
      <c r="F205" s="1871">
        <v>0.05</v>
      </c>
    </row>
    <row r="206" spans="1:6" ht="14.25" thickBot="1">
      <c r="A206" s="1855" t="s">
        <v>1413</v>
      </c>
      <c r="B206" s="1856" t="s">
        <v>2151</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2152</v>
      </c>
      <c r="C210" s="1860">
        <v>0.15</v>
      </c>
      <c r="D210" s="1860">
        <v>0.15</v>
      </c>
      <c r="E210" s="1860">
        <v>0.15</v>
      </c>
      <c r="F210" s="1861">
        <v>0.13800000000000001</v>
      </c>
    </row>
    <row r="211" spans="1:6" ht="14.25" thickBot="1">
      <c r="A211" s="1855" t="s">
        <v>1413</v>
      </c>
      <c r="B211" s="1859" t="s">
        <v>2153</v>
      </c>
      <c r="C211" s="1860">
        <v>0.13700000000000001</v>
      </c>
      <c r="D211" s="1860">
        <v>0.13500000000000001</v>
      </c>
      <c r="E211" s="1860">
        <v>0.13600000000000001</v>
      </c>
      <c r="F211" s="1861">
        <v>0.1</v>
      </c>
    </row>
    <row r="212" spans="1:6" ht="14.25" thickBot="1">
      <c r="A212" s="1855" t="s">
        <v>1413</v>
      </c>
      <c r="B212" s="1859" t="s">
        <v>2154</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2155</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2156</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2157</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2158</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2159</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2160</v>
      </c>
      <c r="C231" s="1860">
        <v>0.128</v>
      </c>
      <c r="D231" s="1860">
        <v>0.125</v>
      </c>
      <c r="E231" s="1860">
        <v>0.13200000000000001</v>
      </c>
      <c r="F231" s="1868"/>
    </row>
    <row r="232" spans="1:6" ht="14.25" thickBot="1">
      <c r="A232" s="1855" t="s">
        <v>1413</v>
      </c>
      <c r="B232" s="1859" t="s">
        <v>2161</v>
      </c>
      <c r="C232" s="1860">
        <v>0.14499999999999999</v>
      </c>
      <c r="D232" s="1860">
        <v>0.14399999999999999</v>
      </c>
      <c r="E232" s="1860">
        <v>0.14599999999999999</v>
      </c>
      <c r="F232" s="1861">
        <v>0.13800000000000001</v>
      </c>
    </row>
    <row r="233" spans="1:6" ht="14.25" thickBot="1">
      <c r="A233" s="1855" t="s">
        <v>1413</v>
      </c>
      <c r="B233" s="1859" t="s">
        <v>2162</v>
      </c>
      <c r="C233" s="1860">
        <v>0.14499999999999999</v>
      </c>
      <c r="D233" s="1860">
        <v>0.14299999999999999</v>
      </c>
      <c r="E233" s="1860">
        <v>0.14199999999999999</v>
      </c>
      <c r="F233" s="1868"/>
    </row>
    <row r="234" spans="1:6" ht="14.25" thickBot="1">
      <c r="A234" s="1855" t="s">
        <v>1413</v>
      </c>
      <c r="B234" s="1859" t="s">
        <v>2163</v>
      </c>
      <c r="C234" s="1860">
        <v>0.14000000000000001</v>
      </c>
      <c r="D234" s="1860">
        <v>0.14000000000000001</v>
      </c>
      <c r="E234" s="1860">
        <v>0.14399999999999999</v>
      </c>
      <c r="F234" s="1868"/>
    </row>
    <row r="235" spans="1:6" ht="14.25" thickBot="1">
      <c r="A235" s="1855" t="s">
        <v>1413</v>
      </c>
      <c r="B235" s="1859" t="s">
        <v>2164</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2165</v>
      </c>
      <c r="C237" s="1869"/>
      <c r="D237" s="1869"/>
      <c r="E237" s="1869"/>
      <c r="F237" s="1861">
        <v>0.05</v>
      </c>
    </row>
    <row r="238" spans="1:6" ht="24.75" thickBot="1">
      <c r="A238" s="1855" t="s">
        <v>1413</v>
      </c>
      <c r="B238" s="1859" t="s">
        <v>2166</v>
      </c>
      <c r="C238" s="1869"/>
      <c r="D238" s="1869"/>
      <c r="E238" s="1869"/>
      <c r="F238" s="1861">
        <v>0.05</v>
      </c>
    </row>
    <row r="239" spans="1:6" ht="24.75" thickBot="1">
      <c r="A239" s="1855" t="s">
        <v>1413</v>
      </c>
      <c r="B239" s="1859" t="s">
        <v>2167</v>
      </c>
      <c r="C239" s="1869"/>
      <c r="D239" s="1869"/>
      <c r="E239" s="1869"/>
      <c r="F239" s="1861">
        <v>0.05</v>
      </c>
    </row>
    <row r="240" spans="1:6" ht="24.75" thickBot="1">
      <c r="A240" s="1855" t="s">
        <v>1413</v>
      </c>
      <c r="B240" s="1859" t="s">
        <v>2168</v>
      </c>
      <c r="C240" s="1869"/>
      <c r="D240" s="1869"/>
      <c r="E240" s="1869"/>
      <c r="F240" s="1861">
        <v>0.05</v>
      </c>
    </row>
    <row r="241" spans="1:6" ht="24.75" thickBot="1">
      <c r="A241" s="1855" t="s">
        <v>1413</v>
      </c>
      <c r="B241" s="1859" t="s">
        <v>2169</v>
      </c>
      <c r="C241" s="1869"/>
      <c r="D241" s="1869"/>
      <c r="E241" s="1869"/>
      <c r="F241" s="1861">
        <v>0.05</v>
      </c>
    </row>
    <row r="242" spans="1:6" ht="24.75" thickBot="1">
      <c r="A242" s="1855" t="s">
        <v>1413</v>
      </c>
      <c r="B242" s="1859" t="s">
        <v>2170</v>
      </c>
      <c r="C242" s="1869"/>
      <c r="D242" s="1869"/>
      <c r="E242" s="1869"/>
      <c r="F242" s="1861">
        <v>0.05</v>
      </c>
    </row>
    <row r="243" spans="1:6" ht="24.75" thickBot="1">
      <c r="A243" s="1855" t="s">
        <v>1413</v>
      </c>
      <c r="B243" s="1859" t="s">
        <v>2171</v>
      </c>
      <c r="C243" s="1869"/>
      <c r="D243" s="1869"/>
      <c r="E243" s="1869"/>
      <c r="F243" s="1861">
        <v>0.05</v>
      </c>
    </row>
    <row r="244" spans="1:6" ht="24.75" thickBot="1">
      <c r="A244" s="1863" t="s">
        <v>1413</v>
      </c>
      <c r="B244" s="1870" t="s">
        <v>2172</v>
      </c>
      <c r="C244" s="1866"/>
      <c r="D244" s="1866"/>
      <c r="E244" s="1866"/>
      <c r="F244" s="1871">
        <v>0.05</v>
      </c>
    </row>
    <row r="245" spans="1:6" ht="14.25" thickBot="1">
      <c r="A245" s="1855" t="s">
        <v>1415</v>
      </c>
      <c r="B245" s="1856" t="s">
        <v>2173</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2174</v>
      </c>
      <c r="C247" s="1860">
        <v>0.15</v>
      </c>
      <c r="D247" s="1860">
        <v>0.15</v>
      </c>
      <c r="E247" s="1860">
        <v>0.15</v>
      </c>
      <c r="F247" s="1861">
        <v>0.15</v>
      </c>
    </row>
    <row r="248" spans="1:6" ht="14.25" thickBot="1">
      <c r="A248" s="1855" t="s">
        <v>1415</v>
      </c>
      <c r="B248" s="1859" t="s">
        <v>2175</v>
      </c>
      <c r="C248" s="1860">
        <v>0.15</v>
      </c>
      <c r="D248" s="1860">
        <v>0.15</v>
      </c>
      <c r="E248" s="1860">
        <v>0.15</v>
      </c>
      <c r="F248" s="1861">
        <v>0.14000000000000001</v>
      </c>
    </row>
    <row r="249" spans="1:6" ht="14.25" thickBot="1">
      <c r="A249" s="1855" t="s">
        <v>1415</v>
      </c>
      <c r="B249" s="1859" t="s">
        <v>2176</v>
      </c>
      <c r="C249" s="1860">
        <v>0.15</v>
      </c>
      <c r="D249" s="1860">
        <v>0.14899999999999999</v>
      </c>
      <c r="E249" s="1860">
        <v>0.15</v>
      </c>
      <c r="F249" s="1861">
        <v>0.1</v>
      </c>
    </row>
    <row r="250" spans="1:6" ht="14.25" thickBot="1">
      <c r="A250" s="1855" t="s">
        <v>1415</v>
      </c>
      <c r="B250" s="1859" t="s">
        <v>2177</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2178</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2179</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2180</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2181</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2182</v>
      </c>
      <c r="C273" s="1860">
        <v>0.14199999999999999</v>
      </c>
      <c r="D273" s="1860">
        <v>0.14299999999999999</v>
      </c>
      <c r="E273" s="1860">
        <v>0.15</v>
      </c>
      <c r="F273" s="1861">
        <v>0.1</v>
      </c>
    </row>
    <row r="274" spans="1:6" ht="14.25" thickBot="1">
      <c r="A274" s="1855" t="s">
        <v>1415</v>
      </c>
      <c r="B274" s="1859" t="s">
        <v>2183</v>
      </c>
      <c r="C274" s="1860">
        <v>0.14799999999999999</v>
      </c>
      <c r="D274" s="1860">
        <v>0.14799999999999999</v>
      </c>
      <c r="E274" s="1860">
        <v>0.15</v>
      </c>
      <c r="F274" s="1861">
        <v>6.7000000000000004E-2</v>
      </c>
    </row>
    <row r="275" spans="1:6" ht="14.25" thickBot="1">
      <c r="A275" s="1855" t="s">
        <v>1415</v>
      </c>
      <c r="B275" s="1859" t="s">
        <v>2184</v>
      </c>
      <c r="C275" s="1860">
        <v>0.15</v>
      </c>
      <c r="D275" s="1860">
        <v>0.15</v>
      </c>
      <c r="E275" s="1860">
        <v>0.15</v>
      </c>
      <c r="F275" s="1861">
        <v>0.15</v>
      </c>
    </row>
    <row r="276" spans="1:6" ht="14.25" thickBot="1">
      <c r="A276" s="1855" t="s">
        <v>1415</v>
      </c>
      <c r="B276" s="1859" t="s">
        <v>2185</v>
      </c>
      <c r="C276" s="1860">
        <v>0.14499999999999999</v>
      </c>
      <c r="D276" s="1860">
        <v>0.14299999999999999</v>
      </c>
      <c r="E276" s="1860">
        <v>0.15</v>
      </c>
      <c r="F276" s="1861">
        <v>5.8999999999999997E-2</v>
      </c>
    </row>
    <row r="277" spans="1:6" ht="14.25" thickBot="1">
      <c r="A277" s="1855" t="s">
        <v>1415</v>
      </c>
      <c r="B277" s="1859" t="s">
        <v>2186</v>
      </c>
      <c r="C277" s="1860">
        <v>0.15</v>
      </c>
      <c r="D277" s="1860">
        <v>0.15</v>
      </c>
      <c r="E277" s="1860">
        <v>0.15</v>
      </c>
      <c r="F277" s="1861">
        <v>0.121</v>
      </c>
    </row>
    <row r="278" spans="1:6" ht="14.25" thickBot="1">
      <c r="A278" s="1855" t="s">
        <v>1415</v>
      </c>
      <c r="B278" s="1859" t="s">
        <v>2187</v>
      </c>
      <c r="C278" s="1860">
        <v>0.15</v>
      </c>
      <c r="D278" s="1860">
        <v>0.15</v>
      </c>
      <c r="E278" s="1860">
        <v>0.15</v>
      </c>
      <c r="F278" s="1861">
        <v>0.13800000000000001</v>
      </c>
    </row>
    <row r="279" spans="1:6" ht="24.75" thickBot="1">
      <c r="A279" s="1855" t="s">
        <v>1415</v>
      </c>
      <c r="B279" s="1859" t="s">
        <v>2188</v>
      </c>
      <c r="C279" s="1869"/>
      <c r="D279" s="1869"/>
      <c r="E279" s="1869"/>
      <c r="F279" s="1861">
        <v>0.05</v>
      </c>
    </row>
    <row r="280" spans="1:6" ht="24.75" thickBot="1">
      <c r="A280" s="1855" t="s">
        <v>1415</v>
      </c>
      <c r="B280" s="1859" t="s">
        <v>2189</v>
      </c>
      <c r="C280" s="1869"/>
      <c r="D280" s="1869"/>
      <c r="E280" s="1869"/>
      <c r="F280" s="1861">
        <v>0.05</v>
      </c>
    </row>
    <row r="281" spans="1:6" ht="24.75" thickBot="1">
      <c r="A281" s="1855" t="s">
        <v>1415</v>
      </c>
      <c r="B281" s="1859" t="s">
        <v>2190</v>
      </c>
      <c r="C281" s="1869"/>
      <c r="D281" s="1869"/>
      <c r="E281" s="1869"/>
      <c r="F281" s="1861">
        <v>0.05</v>
      </c>
    </row>
    <row r="282" spans="1:6" ht="24.75" thickBot="1">
      <c r="A282" s="1855" t="s">
        <v>1415</v>
      </c>
      <c r="B282" s="1859" t="s">
        <v>2191</v>
      </c>
      <c r="C282" s="1869"/>
      <c r="D282" s="1869"/>
      <c r="E282" s="1869"/>
      <c r="F282" s="1861">
        <v>0.05</v>
      </c>
    </row>
    <row r="283" spans="1:6" ht="24.75" thickBot="1">
      <c r="A283" s="1855" t="s">
        <v>1415</v>
      </c>
      <c r="B283" s="1859" t="s">
        <v>2192</v>
      </c>
      <c r="C283" s="1869"/>
      <c r="D283" s="1869"/>
      <c r="E283" s="1869"/>
      <c r="F283" s="1861">
        <v>0.05</v>
      </c>
    </row>
    <row r="284" spans="1:6" ht="24.75" thickBot="1">
      <c r="A284" s="1855" t="s">
        <v>1415</v>
      </c>
      <c r="B284" s="1859" t="s">
        <v>2193</v>
      </c>
      <c r="C284" s="1869"/>
      <c r="D284" s="1869"/>
      <c r="E284" s="1869"/>
      <c r="F284" s="1861">
        <v>0.05</v>
      </c>
    </row>
    <row r="285" spans="1:6" ht="24.75" thickBot="1">
      <c r="A285" s="1855" t="s">
        <v>1415</v>
      </c>
      <c r="B285" s="1859" t="s">
        <v>2194</v>
      </c>
      <c r="C285" s="1869"/>
      <c r="D285" s="1869"/>
      <c r="E285" s="1869"/>
      <c r="F285" s="1861">
        <v>0.05</v>
      </c>
    </row>
    <row r="286" spans="1:6" ht="24.75" thickBot="1">
      <c r="A286" s="1855" t="s">
        <v>1415</v>
      </c>
      <c r="B286" s="1859" t="s">
        <v>2195</v>
      </c>
      <c r="C286" s="1869"/>
      <c r="D286" s="1869"/>
      <c r="E286" s="1869"/>
      <c r="F286" s="1861">
        <v>0.05</v>
      </c>
    </row>
    <row r="287" spans="1:6" ht="24.75" thickBot="1">
      <c r="A287" s="1855" t="s">
        <v>1415</v>
      </c>
      <c r="B287" s="1859" t="s">
        <v>2196</v>
      </c>
      <c r="C287" s="1869"/>
      <c r="D287" s="1869"/>
      <c r="E287" s="1869"/>
      <c r="F287" s="1861">
        <v>0.05</v>
      </c>
    </row>
    <row r="288" spans="1:6" ht="24.75" thickBot="1">
      <c r="A288" s="1855" t="s">
        <v>1415</v>
      </c>
      <c r="B288" s="1859" t="s">
        <v>2197</v>
      </c>
      <c r="C288" s="1869"/>
      <c r="D288" s="1869"/>
      <c r="E288" s="1869"/>
      <c r="F288" s="1861">
        <v>0.05</v>
      </c>
    </row>
    <row r="289" spans="1:6" ht="24.75" thickBot="1">
      <c r="A289" s="1863" t="s">
        <v>1415</v>
      </c>
      <c r="B289" s="1870" t="s">
        <v>2198</v>
      </c>
      <c r="C289" s="1866"/>
      <c r="D289" s="1866"/>
      <c r="E289" s="1866"/>
      <c r="F289" s="1871">
        <v>0.05</v>
      </c>
    </row>
    <row r="290" spans="1:6" ht="14.25" thickBot="1">
      <c r="A290" s="1855" t="s">
        <v>1419</v>
      </c>
      <c r="B290" s="1856" t="s">
        <v>2199</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2200</v>
      </c>
      <c r="C292" s="1860">
        <v>0.15</v>
      </c>
      <c r="D292" s="1860">
        <v>0.15</v>
      </c>
      <c r="E292" s="1860">
        <v>0.15</v>
      </c>
      <c r="F292" s="1861">
        <v>0.14699999999999999</v>
      </c>
    </row>
    <row r="293" spans="1:6" ht="14.25" thickBot="1">
      <c r="A293" s="1855" t="s">
        <v>1419</v>
      </c>
      <c r="B293" s="1859" t="s">
        <v>2201</v>
      </c>
      <c r="C293" s="1869"/>
      <c r="D293" s="1869"/>
      <c r="E293" s="1869"/>
      <c r="F293" s="1861">
        <v>0.1</v>
      </c>
    </row>
    <row r="294" spans="1:6" ht="14.25" thickBot="1">
      <c r="A294" s="1855" t="s">
        <v>1419</v>
      </c>
      <c r="B294" s="1859" t="s">
        <v>2202</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2203</v>
      </c>
      <c r="C296" s="1860">
        <v>0.15</v>
      </c>
      <c r="D296" s="1860">
        <v>0.15</v>
      </c>
      <c r="E296" s="1860">
        <v>0.15</v>
      </c>
      <c r="F296" s="1861">
        <v>0.15</v>
      </c>
    </row>
    <row r="297" spans="1:6" ht="14.25" thickBot="1">
      <c r="A297" s="1855" t="s">
        <v>1419</v>
      </c>
      <c r="B297" s="1859" t="s">
        <v>2204</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2205</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2206</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2207</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2208</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2209</v>
      </c>
      <c r="C310" s="1860">
        <v>0.15</v>
      </c>
      <c r="D310" s="1860">
        <v>0.15</v>
      </c>
      <c r="E310" s="1860">
        <v>0.15</v>
      </c>
      <c r="F310" s="1861">
        <v>0.13700000000000001</v>
      </c>
    </row>
    <row r="311" spans="1:6" ht="14.25" thickBot="1">
      <c r="A311" s="1855" t="s">
        <v>1419</v>
      </c>
      <c r="B311" s="1859" t="s">
        <v>2210</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2211</v>
      </c>
      <c r="C313" s="1860">
        <v>0.15</v>
      </c>
      <c r="D313" s="1860">
        <v>0.15</v>
      </c>
      <c r="E313" s="1860">
        <v>0.15</v>
      </c>
      <c r="F313" s="1861">
        <v>0.15</v>
      </c>
    </row>
    <row r="314" spans="1:6" ht="24.75" thickBot="1">
      <c r="A314" s="1855" t="s">
        <v>1419</v>
      </c>
      <c r="B314" s="1859" t="s">
        <v>2212</v>
      </c>
      <c r="C314" s="1869"/>
      <c r="D314" s="1869"/>
      <c r="E314" s="1869"/>
      <c r="F314" s="1861">
        <v>0.05</v>
      </c>
    </row>
    <row r="315" spans="1:6" ht="24.75" thickBot="1">
      <c r="A315" s="1855" t="s">
        <v>1419</v>
      </c>
      <c r="B315" s="1859" t="s">
        <v>2213</v>
      </c>
      <c r="C315" s="1869"/>
      <c r="D315" s="1869"/>
      <c r="E315" s="1869"/>
      <c r="F315" s="1861">
        <v>0.05</v>
      </c>
    </row>
    <row r="316" spans="1:6" ht="24.75" thickBot="1">
      <c r="A316" s="1863" t="s">
        <v>1419</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1107</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1176</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1196</v>
      </c>
      <c r="C328" s="1860">
        <v>0.15</v>
      </c>
      <c r="D328" s="1860">
        <v>0.15</v>
      </c>
      <c r="E328" s="1860">
        <v>0.15</v>
      </c>
      <c r="F328" s="1861">
        <v>0.14099999999999999</v>
      </c>
    </row>
    <row r="329" spans="1:6" ht="14.25" thickBot="1">
      <c r="A329" s="1855" t="s">
        <v>2215</v>
      </c>
      <c r="B329" s="1859" t="s">
        <v>1206</v>
      </c>
      <c r="C329" s="1860">
        <v>0.15</v>
      </c>
      <c r="D329" s="1860">
        <v>0.15</v>
      </c>
      <c r="E329" s="1860">
        <v>0.15</v>
      </c>
      <c r="F329" s="1861">
        <v>0.15</v>
      </c>
    </row>
    <row r="330" spans="1:6" ht="14.25" thickBot="1">
      <c r="A330" s="1855" t="s">
        <v>2215</v>
      </c>
      <c r="B330" s="1859" t="s">
        <v>1216</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1236</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1256</v>
      </c>
      <c r="C334" s="1860">
        <v>0.15</v>
      </c>
      <c r="D334" s="1860">
        <v>0.15</v>
      </c>
      <c r="E334" s="1860">
        <v>0.15</v>
      </c>
      <c r="F334" s="1861">
        <v>0.15</v>
      </c>
    </row>
    <row r="335" spans="1:6" ht="14.25" thickBot="1">
      <c r="A335" s="1855" t="s">
        <v>2215</v>
      </c>
      <c r="B335" s="1859" t="s">
        <v>1266</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1284</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47" sqref="I47"/>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132" t="s">
        <v>2948</v>
      </c>
      <c r="B1" s="3134"/>
      <c r="C1" s="3134"/>
      <c r="D1" s="3134"/>
      <c r="E1" s="3134"/>
      <c r="F1" s="3134"/>
    </row>
    <row r="2" spans="1:6" ht="14.25">
      <c r="A2" s="3135" t="s">
        <v>2942</v>
      </c>
      <c r="B2" s="3136" t="e">
        <f ca="1">SUMIF(B7:B14,"&lt;&gt;#ref!",B7:B14)</f>
        <v>#DIV/0!</v>
      </c>
      <c r="C2" s="3135" t="s">
        <v>2943</v>
      </c>
      <c r="D2" s="3134"/>
      <c r="E2" s="3134"/>
      <c r="F2" s="3134"/>
    </row>
    <row r="3" spans="1:6" ht="14.25">
      <c r="A3" s="3135" t="s">
        <v>2945</v>
      </c>
      <c r="B3" s="3136" t="e">
        <f ca="1">ROUND(B2*10000/E3,0)</f>
        <v>#DIV/0!</v>
      </c>
      <c r="C3" s="3135" t="s">
        <v>2077</v>
      </c>
      <c r="D3" s="3135" t="s">
        <v>2944</v>
      </c>
      <c r="E3" s="3136" t="e">
        <f ca="1">SUM(E7:E14)</f>
        <v>#REF!</v>
      </c>
      <c r="F3" s="3134"/>
    </row>
    <row r="4" spans="1:6" ht="14.25">
      <c r="A4" s="3135" t="s">
        <v>2952</v>
      </c>
      <c r="B4" s="3136" t="e">
        <f ca="1">ROUND(B2*10000/E4,0)</f>
        <v>#DIV/0!</v>
      </c>
      <c r="C4" s="3135" t="s">
        <v>2077</v>
      </c>
      <c r="D4" s="3135" t="s">
        <v>2953</v>
      </c>
      <c r="E4" s="3136" t="e">
        <f ca="1">SUM(F7:F14)</f>
        <v>#REF!</v>
      </c>
      <c r="F4" s="3134"/>
    </row>
    <row r="5" spans="1:6" ht="14.25">
      <c r="A5" s="3137"/>
      <c r="B5" s="1881"/>
      <c r="C5" s="1881"/>
      <c r="D5" s="1881"/>
      <c r="E5" s="1881"/>
      <c r="F5" s="3134"/>
    </row>
    <row r="6" spans="1:6" ht="28.5">
      <c r="A6" s="3138" t="s">
        <v>2949</v>
      </c>
      <c r="B6" s="3135" t="s">
        <v>2946</v>
      </c>
      <c r="C6" s="3136"/>
      <c r="D6" s="1881"/>
      <c r="E6" s="3135" t="s">
        <v>2947</v>
      </c>
      <c r="F6" s="3135" t="s">
        <v>2951</v>
      </c>
    </row>
    <row r="7" spans="1:6" ht="14.25">
      <c r="A7" s="259" t="s">
        <v>2950</v>
      </c>
      <c r="B7" s="3139" t="e">
        <f ca="1">SUMIF(INDIRECT("'"&amp;A7&amp;"'"&amp;"!A:A"),"总价",INDIRECT("'"&amp;A7&amp;"'"&amp;"!B:B"))</f>
        <v>#DIV/0!</v>
      </c>
      <c r="C7" s="3135" t="s">
        <v>2943</v>
      </c>
      <c r="D7" s="1881"/>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2943</v>
      </c>
      <c r="D8" s="1881"/>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2943</v>
      </c>
      <c r="D9" s="1881"/>
      <c r="E9" s="3140" t="e">
        <f t="shared" ca="1" si="1"/>
        <v>#REF!</v>
      </c>
      <c r="F9" s="3140" t="e">
        <f t="shared" ca="1" si="2"/>
        <v>#REF!</v>
      </c>
    </row>
    <row r="10" spans="1:6" ht="14.25">
      <c r="A10" s="259"/>
      <c r="B10" s="3139" t="e">
        <f t="shared" ca="1" si="0"/>
        <v>#REF!</v>
      </c>
      <c r="C10" s="3135" t="s">
        <v>2943</v>
      </c>
      <c r="D10" s="1881"/>
      <c r="E10" s="3140" t="e">
        <f t="shared" ca="1" si="1"/>
        <v>#REF!</v>
      </c>
      <c r="F10" s="3140" t="e">
        <f t="shared" ca="1" si="2"/>
        <v>#REF!</v>
      </c>
    </row>
    <row r="11" spans="1:6" ht="14.25">
      <c r="A11" s="259"/>
      <c r="B11" s="3139" t="e">
        <f t="shared" ca="1" si="0"/>
        <v>#REF!</v>
      </c>
      <c r="C11" s="3135" t="s">
        <v>2943</v>
      </c>
      <c r="D11" s="1881"/>
      <c r="E11" s="3140" t="e">
        <f t="shared" ca="1" si="1"/>
        <v>#REF!</v>
      </c>
      <c r="F11" s="3140" t="e">
        <f t="shared" ca="1" si="2"/>
        <v>#REF!</v>
      </c>
    </row>
    <row r="12" spans="1:6" ht="14.25">
      <c r="A12" s="259"/>
      <c r="B12" s="3139" t="e">
        <f t="shared" ca="1" si="0"/>
        <v>#REF!</v>
      </c>
      <c r="C12" s="3135" t="s">
        <v>2943</v>
      </c>
      <c r="D12" s="1881"/>
      <c r="E12" s="3140" t="e">
        <f t="shared" ca="1" si="1"/>
        <v>#REF!</v>
      </c>
      <c r="F12" s="3140" t="e">
        <f t="shared" ca="1" si="2"/>
        <v>#REF!</v>
      </c>
    </row>
    <row r="13" spans="1:6" ht="14.25">
      <c r="A13" s="259"/>
      <c r="B13" s="3139" t="e">
        <f t="shared" ca="1" si="0"/>
        <v>#REF!</v>
      </c>
      <c r="C13" s="3135" t="s">
        <v>2943</v>
      </c>
      <c r="D13" s="1881"/>
      <c r="E13" s="3140" t="e">
        <f t="shared" ca="1" si="1"/>
        <v>#REF!</v>
      </c>
      <c r="F13" s="3140" t="e">
        <f t="shared" ca="1" si="2"/>
        <v>#REF!</v>
      </c>
    </row>
    <row r="14" spans="1:6" ht="14.25">
      <c r="A14" s="3133"/>
      <c r="B14" s="3139" t="e">
        <f t="shared" ca="1" si="0"/>
        <v>#REF!</v>
      </c>
      <c r="C14" s="3135" t="s">
        <v>2943</v>
      </c>
      <c r="D14" s="1881"/>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80" zoomScaleNormal="80" zoomScalePageLayoutView="80" workbookViewId="0">
      <selection activeCell="I47" sqref="I47"/>
    </sheetView>
  </sheetViews>
  <sheetFormatPr defaultColWidth="8.875" defaultRowHeight="15"/>
  <cols>
    <col min="1" max="1" width="9" style="2098" customWidth="1"/>
    <col min="2" max="2" width="20.625" style="2099" customWidth="1"/>
    <col min="3" max="3" width="11.875" style="2099" customWidth="1"/>
    <col min="4" max="4" width="40.5" style="2060" customWidth="1"/>
    <col min="5" max="5" width="15.62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125" style="2059" customWidth="1"/>
    <col min="17" max="17" width="13.625" style="2059" customWidth="1"/>
    <col min="18" max="18" width="22.125" style="2059" customWidth="1"/>
    <col min="19" max="19" width="1.5" style="2059" customWidth="1"/>
    <col min="20" max="25" width="8.875" style="2059"/>
    <col min="26" max="16384" width="8.875" style="2060"/>
  </cols>
  <sheetData>
    <row r="1" spans="1:25" s="2054" customFormat="1" ht="21">
      <c r="A1" s="771" t="s">
        <v>628</v>
      </c>
      <c r="B1" s="737"/>
      <c r="C1" s="772"/>
      <c r="D1" s="2050"/>
      <c r="E1" s="2411" t="s">
        <v>2372</v>
      </c>
      <c r="F1" s="2412">
        <f ca="1">J54</f>
        <v>0</v>
      </c>
      <c r="G1" s="773">
        <f>MATCH(C1,'数据-取费表'!A6:A16,0)+5</f>
        <v>8</v>
      </c>
      <c r="H1" s="1348"/>
      <c r="I1" s="2051"/>
      <c r="J1" s="2051"/>
      <c r="K1" s="2052"/>
      <c r="L1" s="2051"/>
      <c r="M1" s="2051"/>
      <c r="N1" s="2053"/>
      <c r="O1" s="2053"/>
      <c r="P1" s="2053"/>
      <c r="Q1" s="2053"/>
      <c r="R1" s="2053"/>
      <c r="S1" s="2053"/>
      <c r="T1" s="2053"/>
      <c r="U1" s="2053"/>
      <c r="V1" s="2053"/>
      <c r="W1" s="2053"/>
      <c r="X1" s="2053"/>
      <c r="Y1" s="2053"/>
    </row>
    <row r="2" spans="1:25" ht="18" customHeight="1">
      <c r="A2" s="1643" t="s">
        <v>629</v>
      </c>
      <c r="B2" s="774">
        <f ca="1">IF(ISERROR(C45+J31),0,C45+J31)</f>
        <v>0</v>
      </c>
      <c r="C2" s="1349"/>
      <c r="D2" s="2055"/>
      <c r="E2" s="2056"/>
      <c r="F2" s="2056"/>
      <c r="G2" s="1589"/>
      <c r="H2" s="1361"/>
      <c r="I2" s="2057"/>
      <c r="J2" s="2057"/>
      <c r="K2" s="2058"/>
      <c r="L2" s="2057"/>
      <c r="M2" s="2057"/>
    </row>
    <row r="3" spans="1:25" ht="18" customHeight="1">
      <c r="A3" s="1644" t="s">
        <v>1686</v>
      </c>
      <c r="B3" s="1390">
        <f ca="1">ROUND(B2*10000/'数据-汇总表'!E3,0)</f>
        <v>0</v>
      </c>
      <c r="C3" s="1349"/>
      <c r="D3" s="2055"/>
      <c r="E3" s="2056"/>
      <c r="F3" s="2056"/>
      <c r="G3" s="1589"/>
      <c r="H3" s="775" t="s">
        <v>695</v>
      </c>
      <c r="I3" s="2057"/>
      <c r="J3" s="2057"/>
      <c r="K3" s="2058"/>
      <c r="L3" s="2057"/>
      <c r="M3" s="2057"/>
    </row>
    <row r="4" spans="1:25" ht="18" customHeight="1">
      <c r="A4" s="1645" t="s">
        <v>696</v>
      </c>
      <c r="B4" s="1350">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697</v>
      </c>
      <c r="D5" s="2055"/>
      <c r="E5" s="2056"/>
      <c r="F5" s="2056"/>
      <c r="G5" s="1589"/>
      <c r="H5" s="775"/>
      <c r="I5" s="2057"/>
      <c r="J5" s="2057"/>
      <c r="K5" s="2058"/>
      <c r="L5" s="2057"/>
      <c r="M5" s="2057"/>
    </row>
    <row r="6" spans="1:25" ht="18" customHeight="1">
      <c r="A6" s="1828" t="s">
        <v>698</v>
      </c>
      <c r="B6" s="1820" t="s">
        <v>699</v>
      </c>
      <c r="C6" s="1820" t="s">
        <v>632</v>
      </c>
      <c r="D6" s="1820" t="s">
        <v>633</v>
      </c>
      <c r="E6" s="778" t="s">
        <v>634</v>
      </c>
      <c r="F6" s="779"/>
      <c r="G6" s="1591"/>
      <c r="H6" s="1828" t="s">
        <v>630</v>
      </c>
      <c r="I6" s="1820" t="s">
        <v>631</v>
      </c>
      <c r="J6" s="1820" t="s">
        <v>632</v>
      </c>
      <c r="K6" s="1820" t="s">
        <v>633</v>
      </c>
      <c r="L6" s="778" t="s">
        <v>634</v>
      </c>
      <c r="M6" s="779"/>
    </row>
    <row r="7" spans="1:25" ht="18" customHeight="1">
      <c r="A7" s="780">
        <v>1</v>
      </c>
      <c r="B7" s="781" t="s">
        <v>2456</v>
      </c>
      <c r="C7" s="53">
        <f ca="1">C8+C12+C14</f>
        <v>0</v>
      </c>
      <c r="D7" s="2520" t="s">
        <v>2459</v>
      </c>
      <c r="E7" s="2514"/>
      <c r="F7" s="2515"/>
      <c r="G7" s="1591"/>
      <c r="H7" s="780">
        <v>1</v>
      </c>
      <c r="I7" s="781" t="s">
        <v>2456</v>
      </c>
      <c r="J7" s="53">
        <f ca="1">J8+J12+J14</f>
        <v>0</v>
      </c>
      <c r="K7" s="2520" t="s">
        <v>2459</v>
      </c>
      <c r="L7" s="2514"/>
      <c r="M7" s="2515"/>
    </row>
    <row r="8" spans="1:25" ht="18" customHeight="1">
      <c r="A8" s="1830" t="s">
        <v>1824</v>
      </c>
      <c r="B8" s="3870" t="s">
        <v>2461</v>
      </c>
      <c r="C8" s="1825">
        <f ca="1">ROUND(F8*F10*F9*(1-F11)/10000,0)</f>
        <v>0</v>
      </c>
      <c r="D8" s="1822" t="s">
        <v>2532</v>
      </c>
      <c r="E8" s="61" t="s">
        <v>637</v>
      </c>
      <c r="F8" s="784">
        <f ca="1">INDIRECT("'数据-取费表'!u"&amp;$G$1)</f>
        <v>0</v>
      </c>
      <c r="G8" s="1591"/>
      <c r="H8" s="2528" t="s">
        <v>1824</v>
      </c>
      <c r="I8" s="3870" t="s">
        <v>2461</v>
      </c>
      <c r="J8" s="782">
        <f ca="1">ROUND(M8*M10*M9*(1-M11)/10000,0)</f>
        <v>0</v>
      </c>
      <c r="K8" s="340" t="s">
        <v>2532</v>
      </c>
      <c r="L8" s="783" t="s">
        <v>1738</v>
      </c>
      <c r="M8" s="784">
        <f ca="1">INDIRECT("'数据-取费表'!z"&amp;$G$1)</f>
        <v>0</v>
      </c>
    </row>
    <row r="9" spans="1:25" ht="18" customHeight="1">
      <c r="A9" s="2524"/>
      <c r="B9" s="3871"/>
      <c r="C9" s="1826"/>
      <c r="D9" s="1823"/>
      <c r="E9" s="61" t="s">
        <v>638</v>
      </c>
      <c r="F9" s="784">
        <f ca="1">IF(INDIRECT("'数据-取费表'!ah"&amp;$G$1)="",INDIRECT("'数据-取费表'!k"&amp;$G$1),INDIRECT("'数据-取费表'!ah"&amp;$G$1))</f>
        <v>0</v>
      </c>
      <c r="G9" s="1591"/>
      <c r="H9" s="2513"/>
      <c r="I9" s="3871"/>
      <c r="J9" s="787"/>
      <c r="K9" s="788"/>
      <c r="L9" s="783" t="s">
        <v>1739</v>
      </c>
      <c r="M9" s="784">
        <f ca="1">F9</f>
        <v>0</v>
      </c>
    </row>
    <row r="10" spans="1:25" ht="18" customHeight="1">
      <c r="A10" s="2517"/>
      <c r="B10" s="3872"/>
      <c r="C10" s="1826"/>
      <c r="D10" s="1823"/>
      <c r="E10" s="61" t="s">
        <v>639</v>
      </c>
      <c r="F10" s="784">
        <f ca="1">INDIRECT("'数据-取费表'!ai"&amp;$G$1)</f>
        <v>0</v>
      </c>
      <c r="G10" s="1591"/>
      <c r="H10" s="2513"/>
      <c r="I10" s="3872"/>
      <c r="J10" s="787"/>
      <c r="K10" s="788"/>
      <c r="L10" s="783" t="s">
        <v>1740</v>
      </c>
      <c r="M10" s="784">
        <f ca="1">INDIRECT("'数据-取费表'!ai"&amp;$G$1)</f>
        <v>0</v>
      </c>
    </row>
    <row r="11" spans="1:25" ht="18" customHeight="1">
      <c r="A11" s="785"/>
      <c r="B11" s="3873"/>
      <c r="C11" s="1826"/>
      <c r="D11" s="1823"/>
      <c r="E11" s="61" t="s">
        <v>640</v>
      </c>
      <c r="F11" s="793">
        <f ca="1">INDIRECT("'数据-取费表'!w"&amp;$G$1)</f>
        <v>0</v>
      </c>
      <c r="G11" s="1591"/>
      <c r="H11" s="2529"/>
      <c r="I11" s="3872"/>
      <c r="J11" s="787"/>
      <c r="K11" s="788"/>
      <c r="L11" s="794" t="s">
        <v>1741</v>
      </c>
      <c r="M11" s="795">
        <f ca="1">INDIRECT("'数据-取费表'!ab"&amp;$G$1)</f>
        <v>0</v>
      </c>
    </row>
    <row r="12" spans="1:25" ht="18" customHeight="1">
      <c r="A12" s="1830" t="s">
        <v>1825</v>
      </c>
      <c r="B12" s="2518" t="s">
        <v>2457</v>
      </c>
      <c r="C12" s="798">
        <f ca="1">ROUND(IF(F12="押一",C8/12*F13,IF(F12="押二",C8/12*2*F13,IF(F12="押三",C8/12*3*F13,C13*F13))),0)</f>
        <v>0</v>
      </c>
      <c r="D12" s="2525" t="s">
        <v>2973</v>
      </c>
      <c r="E12" s="2522" t="s">
        <v>2462</v>
      </c>
      <c r="F12" s="2645"/>
      <c r="G12" s="1591"/>
      <c r="H12" s="2585" t="s">
        <v>1825</v>
      </c>
      <c r="I12" s="2590" t="s">
        <v>2457</v>
      </c>
      <c r="J12" s="782">
        <f ca="1">ROUND(IF(M12="押一",J8/12*M13,IF(M12="押二",J8/12*2*M13,IF(M12="押三",J8/12*3*M13,J13*M13))),0)</f>
        <v>0</v>
      </c>
      <c r="K12" s="2525" t="s">
        <v>2973</v>
      </c>
      <c r="L12" s="2522" t="s">
        <v>2462</v>
      </c>
      <c r="M12" s="2645"/>
    </row>
    <row r="13" spans="1:25" ht="18" customHeight="1">
      <c r="A13" s="789"/>
      <c r="B13" s="2519" t="s">
        <v>2571</v>
      </c>
      <c r="C13" s="2523"/>
      <c r="D13" s="788"/>
      <c r="E13" s="2522" t="s">
        <v>2454</v>
      </c>
      <c r="F13" s="795">
        <f ca="1">'数据-取费表'!B39</f>
        <v>1.4999999999999999E-2</v>
      </c>
      <c r="G13" s="1591"/>
      <c r="H13" s="2586"/>
      <c r="I13" s="2519" t="s">
        <v>2571</v>
      </c>
      <c r="J13" s="2523"/>
      <c r="K13" s="2587"/>
      <c r="L13" s="2522" t="s">
        <v>2454</v>
      </c>
      <c r="M13" s="2516">
        <f ca="1">'数据-取费表'!B39</f>
        <v>1.4999999999999999E-2</v>
      </c>
    </row>
    <row r="14" spans="1:25" ht="18" customHeight="1" thickBot="1">
      <c r="A14" s="2561" t="s">
        <v>2465</v>
      </c>
      <c r="B14" s="2562" t="s">
        <v>2458</v>
      </c>
      <c r="C14" s="2563"/>
      <c r="D14" s="2564"/>
      <c r="E14" s="2565"/>
      <c r="F14" s="2566"/>
      <c r="G14" s="1591"/>
      <c r="H14" s="2575" t="s">
        <v>2465</v>
      </c>
      <c r="I14" s="2588" t="s">
        <v>2458</v>
      </c>
      <c r="J14" s="2589"/>
      <c r="K14" s="2564"/>
      <c r="L14" s="2565"/>
      <c r="M14" s="2578"/>
    </row>
    <row r="15" spans="1:25" ht="18" customHeight="1" thickTop="1">
      <c r="A15" s="1829" t="s">
        <v>1874</v>
      </c>
      <c r="B15" s="1827" t="s">
        <v>641</v>
      </c>
      <c r="C15" s="791">
        <f ca="1">ROUND(C31*F15,0)</f>
        <v>0</v>
      </c>
      <c r="D15" s="1834" t="s">
        <v>642</v>
      </c>
      <c r="E15" s="794" t="s">
        <v>643</v>
      </c>
      <c r="F15" s="799">
        <f ca="1">INDIRECT("'数据-取费表'!y"&amp;$G$1)</f>
        <v>0</v>
      </c>
      <c r="G15" s="1591"/>
      <c r="H15" s="1829" t="s">
        <v>1826</v>
      </c>
      <c r="I15" s="1827" t="s">
        <v>644</v>
      </c>
      <c r="J15" s="1819">
        <f ca="1">ROUND(J16*J17,0)</f>
        <v>0</v>
      </c>
      <c r="K15" s="1821" t="s">
        <v>642</v>
      </c>
      <c r="L15" s="800"/>
      <c r="M15" s="801"/>
    </row>
    <row r="16" spans="1:25" ht="18" customHeight="1">
      <c r="A16" s="802" t="s">
        <v>1875</v>
      </c>
      <c r="B16" s="783" t="s">
        <v>645</v>
      </c>
      <c r="C16" s="803">
        <f ca="1">INDIRECT("'数据-取费表'!m"&amp;$G$1)+INDIRECT("'数据-取费表'!t"&amp;$G$1)</f>
        <v>0</v>
      </c>
      <c r="D16" s="1979" t="s">
        <v>646</v>
      </c>
      <c r="E16" s="1980"/>
      <c r="F16" s="804"/>
      <c r="G16" s="1591"/>
      <c r="H16" s="802" t="s">
        <v>2068</v>
      </c>
      <c r="I16" s="2231" t="s">
        <v>2823</v>
      </c>
      <c r="J16" s="53">
        <f ca="1">C31</f>
        <v>0</v>
      </c>
      <c r="K16" s="26"/>
      <c r="L16" s="800"/>
      <c r="M16" s="801"/>
    </row>
    <row r="17" spans="1:25" s="2064" customFormat="1" ht="18" customHeight="1">
      <c r="A17" s="802" t="s">
        <v>1849</v>
      </c>
      <c r="B17" s="783" t="s">
        <v>647</v>
      </c>
      <c r="C17" s="53">
        <f ca="1">ROUND(C16*F17,0)</f>
        <v>0</v>
      </c>
      <c r="D17" s="805" t="s">
        <v>648</v>
      </c>
      <c r="E17" s="805" t="s">
        <v>649</v>
      </c>
      <c r="F17" s="806">
        <f>'数据-取费表'!B33</f>
        <v>0.03</v>
      </c>
      <c r="G17" s="1592"/>
      <c r="H17" s="802" t="s">
        <v>2069</v>
      </c>
      <c r="I17" s="783" t="s">
        <v>643</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1850</v>
      </c>
      <c r="B18" s="783" t="s">
        <v>650</v>
      </c>
      <c r="C18" s="53">
        <f ca="1">ROUND(INDIRECT("'数据-取费表'!m"&amp;$G$1)*F18,0)</f>
        <v>0</v>
      </c>
      <c r="D18" s="783" t="s">
        <v>648</v>
      </c>
      <c r="E18" s="783" t="s">
        <v>649</v>
      </c>
      <c r="F18" s="808">
        <f ca="1">IF(INDIRECT("'数据-取费表'!c"&amp;$G$1)="住宅",'数据-取费表'!B34,0)</f>
        <v>0</v>
      </c>
      <c r="G18" s="1591"/>
      <c r="H18" s="796" t="s">
        <v>1827</v>
      </c>
      <c r="I18" s="797" t="s">
        <v>651</v>
      </c>
      <c r="J18" s="798">
        <f ca="1">ROUND(J19+J24+J25+J26,0)</f>
        <v>0</v>
      </c>
      <c r="K18" s="26" t="s">
        <v>652</v>
      </c>
      <c r="L18" s="1982"/>
      <c r="M18" s="56"/>
    </row>
    <row r="19" spans="1:25" s="2064" customFormat="1" ht="18" customHeight="1">
      <c r="A19" s="802" t="s">
        <v>1851</v>
      </c>
      <c r="B19" s="783" t="s">
        <v>653</v>
      </c>
      <c r="C19" s="53">
        <f ca="1">ROUND(F19*(INDIRECT("'数据-取费表'!k"&amp;$G$1)+INDIRECT("'数据-取费表'!S"&amp;$G$1))/10000,0)</f>
        <v>0</v>
      </c>
      <c r="D19" s="783" t="s">
        <v>654</v>
      </c>
      <c r="E19" s="783" t="s">
        <v>655</v>
      </c>
      <c r="F19" s="56">
        <f>'数据-取费表'!B35</f>
        <v>200</v>
      </c>
      <c r="G19" s="1592"/>
      <c r="H19" s="802" t="s">
        <v>2068</v>
      </c>
      <c r="I19" s="783" t="s">
        <v>656</v>
      </c>
      <c r="J19" s="53">
        <f ca="1">ROUND(IF(项目基本情况!B11="自然人",J7*M19,J20+J21+J22),0)</f>
        <v>0</v>
      </c>
      <c r="K19" s="1979" t="s">
        <v>657</v>
      </c>
      <c r="L19" s="1977" t="s">
        <v>658</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1852</v>
      </c>
      <c r="B20" s="783" t="s">
        <v>659</v>
      </c>
      <c r="C20" s="53">
        <f ca="1">ROUND(C16*F20,0)</f>
        <v>0</v>
      </c>
      <c r="D20" s="783" t="s">
        <v>648</v>
      </c>
      <c r="E20" s="783" t="s">
        <v>649</v>
      </c>
      <c r="F20" s="808">
        <f>'数据-取费表'!B36</f>
        <v>1.4999999999999999E-2</v>
      </c>
      <c r="G20" s="1592"/>
      <c r="H20" s="802" t="s">
        <v>1831</v>
      </c>
      <c r="I20" s="783" t="s">
        <v>660</v>
      </c>
      <c r="J20" s="53">
        <f ca="1">ROUND(J7*M20/1.05,1)</f>
        <v>0</v>
      </c>
      <c r="K20" s="1977" t="s">
        <v>661</v>
      </c>
      <c r="L20" s="783" t="s">
        <v>649</v>
      </c>
      <c r="M20" s="808">
        <f>'数据-取费表'!B41</f>
        <v>5.5000000000000007E-2</v>
      </c>
      <c r="N20" s="2063"/>
      <c r="O20" s="2063"/>
      <c r="P20" s="2063"/>
      <c r="Q20" s="2063"/>
      <c r="R20" s="2063"/>
      <c r="S20" s="2063"/>
      <c r="T20" s="2063"/>
      <c r="U20" s="2063"/>
      <c r="V20" s="2063"/>
      <c r="W20" s="2063"/>
      <c r="X20" s="2063"/>
      <c r="Y20" s="2063"/>
    </row>
    <row r="21" spans="1:25" ht="18" customHeight="1">
      <c r="A21" s="802" t="s">
        <v>1876</v>
      </c>
      <c r="B21" s="783" t="s">
        <v>662</v>
      </c>
      <c r="C21" s="53">
        <f ca="1">SUM(C16:C20)</f>
        <v>0</v>
      </c>
      <c r="D21" s="260" t="s">
        <v>663</v>
      </c>
      <c r="E21" s="1982"/>
      <c r="F21" s="56"/>
      <c r="G21" s="1591"/>
      <c r="H21" s="1830" t="s">
        <v>1849</v>
      </c>
      <c r="I21" s="783" t="s">
        <v>664</v>
      </c>
      <c r="J21" s="53">
        <f ca="1">IF(K21="按租金收入计税",ROUND(J7*M21,1),ROUND(C31*F35*0.7,1))</f>
        <v>0</v>
      </c>
      <c r="K21" s="810" t="s">
        <v>665</v>
      </c>
      <c r="L21" s="783" t="s">
        <v>649</v>
      </c>
      <c r="M21" s="808">
        <f>IF(K21="按租金收入计税",'数据-取费表'!B51,'数据-取费表'!B50)</f>
        <v>1.2E-2</v>
      </c>
    </row>
    <row r="22" spans="1:25" s="2064" customFormat="1" ht="18" customHeight="1">
      <c r="A22" s="802" t="s">
        <v>1877</v>
      </c>
      <c r="B22" s="783" t="s">
        <v>666</v>
      </c>
      <c r="C22" s="53">
        <f ca="1">ROUND(C21*F22,0)</f>
        <v>0</v>
      </c>
      <c r="D22" s="811" t="s">
        <v>667</v>
      </c>
      <c r="E22" s="783" t="s">
        <v>649</v>
      </c>
      <c r="F22" s="808">
        <f>'数据-取费表'!B37</f>
        <v>0.02</v>
      </c>
      <c r="G22" s="1592"/>
      <c r="H22" s="1832" t="s">
        <v>1850</v>
      </c>
      <c r="I22" s="1822" t="s">
        <v>668</v>
      </c>
      <c r="J22" s="54">
        <f ca="1">ROUND(M22*M23/10000,0)</f>
        <v>0</v>
      </c>
      <c r="K22" s="813" t="s">
        <v>669</v>
      </c>
      <c r="L22" s="783" t="s">
        <v>670</v>
      </c>
      <c r="M22" s="639">
        <f>'数据-取费表'!B52</f>
        <v>6</v>
      </c>
      <c r="N22" s="2063"/>
      <c r="O22" s="2063"/>
      <c r="P22" s="2063"/>
      <c r="Q22" s="2063"/>
      <c r="R22" s="2063"/>
      <c r="S22" s="2063"/>
      <c r="T22" s="2063"/>
      <c r="U22" s="2063"/>
      <c r="V22" s="2063"/>
      <c r="W22" s="2063"/>
      <c r="X22" s="2063"/>
      <c r="Y22" s="2063"/>
    </row>
    <row r="23" spans="1:25" s="2064" customFormat="1" ht="18" customHeight="1">
      <c r="A23" s="802" t="s">
        <v>1878</v>
      </c>
      <c r="B23" s="783" t="s">
        <v>671</v>
      </c>
      <c r="C23" s="53" t="s">
        <v>1</v>
      </c>
      <c r="D23" s="811" t="s">
        <v>672</v>
      </c>
      <c r="E23" s="783" t="s">
        <v>673</v>
      </c>
      <c r="F23" s="808">
        <f>'数据-取费表'!B38</f>
        <v>0.01</v>
      </c>
      <c r="G23" s="1592"/>
      <c r="H23" s="1833"/>
      <c r="I23" s="1824"/>
      <c r="J23" s="69"/>
      <c r="K23" s="815"/>
      <c r="L23" s="783" t="s">
        <v>674</v>
      </c>
      <c r="M23" s="784">
        <f ca="1">INDIRECT("'数据-取费表'!r"&amp;$G$1)</f>
        <v>0</v>
      </c>
      <c r="N23" s="2063"/>
      <c r="O23" s="2063"/>
      <c r="P23" s="2063"/>
      <c r="Q23" s="2063"/>
      <c r="R23" s="2063"/>
      <c r="S23" s="2063"/>
      <c r="T23" s="2063"/>
      <c r="U23" s="2063"/>
      <c r="V23" s="2063"/>
      <c r="W23" s="2063"/>
      <c r="X23" s="2063"/>
      <c r="Y23" s="2063"/>
    </row>
    <row r="24" spans="1:25" ht="18" customHeight="1">
      <c r="A24" s="802" t="s">
        <v>1879</v>
      </c>
      <c r="B24" s="783" t="s">
        <v>675</v>
      </c>
      <c r="C24" s="53"/>
      <c r="D24" s="2596" t="str">
        <f>IF(F25&lt;=1,"单利计息。","复利计息。")&amp;"建造成本、管理费用、销售费用产生的利息。"</f>
        <v>复利计息。建造成本、管理费用、销售费用产生的利息。</v>
      </c>
      <c r="E24" s="1982"/>
      <c r="F24" s="56"/>
      <c r="G24" s="1591"/>
      <c r="H24" s="1831" t="s">
        <v>2069</v>
      </c>
      <c r="I24" s="783" t="s">
        <v>676</v>
      </c>
      <c r="J24" s="53">
        <f ca="1">ROUND(J16*M24,0)</f>
        <v>0</v>
      </c>
      <c r="K24" s="1977" t="s">
        <v>677</v>
      </c>
      <c r="L24" s="783" t="s">
        <v>649</v>
      </c>
      <c r="M24" s="816">
        <f ca="1">INDIRECT("'数据-取费表'!Ak"&amp;$G$1)</f>
        <v>0</v>
      </c>
    </row>
    <row r="25" spans="1:25" s="2064" customFormat="1" ht="18" customHeight="1">
      <c r="A25" s="802" t="s">
        <v>1875</v>
      </c>
      <c r="B25" s="783" t="s">
        <v>2435</v>
      </c>
      <c r="C25" s="53">
        <f ca="1">ROUND(IF('数据-取费表'!B22&lt;=1,(C21+C22)*F26*F25/2,(C21+C22)*(POWER((1+F26),F25/2)-1)),0)</f>
        <v>0</v>
      </c>
      <c r="D25" s="2595" t="str">
        <f>IF(F25&lt;=1,"(建造成本+管理费用)×利率×(建设周期÷2)","(建造成本+管理费用)×((1+利率)^(建设周期÷2)-1)")</f>
        <v>(建造成本+管理费用)×((1+利率)^(建设周期÷2)-1)</v>
      </c>
      <c r="E25" s="783" t="s">
        <v>678</v>
      </c>
      <c r="F25" s="639">
        <f>'数据-取费表'!B20</f>
        <v>1.5</v>
      </c>
      <c r="G25" s="1592"/>
      <c r="H25" s="802" t="s">
        <v>1878</v>
      </c>
      <c r="I25" s="783" t="s">
        <v>679</v>
      </c>
      <c r="J25" s="53">
        <f ca="1">ROUND(J15*M25,0)</f>
        <v>0</v>
      </c>
      <c r="K25" s="1977" t="s">
        <v>680</v>
      </c>
      <c r="L25" s="783" t="s">
        <v>649</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1849</v>
      </c>
      <c r="B26" s="783" t="s">
        <v>681</v>
      </c>
      <c r="C26" s="53">
        <f ca="1">ROUND(IF('数据-取费表'!B22&lt;=1,F23*F26*F25/2,F23*(POWER((1+F26),F25/2)-1)),4)</f>
        <v>4.0000000000000002E-4</v>
      </c>
      <c r="D26" s="2595" t="str">
        <f>IF(F25&lt;=1,"销售费用×利率×(建设周期÷2)","销售费用×((1+利率)^(建设周期÷2)-1)")</f>
        <v>销售费用×((1+利率)^(建设周期÷2)-1)</v>
      </c>
      <c r="E26" s="783" t="s">
        <v>682</v>
      </c>
      <c r="F26" s="818">
        <f ca="1">'数据-取费表'!B40</f>
        <v>4.7500000000000001E-2</v>
      </c>
      <c r="G26" s="1592"/>
      <c r="H26" s="802" t="s">
        <v>1879</v>
      </c>
      <c r="I26" s="783" t="s">
        <v>666</v>
      </c>
      <c r="J26" s="53">
        <f ca="1">ROUND(J7*M26,0)</f>
        <v>0</v>
      </c>
      <c r="K26" s="1977" t="s">
        <v>683</v>
      </c>
      <c r="L26" s="783" t="s">
        <v>649</v>
      </c>
      <c r="M26" s="793">
        <f ca="1">INDIRECT("'数据-取费表'!Am"&amp;$G$1)</f>
        <v>0</v>
      </c>
      <c r="N26" s="2063"/>
      <c r="O26" s="2063"/>
      <c r="P26" s="2063"/>
      <c r="Q26" s="2063"/>
      <c r="R26" s="2063"/>
      <c r="S26" s="2063"/>
      <c r="T26" s="2063"/>
      <c r="U26" s="2063"/>
      <c r="V26" s="2063"/>
      <c r="W26" s="2063"/>
      <c r="X26" s="2063"/>
      <c r="Y26" s="2063"/>
    </row>
    <row r="27" spans="1:25" ht="18" customHeight="1">
      <c r="A27" s="802" t="s">
        <v>1881</v>
      </c>
      <c r="B27" s="783" t="s">
        <v>684</v>
      </c>
      <c r="C27" s="53"/>
      <c r="D27" s="260" t="s">
        <v>685</v>
      </c>
      <c r="E27" s="1982"/>
      <c r="F27" s="56"/>
      <c r="G27" s="1591"/>
      <c r="H27" s="796" t="s">
        <v>1828</v>
      </c>
      <c r="I27" s="3035" t="s">
        <v>2820</v>
      </c>
      <c r="J27" s="798">
        <f ca="1">J7-J18</f>
        <v>0</v>
      </c>
      <c r="K27" s="1979" t="s">
        <v>700</v>
      </c>
      <c r="L27" s="1981"/>
      <c r="M27" s="819"/>
    </row>
    <row r="28" spans="1:25" ht="18" customHeight="1">
      <c r="A28" s="802" t="s">
        <v>1875</v>
      </c>
      <c r="B28" s="783" t="s">
        <v>2436</v>
      </c>
      <c r="C28" s="53">
        <f ca="1">ROUND((C21+C22)*F28,0)</f>
        <v>0</v>
      </c>
      <c r="D28" s="811" t="s">
        <v>701</v>
      </c>
      <c r="E28" s="794" t="s">
        <v>702</v>
      </c>
      <c r="F28" s="793">
        <f ca="1">INDIRECT("'数据-取费表'!q"&amp;$G$1)</f>
        <v>0</v>
      </c>
      <c r="G28" s="1591"/>
      <c r="H28" s="780" t="s">
        <v>1837</v>
      </c>
      <c r="I28" s="781" t="s">
        <v>703</v>
      </c>
      <c r="J28" s="782">
        <f ca="1">IF(J7&lt;&gt;0,ROUND(J27*(1-((1+M30)/(1+M28))^M29)/(M28-M30),0),0)</f>
        <v>0</v>
      </c>
      <c r="K28" s="813" t="s">
        <v>704</v>
      </c>
      <c r="L28" s="783" t="s">
        <v>705</v>
      </c>
      <c r="M28" s="793">
        <f ca="1">INDIRECT("'数据-取费表'!I"&amp;$G$1)</f>
        <v>0</v>
      </c>
    </row>
    <row r="29" spans="1:25" ht="18" customHeight="1">
      <c r="A29" s="802" t="s">
        <v>1849</v>
      </c>
      <c r="B29" s="783" t="s">
        <v>686</v>
      </c>
      <c r="C29" s="53">
        <f ca="1">ROUND(F23*F28,4)</f>
        <v>0</v>
      </c>
      <c r="D29" s="811" t="s">
        <v>706</v>
      </c>
      <c r="E29" s="805"/>
      <c r="F29" s="806"/>
      <c r="G29" s="1591"/>
      <c r="H29" s="785"/>
      <c r="I29" s="786"/>
      <c r="J29" s="787"/>
      <c r="K29" s="820" t="s">
        <v>707</v>
      </c>
      <c r="L29" s="783" t="s">
        <v>708</v>
      </c>
      <c r="M29" s="821">
        <f ca="1">INDIRECT("'数据-取费表'!ag"&amp;$G$1)</f>
        <v>0</v>
      </c>
    </row>
    <row r="30" spans="1:25" s="2064" customFormat="1" ht="18" customHeight="1">
      <c r="A30" s="802" t="s">
        <v>1882</v>
      </c>
      <c r="B30" s="783" t="s">
        <v>687</v>
      </c>
      <c r="C30" s="53">
        <f>ROUND(F30/(1+'数据-取费表'!C42),4)</f>
        <v>5.2400000000000002E-2</v>
      </c>
      <c r="D30" s="811" t="s">
        <v>709</v>
      </c>
      <c r="E30" s="783" t="s">
        <v>649</v>
      </c>
      <c r="F30" s="808">
        <f>'数据-取费表'!B41</f>
        <v>5.5000000000000007E-2</v>
      </c>
      <c r="G30" s="1592"/>
      <c r="H30" s="789"/>
      <c r="I30" s="790"/>
      <c r="J30" s="791"/>
      <c r="K30" s="815"/>
      <c r="L30" s="783" t="s">
        <v>710</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2821</v>
      </c>
      <c r="C31" s="2568">
        <f ca="1">ROUND((C21+C22+C25+C28)/(1-F23-C26-C29-C30),0)</f>
        <v>0</v>
      </c>
      <c r="D31" s="2569"/>
      <c r="E31" s="2570"/>
      <c r="F31" s="2571"/>
      <c r="G31" s="1592"/>
      <c r="H31" s="822" t="s">
        <v>1872</v>
      </c>
      <c r="I31" s="3036" t="s">
        <v>2822</v>
      </c>
      <c r="J31" s="824">
        <f ca="1">ROUND(J28/(1+F45)^F46,0)</f>
        <v>0</v>
      </c>
      <c r="K31" s="825" t="s">
        <v>688</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1">
        <f ca="1">ROUND(C33+C38+C39+C40,0)</f>
        <v>0</v>
      </c>
      <c r="D32" s="1821" t="s">
        <v>652</v>
      </c>
      <c r="E32" s="2511"/>
      <c r="F32" s="2515"/>
      <c r="G32" s="2062"/>
      <c r="H32" s="2065"/>
      <c r="I32" s="2066"/>
      <c r="J32" s="2067"/>
      <c r="K32" s="2068"/>
      <c r="L32" s="2069"/>
      <c r="M32" s="2070"/>
    </row>
    <row r="33" spans="1:18" ht="18" customHeight="1">
      <c r="A33" s="802" t="s">
        <v>1876</v>
      </c>
      <c r="B33" s="783" t="s">
        <v>656</v>
      </c>
      <c r="C33" s="53">
        <f ca="1">ROUND(IF(项目基本情况!B11="自然人",C7*F33,C34+C35+C36),1)</f>
        <v>0</v>
      </c>
      <c r="D33" s="1979" t="s">
        <v>657</v>
      </c>
      <c r="E33" s="1977" t="s">
        <v>690</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1875</v>
      </c>
      <c r="B34" s="783" t="s">
        <v>660</v>
      </c>
      <c r="C34" s="53">
        <f ca="1">ROUND(C7*F34/1.05,1)</f>
        <v>0</v>
      </c>
      <c r="D34" s="1977" t="s">
        <v>661</v>
      </c>
      <c r="E34" s="783" t="s">
        <v>649</v>
      </c>
      <c r="F34" s="808">
        <f>'数据-取费表'!B41</f>
        <v>5.5000000000000007E-2</v>
      </c>
      <c r="G34" s="2062"/>
      <c r="H34" s="2071"/>
      <c r="I34" s="2072"/>
      <c r="J34" s="2073"/>
      <c r="K34" s="2074"/>
      <c r="L34" s="2075"/>
      <c r="M34" s="2076"/>
    </row>
    <row r="35" spans="1:18" ht="18" customHeight="1">
      <c r="A35" s="802" t="s">
        <v>1849</v>
      </c>
      <c r="B35" s="783" t="s">
        <v>664</v>
      </c>
      <c r="C35" s="53">
        <f ca="1">IF(D35="按租金收入计税",ROUND(C7*F35,1),IF(D35="按房产原值计税",ROUND(C31*F35*0.7,1),INDIRECT("'数据-取费表'!Aj"&amp;$G$1)))</f>
        <v>0</v>
      </c>
      <c r="D35" s="810" t="s">
        <v>1680</v>
      </c>
      <c r="E35" s="783" t="s">
        <v>649</v>
      </c>
      <c r="F35" s="808">
        <f>IF(D35="按租金收入计税",'数据-取费表'!B51,'数据-取费表'!B50)</f>
        <v>1.2E-2</v>
      </c>
      <c r="G35" s="2062"/>
      <c r="H35" s="2077"/>
      <c r="I35" s="2077"/>
      <c r="J35" s="2077"/>
      <c r="K35" s="2078"/>
      <c r="L35" s="2077"/>
      <c r="M35" s="2077"/>
    </row>
    <row r="36" spans="1:18" ht="18" customHeight="1">
      <c r="A36" s="812" t="s">
        <v>1880</v>
      </c>
      <c r="B36" s="340" t="s">
        <v>668</v>
      </c>
      <c r="C36" s="54">
        <f ca="1">ROUND(F36*F37/10000,1)</f>
        <v>0</v>
      </c>
      <c r="D36" s="813" t="s">
        <v>669</v>
      </c>
      <c r="E36" s="783" t="s">
        <v>670</v>
      </c>
      <c r="F36" s="639">
        <f>'数据-取费表'!B52</f>
        <v>6</v>
      </c>
      <c r="G36" s="2062"/>
      <c r="H36" s="2065"/>
      <c r="I36" s="3869"/>
      <c r="J36" s="2079"/>
      <c r="K36" s="2080"/>
      <c r="L36" s="2079"/>
      <c r="M36" s="2079"/>
    </row>
    <row r="37" spans="1:18" ht="18" customHeight="1">
      <c r="A37" s="814"/>
      <c r="B37" s="792"/>
      <c r="C37" s="69"/>
      <c r="D37" s="815"/>
      <c r="E37" s="783" t="s">
        <v>674</v>
      </c>
      <c r="F37" s="784">
        <f ca="1">INDIRECT("'数据-取费表'!r"&amp;$G$1)</f>
        <v>0</v>
      </c>
      <c r="G37" s="2062"/>
      <c r="H37" s="2065"/>
      <c r="I37" s="3869"/>
      <c r="J37" s="2077"/>
      <c r="K37" s="2078"/>
      <c r="L37" s="2077"/>
      <c r="M37" s="2077"/>
    </row>
    <row r="38" spans="1:18" ht="18" customHeight="1">
      <c r="A38" s="802" t="s">
        <v>1877</v>
      </c>
      <c r="B38" s="783" t="s">
        <v>676</v>
      </c>
      <c r="C38" s="53">
        <f ca="1">ROUND(C31*F38,1)</f>
        <v>0</v>
      </c>
      <c r="D38" s="1977" t="s">
        <v>691</v>
      </c>
      <c r="E38" s="783" t="s">
        <v>649</v>
      </c>
      <c r="F38" s="816">
        <f ca="1">INDIRECT("'数据-取费表'!Ak"&amp;$G$1)</f>
        <v>0</v>
      </c>
      <c r="G38" s="2062"/>
      <c r="H38" s="2077"/>
      <c r="I38" s="2081"/>
      <c r="J38" s="1988"/>
      <c r="K38" s="2082"/>
      <c r="L38" s="2077"/>
      <c r="M38" s="2077"/>
    </row>
    <row r="39" spans="1:18" ht="18" customHeight="1">
      <c r="A39" s="802" t="s">
        <v>1878</v>
      </c>
      <c r="B39" s="783" t="s">
        <v>679</v>
      </c>
      <c r="C39" s="53">
        <f ca="1">ROUND(C15*F39,1)</f>
        <v>0</v>
      </c>
      <c r="D39" s="1977" t="s">
        <v>680</v>
      </c>
      <c r="E39" s="783" t="s">
        <v>649</v>
      </c>
      <c r="F39" s="817">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1"/>
      <c r="D41" s="1352"/>
      <c r="E41" s="1352"/>
      <c r="F41" s="1353"/>
      <c r="G41" s="2062"/>
      <c r="H41" s="2062"/>
      <c r="I41" s="2062"/>
      <c r="J41" s="2062"/>
      <c r="K41" s="2083"/>
      <c r="L41" s="2062"/>
      <c r="M41" s="2062"/>
    </row>
    <row r="42" spans="1:18" ht="18" customHeight="1">
      <c r="A42" s="802" t="s">
        <v>1876</v>
      </c>
      <c r="B42" s="834" t="s">
        <v>693</v>
      </c>
      <c r="C42" s="828">
        <f ca="1">C7-C32</f>
        <v>0</v>
      </c>
      <c r="D42" s="1979" t="s">
        <v>694</v>
      </c>
      <c r="E42" s="1981"/>
      <c r="F42" s="819"/>
      <c r="G42" s="2062"/>
      <c r="H42" s="2062"/>
      <c r="I42" s="2062"/>
      <c r="J42" s="2062"/>
      <c r="K42" s="2083"/>
      <c r="L42" s="2062"/>
      <c r="M42" s="2062"/>
    </row>
    <row r="43" spans="1:18" ht="18" customHeight="1">
      <c r="A43" s="802" t="s">
        <v>1877</v>
      </c>
      <c r="B43" s="834" t="s">
        <v>711</v>
      </c>
      <c r="C43" s="835">
        <f ca="1">ROUND(C15*F43,0)</f>
        <v>0</v>
      </c>
      <c r="D43" s="1354" t="s">
        <v>712</v>
      </c>
      <c r="E43" s="3153" t="s">
        <v>2961</v>
      </c>
      <c r="F43" s="3154">
        <f ca="1">INDIRECT("'数据-取费表'!j"&amp;$G$1)</f>
        <v>0</v>
      </c>
      <c r="G43" s="2062"/>
      <c r="H43" s="2062"/>
      <c r="I43" s="2062"/>
      <c r="J43" s="2062"/>
      <c r="K43" s="2083"/>
      <c r="L43" s="2062"/>
      <c r="M43" s="2062"/>
    </row>
    <row r="44" spans="1:18" ht="18" customHeight="1">
      <c r="A44" s="802" t="s">
        <v>1878</v>
      </c>
      <c r="B44" s="834" t="s">
        <v>713</v>
      </c>
      <c r="C44" s="1355">
        <f ca="1">C42-C43</f>
        <v>0</v>
      </c>
      <c r="D44" s="462" t="s">
        <v>714</v>
      </c>
      <c r="E44" s="463"/>
      <c r="F44" s="464"/>
      <c r="G44" s="2062"/>
      <c r="H44" s="2062"/>
      <c r="I44" s="2062"/>
      <c r="J44" s="2062"/>
      <c r="K44" s="2083"/>
      <c r="L44" s="2062"/>
      <c r="M44" s="2062"/>
    </row>
    <row r="45" spans="1:18" ht="18" customHeight="1">
      <c r="A45" s="802" t="s">
        <v>1879</v>
      </c>
      <c r="B45" s="1354" t="s">
        <v>715</v>
      </c>
      <c r="C45" s="3062">
        <f ca="1">ROUND(-PV(F45,F46,C44,0),0)</f>
        <v>0</v>
      </c>
      <c r="D45" s="1356" t="s">
        <v>716</v>
      </c>
      <c r="E45" s="805" t="s">
        <v>717</v>
      </c>
      <c r="F45" s="829">
        <f ca="1">INDIRECT("'数据-取费表'!h"&amp;$G$1)</f>
        <v>0</v>
      </c>
      <c r="G45" s="2062"/>
      <c r="H45" s="2062"/>
      <c r="I45" s="2062"/>
      <c r="J45" s="2062"/>
      <c r="K45" s="2083"/>
      <c r="L45" s="2062"/>
      <c r="M45" s="2062"/>
    </row>
    <row r="46" spans="1:18" ht="18" customHeight="1" thickBot="1">
      <c r="A46" s="830"/>
      <c r="B46" s="1357"/>
      <c r="C46" s="1358"/>
      <c r="D46" s="1359"/>
      <c r="E46" s="3155" t="s">
        <v>2964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2340</v>
      </c>
      <c r="J47" s="2379"/>
      <c r="K47" s="2380"/>
      <c r="L47" s="2381" t="str">
        <f ca="1">IF(M48="住宅",0,IF(L49&gt;J52,L61,J61))</f>
        <v>0</v>
      </c>
      <c r="O47" s="2418" t="s">
        <v>2408</v>
      </c>
      <c r="P47" s="1591"/>
      <c r="Q47" s="1603"/>
      <c r="R47" s="1591"/>
    </row>
    <row r="48" spans="1:18" s="2059" customFormat="1" ht="18" customHeight="1" thickBot="1">
      <c r="A48" s="2084"/>
      <c r="C48" s="2087"/>
      <c r="D48" s="2088"/>
      <c r="E48" s="2088"/>
      <c r="F48" s="2089"/>
      <c r="G48" s="2090"/>
      <c r="I48" s="2382" t="s">
        <v>2341</v>
      </c>
      <c r="J48" s="2387"/>
      <c r="K48" s="2388" t="s">
        <v>2347</v>
      </c>
      <c r="L48" s="2389">
        <f ca="1">INDIRECT("'数据-取费表'!d"&amp;$G$1)</f>
        <v>0</v>
      </c>
      <c r="M48" s="3150" t="str">
        <f>IF(ISNUMBER(FIND("住宅",C1)),"住宅","非住宅")</f>
        <v>非住宅</v>
      </c>
      <c r="O48" s="2419" t="s">
        <v>2373</v>
      </c>
      <c r="P48" s="2420" t="s">
        <v>2374</v>
      </c>
      <c r="Q48" s="2421" t="s">
        <v>2375</v>
      </c>
      <c r="R48" s="2420" t="s">
        <v>2376</v>
      </c>
    </row>
    <row r="49" spans="1:18" s="2059" customFormat="1" ht="18" customHeight="1" thickBot="1">
      <c r="A49" s="2084"/>
      <c r="D49" s="2091"/>
      <c r="E49" s="2092"/>
      <c r="F49" s="2089"/>
      <c r="G49" s="2090"/>
      <c r="H49" s="2093"/>
      <c r="I49" s="2383" t="s">
        <v>2342</v>
      </c>
      <c r="J49" s="2390"/>
      <c r="K49" s="2391" t="s">
        <v>2349</v>
      </c>
      <c r="L49" s="2392">
        <f ca="1">INDIRECT("'数据-取费表'!f"&amp;$G$1)</f>
        <v>0</v>
      </c>
      <c r="O49" s="2422" t="s">
        <v>2377</v>
      </c>
      <c r="P49" s="2423" t="s">
        <v>2403</v>
      </c>
      <c r="Q49" s="2424">
        <f ca="1">C41+J31</f>
        <v>0</v>
      </c>
      <c r="R49" s="2423" t="s">
        <v>2378</v>
      </c>
    </row>
    <row r="50" spans="1:18" s="2059" customFormat="1" ht="18" customHeight="1" thickBot="1">
      <c r="A50" s="2084"/>
      <c r="D50" s="2094"/>
      <c r="E50" s="2094"/>
      <c r="F50" s="2088"/>
      <c r="G50" s="2095"/>
      <c r="H50" s="2093"/>
      <c r="I50" s="2383" t="s">
        <v>2343</v>
      </c>
      <c r="J50" s="2393"/>
      <c r="K50" s="2394" t="s">
        <v>2350</v>
      </c>
      <c r="L50" s="2395"/>
      <c r="O50" s="2422" t="s">
        <v>2379</v>
      </c>
      <c r="P50" s="2423" t="s">
        <v>2404</v>
      </c>
      <c r="Q50" s="2424" t="str">
        <f ca="1">J61</f>
        <v>0</v>
      </c>
      <c r="R50" s="2423" t="s">
        <v>2380</v>
      </c>
    </row>
    <row r="51" spans="1:18" s="2059" customFormat="1" ht="18" customHeight="1" thickBot="1">
      <c r="A51" s="2096"/>
      <c r="D51" s="2094"/>
      <c r="E51" s="2094"/>
      <c r="F51" s="2085"/>
      <c r="H51" s="2093"/>
      <c r="I51" s="2383" t="s">
        <v>2344</v>
      </c>
      <c r="J51" s="2396">
        <f>SUMPRODUCT((I64:I66=J48)*(J63:L63=J49)*(J64:L66))</f>
        <v>0</v>
      </c>
      <c r="K51" s="2394" t="s">
        <v>2351</v>
      </c>
      <c r="L51" s="2395"/>
      <c r="O51" s="2425" t="s">
        <v>2381</v>
      </c>
      <c r="P51" s="2423" t="s">
        <v>2405</v>
      </c>
      <c r="Q51" s="2424">
        <f ca="1">C31</f>
        <v>0</v>
      </c>
      <c r="R51" s="2423" t="s">
        <v>2378</v>
      </c>
    </row>
    <row r="52" spans="1:18" s="2059" customFormat="1" ht="18" customHeight="1" thickBot="1">
      <c r="A52" s="2096"/>
      <c r="F52" s="2085"/>
      <c r="I52" s="2384" t="s">
        <v>2345</v>
      </c>
      <c r="J52" s="2397">
        <f>IF(J50="",J51,J50+J51-YEAR('数据-取费表'!B3))</f>
        <v>0</v>
      </c>
      <c r="K52" s="2383" t="s">
        <v>2352</v>
      </c>
      <c r="L52" s="2398">
        <f ca="1">ROUND(-PV(INDIRECT("'数据-取费表'!h"&amp;$G$1),L49,(C40-C14*J36),0),0)</f>
        <v>0</v>
      </c>
      <c r="O52" s="2425" t="s">
        <v>2382</v>
      </c>
      <c r="P52" s="2423" t="s">
        <v>2383</v>
      </c>
      <c r="Q52" s="2426" t="e">
        <f ca="1">J59</f>
        <v>#VALUE!</v>
      </c>
      <c r="R52" s="2427"/>
    </row>
    <row r="53" spans="1:18" s="2059" customFormat="1" ht="18" customHeight="1" thickBot="1">
      <c r="A53" s="2096"/>
      <c r="F53" s="2085"/>
      <c r="I53" s="2385" t="s">
        <v>2419</v>
      </c>
      <c r="J53" s="2399"/>
      <c r="K53" s="2385" t="s">
        <v>2418</v>
      </c>
      <c r="L53" s="2399"/>
      <c r="O53" s="2425" t="s">
        <v>2384</v>
      </c>
      <c r="P53" s="2423" t="s">
        <v>2385</v>
      </c>
      <c r="Q53" s="2426">
        <f>J53</f>
        <v>0</v>
      </c>
      <c r="R53" s="2427"/>
    </row>
    <row r="54" spans="1:18" s="2059" customFormat="1" ht="43.5" thickBot="1">
      <c r="A54" s="2096"/>
      <c r="I54" s="2386" t="s">
        <v>2346</v>
      </c>
      <c r="J54" s="2400">
        <f ca="1">IF(M48="住宅",J52,IF(J52&gt;L49,L49-'数据-取费表'!B25,J52))</f>
        <v>0</v>
      </c>
      <c r="K54" s="3874"/>
      <c r="L54" s="3875"/>
      <c r="O54" s="2425" t="s">
        <v>2386</v>
      </c>
      <c r="P54" s="2423" t="s">
        <v>2387</v>
      </c>
      <c r="Q54" s="2424">
        <f ca="1">J54</f>
        <v>0</v>
      </c>
      <c r="R54" s="2423" t="s">
        <v>2388</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2389</v>
      </c>
      <c r="P55" s="2423" t="s">
        <v>2406</v>
      </c>
      <c r="Q55" s="2424">
        <f ca="1">Q49+Q50</f>
        <v>0</v>
      </c>
      <c r="R55" s="2427" t="s">
        <v>2390</v>
      </c>
    </row>
    <row r="56" spans="1:18" s="2059" customFormat="1" ht="16.5" thickBot="1">
      <c r="A56" s="2096"/>
      <c r="B56" s="2097"/>
      <c r="C56" s="2097"/>
      <c r="I56" s="3127" t="s">
        <v>2353</v>
      </c>
      <c r="J56" s="3151" t="e">
        <f ca="1">ROUND(IF(J48="钢混",J58/J51,1-(1-2%)*(J51-J58)/J51),3)</f>
        <v>#VALUE!</v>
      </c>
      <c r="K56" s="2401" t="s">
        <v>2354</v>
      </c>
      <c r="L56" s="2402"/>
      <c r="O56" s="2428" t="s">
        <v>2409</v>
      </c>
      <c r="P56" s="1591"/>
      <c r="Q56" s="1603"/>
      <c r="R56" s="1591"/>
    </row>
    <row r="57" spans="1:18" s="2059" customFormat="1" ht="43.5" thickBot="1">
      <c r="A57" s="2096"/>
      <c r="B57" s="2097"/>
      <c r="C57" s="2097"/>
      <c r="I57" s="2403" t="s">
        <v>2355</v>
      </c>
      <c r="J57" s="3150" t="s">
        <v>1678</v>
      </c>
      <c r="K57" s="2383" t="s">
        <v>2360</v>
      </c>
      <c r="L57" s="2392">
        <f ca="1">IF(L49&lt;J52,"——",L49-J52)</f>
        <v>0</v>
      </c>
      <c r="O57" s="2419" t="s">
        <v>2373</v>
      </c>
      <c r="P57" s="2420" t="s">
        <v>2374</v>
      </c>
      <c r="Q57" s="2421" t="s">
        <v>2375</v>
      </c>
      <c r="R57" s="2420" t="s">
        <v>2376</v>
      </c>
    </row>
    <row r="58" spans="1:18" s="2059" customFormat="1" ht="29.25" thickBot="1">
      <c r="A58" s="2096"/>
      <c r="B58" s="2097"/>
      <c r="C58" s="2097"/>
      <c r="I58" s="2404" t="s">
        <v>2356</v>
      </c>
      <c r="J58" s="2406" t="str">
        <f ca="1">IF(OR(M48="住宅",J52&lt;L49,J57="是"),"——",J52-L49)</f>
        <v>——</v>
      </c>
      <c r="K58" s="2383" t="s">
        <v>2361</v>
      </c>
      <c r="L58" s="2392">
        <f ca="1">IF(L49&lt;J52,"——",IF(L56="比较法",L50,IF(L56="基准地价",L51,L52)))</f>
        <v>0</v>
      </c>
      <c r="O58" s="2422" t="s">
        <v>2377</v>
      </c>
      <c r="P58" s="2423" t="s">
        <v>2403</v>
      </c>
      <c r="Q58" s="2424">
        <f ca="1">C41+J31</f>
        <v>0</v>
      </c>
      <c r="R58" s="2423" t="s">
        <v>2378</v>
      </c>
    </row>
    <row r="59" spans="1:18" s="2059" customFormat="1" ht="29.25" thickBot="1">
      <c r="A59" s="2096"/>
      <c r="B59" s="2097"/>
      <c r="C59" s="2097"/>
      <c r="I59" s="2404" t="s">
        <v>2357</v>
      </c>
      <c r="J59" s="3152" t="e">
        <f ca="1">IF(J56&lt;0.4,0.4,J56)</f>
        <v>#VALUE!</v>
      </c>
      <c r="K59" s="2383" t="s">
        <v>2362</v>
      </c>
      <c r="L59" s="2392">
        <f ca="1">IF(ISERROR(POWER(1+L53,L48-L49)*(POWER(1+L53,L49)-1)/(POWER(1+L53,L48)-1)),0,POWER(1+L53,L48-L49)*(POWER(1+L53,L49)-1)/(POWER(1+L53,L48)-1))</f>
        <v>0</v>
      </c>
      <c r="O59" s="2422" t="s">
        <v>2379</v>
      </c>
      <c r="P59" s="2423" t="s">
        <v>2410</v>
      </c>
      <c r="Q59" s="2424" t="e">
        <f ca="1">L61</f>
        <v>#DIV/0!</v>
      </c>
      <c r="R59" s="2427" t="s">
        <v>2412</v>
      </c>
    </row>
    <row r="60" spans="1:18" s="2059" customFormat="1" ht="29.25" thickBot="1">
      <c r="A60" s="2096"/>
      <c r="B60" s="2097"/>
      <c r="C60" s="2097"/>
      <c r="I60" s="2404" t="s">
        <v>2358</v>
      </c>
      <c r="J60" s="2406" t="str">
        <f ca="1">IF(OR(M48="住宅",J52&lt;L49,J57="是"),"——",ROUND(C30*J59,0))</f>
        <v>——</v>
      </c>
      <c r="K60" s="2383" t="s">
        <v>2363</v>
      </c>
      <c r="L60" s="2392">
        <f ca="1">IF(ISERROR(POWER(1+L53,L48-J52)*(POWER(1+L53,J52)-1)/(POWER(1+L53,L48)-1)),0,POWER(1+L53,L48-J52)*(POWER(1+L53,J52)-1)/(POWER(1+L53,L48)-1))</f>
        <v>0</v>
      </c>
      <c r="O60" s="2425" t="s">
        <v>2381</v>
      </c>
      <c r="P60" s="2423" t="s">
        <v>2411</v>
      </c>
      <c r="Q60" s="2424">
        <f>IF(L56="比较法",L50,IF(L56="基准地价",L51,0))</f>
        <v>0</v>
      </c>
      <c r="R60" s="2423" t="s">
        <v>2378</v>
      </c>
    </row>
    <row r="61" spans="1:18" s="2059" customFormat="1" ht="15.75" thickBot="1">
      <c r="A61" s="2096"/>
      <c r="B61" s="2097"/>
      <c r="C61" s="2097"/>
      <c r="I61" s="2405" t="s">
        <v>2359</v>
      </c>
      <c r="J61" s="2407" t="str">
        <f ca="1">IF(OR(M48="住宅",J52&lt;L49,J57="是"),"0",ROUND(J60/(1+J53)^J54,0))</f>
        <v>0</v>
      </c>
      <c r="K61" s="2408" t="s">
        <v>2364</v>
      </c>
      <c r="L61" s="2407" t="e">
        <f ca="1">IF(OR(M48="住宅",L49&lt;J52),0,ROUND(L58*(L59/L60-1),0))</f>
        <v>#DIV/0!</v>
      </c>
      <c r="O61" s="2425" t="s">
        <v>2382</v>
      </c>
      <c r="P61" s="2423" t="s">
        <v>2391</v>
      </c>
      <c r="Q61" s="2426">
        <f>L53</f>
        <v>0</v>
      </c>
      <c r="R61" s="2427"/>
    </row>
    <row r="62" spans="1:18" s="2059" customFormat="1" ht="20.25" thickBot="1">
      <c r="A62" s="2096"/>
      <c r="B62" s="2097"/>
      <c r="C62" s="2097"/>
      <c r="K62" s="2086"/>
      <c r="O62" s="2425" t="s">
        <v>2384</v>
      </c>
      <c r="P62" s="2423" t="s">
        <v>2392</v>
      </c>
      <c r="Q62" s="2424">
        <f ca="1">L59</f>
        <v>0</v>
      </c>
      <c r="R62" s="2427" t="s">
        <v>2393</v>
      </c>
    </row>
    <row r="63" spans="1:18" s="2059" customFormat="1" ht="20.25" thickBot="1">
      <c r="A63" s="2096"/>
      <c r="B63" s="2097"/>
      <c r="C63" s="2097"/>
      <c r="I63" s="2409" t="s">
        <v>2365</v>
      </c>
      <c r="J63" s="2410" t="s">
        <v>2366</v>
      </c>
      <c r="K63" s="2410" t="s">
        <v>2367</v>
      </c>
      <c r="L63" s="2410" t="s">
        <v>2348</v>
      </c>
      <c r="M63" s="3129" t="s">
        <v>2940</v>
      </c>
      <c r="O63" s="2425" t="s">
        <v>2386</v>
      </c>
      <c r="P63" s="2423" t="s">
        <v>2394</v>
      </c>
      <c r="Q63" s="2424">
        <f ca="1">L60</f>
        <v>0</v>
      </c>
      <c r="R63" s="2427" t="s">
        <v>2395</v>
      </c>
    </row>
    <row r="64" spans="1:18" s="2059" customFormat="1" ht="15.75" thickBot="1">
      <c r="A64" s="2096"/>
      <c r="B64" s="2097"/>
      <c r="C64" s="2097"/>
      <c r="I64" s="2409" t="s">
        <v>2368</v>
      </c>
      <c r="J64" s="2410">
        <v>70</v>
      </c>
      <c r="K64" s="2410">
        <v>50</v>
      </c>
      <c r="L64" s="2410">
        <v>80</v>
      </c>
      <c r="M64" s="3130">
        <v>0.02</v>
      </c>
      <c r="O64" s="2422" t="s">
        <v>2389</v>
      </c>
      <c r="P64" s="2423" t="s">
        <v>2406</v>
      </c>
      <c r="Q64" s="2424" t="e">
        <f ca="1">Q58+Q59</f>
        <v>#DIV/0!</v>
      </c>
      <c r="R64" s="2427" t="s">
        <v>2390</v>
      </c>
    </row>
    <row r="65" spans="1:18" s="2059" customFormat="1" ht="16.5" thickBot="1">
      <c r="A65" s="2096"/>
      <c r="B65" s="2097"/>
      <c r="C65" s="2097"/>
      <c r="I65" s="2409" t="s">
        <v>2369</v>
      </c>
      <c r="J65" s="2410">
        <v>50</v>
      </c>
      <c r="K65" s="2410">
        <v>35</v>
      </c>
      <c r="L65" s="2410">
        <v>60</v>
      </c>
      <c r="M65" s="3131">
        <v>0</v>
      </c>
      <c r="O65" s="2428" t="s">
        <v>2413</v>
      </c>
      <c r="P65" s="1591"/>
      <c r="Q65" s="1603"/>
      <c r="R65" s="1591"/>
    </row>
    <row r="66" spans="1:18" s="2059" customFormat="1" ht="15.75" thickBot="1">
      <c r="A66" s="2096"/>
      <c r="B66" s="2097"/>
      <c r="C66" s="2097"/>
      <c r="I66" s="2409" t="s">
        <v>2370</v>
      </c>
      <c r="J66" s="2410">
        <v>40</v>
      </c>
      <c r="K66" s="2410">
        <v>30</v>
      </c>
      <c r="L66" s="2410">
        <v>50</v>
      </c>
      <c r="M66" s="3130">
        <v>0.02</v>
      </c>
      <c r="O66" s="2419" t="s">
        <v>2373</v>
      </c>
      <c r="P66" s="2420" t="s">
        <v>2374</v>
      </c>
      <c r="Q66" s="2421" t="s">
        <v>2375</v>
      </c>
      <c r="R66" s="2420" t="s">
        <v>2376</v>
      </c>
    </row>
    <row r="67" spans="1:18" s="2059" customFormat="1" ht="15.75" thickBot="1">
      <c r="A67" s="2096"/>
      <c r="B67" s="2097"/>
      <c r="C67" s="2097"/>
      <c r="K67" s="2086"/>
      <c r="O67" s="2422" t="s">
        <v>2377</v>
      </c>
      <c r="P67" s="2423" t="s">
        <v>2403</v>
      </c>
      <c r="Q67" s="2424">
        <f ca="1">C41+J31</f>
        <v>0</v>
      </c>
      <c r="R67" s="2423" t="s">
        <v>2378</v>
      </c>
    </row>
    <row r="68" spans="1:18" s="2059" customFormat="1" ht="20.25" thickBot="1">
      <c r="A68" s="2096"/>
      <c r="B68" s="2097"/>
      <c r="C68" s="2097"/>
      <c r="K68" s="2086"/>
      <c r="O68" s="2422" t="s">
        <v>2379</v>
      </c>
      <c r="P68" s="2423" t="s">
        <v>2410</v>
      </c>
      <c r="Q68" s="2424" t="e">
        <f ca="1">L61</f>
        <v>#DIV/0!</v>
      </c>
      <c r="R68" s="2427" t="s">
        <v>2412</v>
      </c>
    </row>
    <row r="69" spans="1:18" s="2059" customFormat="1" ht="21.75" thickBot="1">
      <c r="A69" s="2096"/>
      <c r="B69" s="2097"/>
      <c r="C69" s="2097"/>
      <c r="K69" s="2086"/>
      <c r="O69" s="2425" t="s">
        <v>2381</v>
      </c>
      <c r="P69" s="2423" t="s">
        <v>2411</v>
      </c>
      <c r="Q69" s="2429">
        <f ca="1">L52</f>
        <v>0</v>
      </c>
      <c r="R69" s="2430" t="s">
        <v>2414</v>
      </c>
    </row>
    <row r="70" spans="1:18" s="2059" customFormat="1" ht="20.25" thickBot="1">
      <c r="A70" s="2096"/>
      <c r="B70" s="2097"/>
      <c r="C70" s="2097"/>
      <c r="K70" s="2086"/>
      <c r="O70" s="2425" t="s">
        <v>2382</v>
      </c>
      <c r="P70" s="2431" t="s">
        <v>2396</v>
      </c>
      <c r="Q70" s="2424">
        <f ca="1">ROUND(Q71-Q72*Q73,0)</f>
        <v>0</v>
      </c>
      <c r="R70" s="2427"/>
    </row>
    <row r="71" spans="1:18" s="2059" customFormat="1" ht="15.75" thickBot="1">
      <c r="A71" s="2096"/>
      <c r="B71" s="2097"/>
      <c r="C71" s="2097"/>
      <c r="K71" s="2086"/>
      <c r="O71" s="2425" t="s">
        <v>2397</v>
      </c>
      <c r="P71" s="2431" t="s">
        <v>2398</v>
      </c>
      <c r="Q71" s="2424">
        <f ca="1">C42</f>
        <v>0</v>
      </c>
      <c r="R71" s="2423" t="s">
        <v>2378</v>
      </c>
    </row>
    <row r="72" spans="1:18" s="2059" customFormat="1" ht="15.75" thickBot="1">
      <c r="A72" s="2096"/>
      <c r="B72" s="2097"/>
      <c r="C72" s="2097"/>
      <c r="K72" s="2086"/>
      <c r="O72" s="2425" t="s">
        <v>2399</v>
      </c>
      <c r="P72" s="2431" t="s">
        <v>2400</v>
      </c>
      <c r="Q72" s="2424">
        <f ca="1">C15</f>
        <v>0</v>
      </c>
      <c r="R72" s="2423" t="s">
        <v>2378</v>
      </c>
    </row>
    <row r="73" spans="1:18" s="2059" customFormat="1" ht="15.75" thickBot="1">
      <c r="A73" s="2096"/>
      <c r="B73" s="2097"/>
      <c r="C73" s="2097"/>
      <c r="K73" s="2086"/>
      <c r="O73" s="2425" t="s">
        <v>2401</v>
      </c>
      <c r="P73" s="2431" t="s">
        <v>2402</v>
      </c>
      <c r="Q73" s="2426">
        <f ca="1">F43</f>
        <v>0</v>
      </c>
      <c r="R73" s="2427"/>
    </row>
    <row r="74" spans="1:18" s="2059" customFormat="1" ht="15.75" thickBot="1">
      <c r="A74" s="2096"/>
      <c r="B74" s="2097"/>
      <c r="C74" s="2097"/>
      <c r="K74" s="2086"/>
      <c r="O74" s="2425" t="s">
        <v>2384</v>
      </c>
      <c r="P74" s="2423" t="s">
        <v>2391</v>
      </c>
      <c r="Q74" s="2426">
        <f>L53</f>
        <v>0</v>
      </c>
      <c r="R74" s="2427"/>
    </row>
    <row r="75" spans="1:18" s="2059" customFormat="1" ht="20.25" thickBot="1">
      <c r="A75" s="2096"/>
      <c r="B75" s="2097"/>
      <c r="C75" s="2097"/>
      <c r="K75" s="2086"/>
      <c r="O75" s="2425" t="s">
        <v>2386</v>
      </c>
      <c r="P75" s="2423" t="s">
        <v>2392</v>
      </c>
      <c r="Q75" s="2424">
        <f ca="1">L59</f>
        <v>0</v>
      </c>
      <c r="R75" s="2427" t="s">
        <v>2393</v>
      </c>
    </row>
    <row r="76" spans="1:18" s="2059" customFormat="1" ht="20.25" thickBot="1">
      <c r="A76" s="2096"/>
      <c r="B76" s="2097"/>
      <c r="C76" s="2097"/>
      <c r="K76" s="2086"/>
      <c r="O76" s="2425" t="s">
        <v>2415</v>
      </c>
      <c r="P76" s="2423" t="s">
        <v>2394</v>
      </c>
      <c r="Q76" s="2424">
        <f ca="1">L60</f>
        <v>0</v>
      </c>
      <c r="R76" s="2427" t="s">
        <v>2395</v>
      </c>
    </row>
    <row r="77" spans="1:18" s="2059" customFormat="1" ht="15.75" thickBot="1">
      <c r="A77" s="2096"/>
      <c r="B77" s="2097"/>
      <c r="C77" s="2097"/>
      <c r="K77" s="2086"/>
      <c r="O77" s="2422" t="s">
        <v>2389</v>
      </c>
      <c r="P77" s="2423" t="s">
        <v>2406</v>
      </c>
      <c r="Q77" s="2424" t="e">
        <f ca="1">Q67+Q68</f>
        <v>#DIV/0!</v>
      </c>
      <c r="R77" s="2427" t="s">
        <v>2390</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05"/>
  <sheetViews>
    <sheetView zoomScale="80" zoomScaleNormal="80" zoomScalePageLayoutView="80" workbookViewId="0">
      <selection activeCell="I47" sqref="I47"/>
    </sheetView>
  </sheetViews>
  <sheetFormatPr defaultColWidth="8.875" defaultRowHeight="12.75"/>
  <cols>
    <col min="1" max="1" width="8.875" style="2687"/>
    <col min="2" max="6" width="9" style="2687" customWidth="1"/>
    <col min="7" max="7" width="9" style="2703" customWidth="1"/>
    <col min="8" max="12" width="9" style="2687" customWidth="1"/>
    <col min="13" max="13" width="2.1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8.875" style="2687"/>
    <col min="26" max="27" width="11.625" style="2687" customWidth="1"/>
    <col min="28" max="28" width="8.875" style="2687"/>
    <col min="29" max="29" width="2" style="2687" customWidth="1"/>
    <col min="30" max="16384" width="8.875" style="2687"/>
  </cols>
  <sheetData>
    <row r="1" spans="1:34" s="2677" customFormat="1">
      <c r="B1" s="3878" t="s">
        <v>2574</v>
      </c>
      <c r="C1" s="3878"/>
      <c r="D1" s="3878"/>
      <c r="E1" s="3878"/>
      <c r="F1" s="3878"/>
      <c r="G1" s="3877" t="s">
        <v>2575</v>
      </c>
      <c r="H1" s="3877"/>
      <c r="I1" s="3877"/>
      <c r="J1" s="3877"/>
      <c r="K1" s="3877"/>
      <c r="L1" s="3877"/>
      <c r="N1" s="3877" t="s">
        <v>2576</v>
      </c>
      <c r="O1" s="3877"/>
      <c r="P1" s="3877"/>
      <c r="Q1" s="3877"/>
      <c r="R1" s="2678"/>
      <c r="S1" s="3877" t="s">
        <v>2577</v>
      </c>
      <c r="T1" s="3877"/>
      <c r="U1" s="3877"/>
      <c r="V1" s="3877"/>
      <c r="X1" s="3876" t="s">
        <v>2637</v>
      </c>
      <c r="Y1" s="3877"/>
      <c r="Z1" s="3877"/>
      <c r="AA1" s="3877"/>
      <c r="AB1" s="3877"/>
      <c r="AD1" s="3876" t="s">
        <v>2641</v>
      </c>
      <c r="AE1" s="3877"/>
      <c r="AF1" s="3877"/>
      <c r="AG1" s="3877"/>
      <c r="AH1" s="3877"/>
    </row>
    <row r="2" spans="1:34" s="2780" customFormat="1" ht="14.25" thickBot="1">
      <c r="B2" s="2788" t="s">
        <v>2578</v>
      </c>
      <c r="C2" s="2788" t="s">
        <v>2639</v>
      </c>
      <c r="D2" s="2781" t="s">
        <v>1644</v>
      </c>
      <c r="E2" s="2781" t="s">
        <v>1951</v>
      </c>
      <c r="F2" s="2788" t="s">
        <v>2640</v>
      </c>
      <c r="G2" s="2784"/>
      <c r="H2" s="2783"/>
      <c r="I2" s="2788" t="s">
        <v>2955</v>
      </c>
      <c r="J2" s="2781" t="s">
        <v>2957</v>
      </c>
      <c r="K2" s="2781" t="s">
        <v>2958</v>
      </c>
      <c r="L2" s="2788" t="s">
        <v>2959</v>
      </c>
      <c r="N2" s="2788" t="s">
        <v>2578</v>
      </c>
      <c r="O2" s="2781" t="s">
        <v>2956</v>
      </c>
      <c r="P2" s="2781" t="s">
        <v>1951</v>
      </c>
      <c r="Q2" s="2788" t="s">
        <v>2640</v>
      </c>
      <c r="R2" s="2782"/>
      <c r="S2" s="2788" t="s">
        <v>2578</v>
      </c>
      <c r="T2" s="2781" t="s">
        <v>2956</v>
      </c>
      <c r="U2" s="2781" t="s">
        <v>1951</v>
      </c>
      <c r="V2" s="2788" t="s">
        <v>2640</v>
      </c>
      <c r="X2" s="2788" t="s">
        <v>2578</v>
      </c>
      <c r="Y2" s="2788" t="s">
        <v>2639</v>
      </c>
      <c r="Z2" s="2781" t="s">
        <v>1644</v>
      </c>
      <c r="AA2" s="2781" t="s">
        <v>1951</v>
      </c>
      <c r="AB2" s="2788" t="s">
        <v>2640</v>
      </c>
      <c r="AD2" s="2788" t="s">
        <v>2578</v>
      </c>
      <c r="AE2" s="2788" t="s">
        <v>2639</v>
      </c>
      <c r="AF2" s="2781" t="s">
        <v>1644</v>
      </c>
      <c r="AG2" s="2781" t="s">
        <v>1951</v>
      </c>
      <c r="AH2" s="2788" t="s">
        <v>2640</v>
      </c>
    </row>
    <row r="3" spans="1:34" s="3165" customFormat="1" ht="14.25">
      <c r="A3" s="3177" t="s">
        <v>2968</v>
      </c>
      <c r="B3" s="3166"/>
      <c r="C3" s="3166"/>
      <c r="D3" s="3167"/>
      <c r="E3" s="3167"/>
      <c r="F3" s="3166"/>
      <c r="G3" s="3168"/>
      <c r="H3" s="3169"/>
      <c r="I3" s="3176">
        <f>ROUND(AVERAGE($I7:$I22),2)</f>
        <v>2.4500000000000002</v>
      </c>
      <c r="J3" s="3176">
        <f>ROUND(AVERAGE($J7:$J22),2)</f>
        <v>1.65</v>
      </c>
      <c r="K3" s="3176">
        <f>ROUND(AVERAGE($K7:$K22),2)</f>
        <v>2.71</v>
      </c>
      <c r="L3" s="3176">
        <f>ROUND(AVERAGE($L7:$L22),2)</f>
        <v>1.39</v>
      </c>
      <c r="N3" s="3168"/>
      <c r="O3" s="3170"/>
      <c r="P3" s="3170"/>
      <c r="Q3" s="3170"/>
      <c r="R3" s="3170"/>
      <c r="S3" s="3168"/>
      <c r="T3" s="3170"/>
      <c r="U3" s="3170"/>
      <c r="V3" s="3170"/>
      <c r="W3" s="3173"/>
      <c r="X3" s="3171">
        <f>ROUND(SUMPRODUCT(PRODUCT(1+N3:N$21)),4)</f>
        <v>1.4274</v>
      </c>
      <c r="Y3" s="3171">
        <f>ROUND(SUMPRODUCT(PRODUCT(1+O3:O$21)),4)</f>
        <v>1.2685</v>
      </c>
      <c r="Z3" s="3171">
        <f t="shared" ref="Z3:Z19" si="0">Y3</f>
        <v>1.2685</v>
      </c>
      <c r="AA3" s="3171">
        <f>ROUND(SUMPRODUCT(PRODUCT(1+P3:P$21)),4)</f>
        <v>1.4825999999999999</v>
      </c>
      <c r="AB3" s="3171">
        <f>ROUND(SUMPRODUCT(PRODUCT(1+Q3:Q$21)),4)</f>
        <v>1.2309000000000001</v>
      </c>
      <c r="AD3" s="3172">
        <f>ROUND(AVERAGE(I3:I$22)/100,4)</f>
        <v>2.1899999999999999E-2</v>
      </c>
      <c r="AE3" s="3172">
        <f>ROUND(AVERAGE(J3:J$22)/100,4)</f>
        <v>1.47E-2</v>
      </c>
      <c r="AF3" s="3172">
        <f t="shared" ref="AF3:AF20" si="1">AE3</f>
        <v>1.47E-2</v>
      </c>
      <c r="AG3" s="3172">
        <f>ROUND(AVERAGE(K3:K$22)/100,4)</f>
        <v>2.4299999999999999E-2</v>
      </c>
      <c r="AH3" s="3172">
        <f>ROUND(AVERAGE(L3:L$22)/100,4)</f>
        <v>1.2500000000000001E-2</v>
      </c>
    </row>
    <row r="4" spans="1:34" s="2773" customFormat="1" ht="14.25">
      <c r="B4" s="2774"/>
      <c r="C4" s="2774"/>
      <c r="D4" s="2775"/>
      <c r="E4" s="2775"/>
      <c r="F4" s="2774"/>
      <c r="G4" s="2779"/>
      <c r="H4" s="2776"/>
      <c r="I4" s="3158"/>
      <c r="J4" s="3158"/>
      <c r="K4" s="3158"/>
      <c r="L4" s="3158"/>
      <c r="N4" s="2779"/>
      <c r="O4" s="2777"/>
      <c r="P4" s="2777"/>
      <c r="Q4" s="2777"/>
      <c r="R4" s="2777"/>
      <c r="S4" s="2779"/>
      <c r="T4" s="2777"/>
      <c r="U4" s="2777"/>
      <c r="V4" s="2777"/>
      <c r="W4" s="3174"/>
      <c r="X4" s="2778"/>
      <c r="Y4" s="2778"/>
      <c r="Z4" s="2778"/>
      <c r="AA4" s="2778"/>
      <c r="AB4" s="2778"/>
      <c r="AD4" s="2698"/>
      <c r="AE4" s="2698"/>
      <c r="AF4" s="2698"/>
      <c r="AG4" s="2698"/>
      <c r="AH4" s="2698"/>
    </row>
    <row r="5" spans="1:34" s="3144" customFormat="1">
      <c r="A5" s="3142" t="s">
        <v>2975</v>
      </c>
      <c r="B5" s="2819">
        <f>B6*(1+N5)</f>
        <v>439.19121308559727</v>
      </c>
      <c r="C5" s="2819">
        <f t="shared" ref="C5" si="2">C6*(1+O5)</f>
        <v>326.28510789673351</v>
      </c>
      <c r="D5" s="2819">
        <f t="shared" ref="D5" si="3">C5</f>
        <v>326.28510789673351</v>
      </c>
      <c r="E5" s="2819">
        <f t="shared" ref="E5" si="4">E6*(1+P5)</f>
        <v>626.49404043656455</v>
      </c>
      <c r="F5" s="2819">
        <f t="shared" ref="F5" si="5">F6*(1+Q5)</f>
        <v>283.46416215500358</v>
      </c>
      <c r="G5" s="2779">
        <v>2018</v>
      </c>
      <c r="H5" s="3143">
        <v>2</v>
      </c>
      <c r="I5" s="3159">
        <v>0</v>
      </c>
      <c r="J5" s="3159">
        <v>0</v>
      </c>
      <c r="K5" s="3159">
        <v>0</v>
      </c>
      <c r="L5" s="3159">
        <v>0</v>
      </c>
      <c r="N5" s="2786">
        <f t="shared" ref="N5" si="6">I5/100</f>
        <v>0</v>
      </c>
      <c r="O5" s="2786">
        <f t="shared" ref="O5" si="7">J5/100</f>
        <v>0</v>
      </c>
      <c r="P5" s="2786">
        <f t="shared" ref="P5" si="8">K5/100</f>
        <v>0</v>
      </c>
      <c r="Q5" s="2786">
        <f t="shared" ref="Q5" si="9">L5/100</f>
        <v>0</v>
      </c>
      <c r="R5" s="3145"/>
      <c r="S5" s="3146"/>
      <c r="T5" s="3145"/>
      <c r="U5" s="3145"/>
      <c r="V5" s="3145"/>
      <c r="W5" s="3175" t="s">
        <v>2969</v>
      </c>
      <c r="X5" s="3147">
        <f>ROUND(SUMPRODUCT(PRODUCT(1+N5:N$21)),4)</f>
        <v>1.4274</v>
      </c>
      <c r="Y5" s="3147">
        <f>ROUND(SUMPRODUCT(PRODUCT(1+O5:O$21)),4)</f>
        <v>1.2685</v>
      </c>
      <c r="Z5" s="3147">
        <f t="shared" ref="Z5" si="10">Y5</f>
        <v>1.2685</v>
      </c>
      <c r="AA5" s="3147">
        <f>ROUND(SUMPRODUCT(PRODUCT(1+P5:P$21)),4)</f>
        <v>1.4825999999999999</v>
      </c>
      <c r="AB5" s="3147">
        <f>ROUND(SUMPRODUCT(PRODUCT(1+Q5:Q$21)),4)</f>
        <v>1.2309000000000001</v>
      </c>
      <c r="AD5" s="3148">
        <f>ROUND(AVERAGE(I5:I$22)/100,4)</f>
        <v>2.1700000000000001E-2</v>
      </c>
      <c r="AE5" s="3148">
        <f>ROUND(AVERAGE(J5:J$22)/100,4)</f>
        <v>1.46E-2</v>
      </c>
      <c r="AF5" s="3148">
        <f t="shared" ref="AF5" si="11">AE5</f>
        <v>1.46E-2</v>
      </c>
      <c r="AG5" s="3148">
        <f>ROUND(AVERAGE(K5:K$22)/100,4)</f>
        <v>2.41E-2</v>
      </c>
      <c r="AH5" s="3148">
        <f>ROUND(AVERAGE(L5:L$22)/100,4)</f>
        <v>1.24E-2</v>
      </c>
    </row>
    <row r="6" spans="1:34" s="2785" customFormat="1" ht="13.5" thickBot="1">
      <c r="A6" s="2679" t="s">
        <v>2976</v>
      </c>
      <c r="B6" s="2693">
        <f>B7*(1+N6)</f>
        <v>439.19121308559727</v>
      </c>
      <c r="C6" s="2693">
        <f t="shared" ref="C6" si="12">C7*(1+O6)</f>
        <v>326.28510789673351</v>
      </c>
      <c r="D6" s="2693">
        <f t="shared" ref="D6:D11" si="13">C6</f>
        <v>326.28510789673351</v>
      </c>
      <c r="E6" s="2693">
        <f t="shared" ref="E6" si="14">E7*(1+P6)</f>
        <v>626.49404043656455</v>
      </c>
      <c r="F6" s="2693">
        <f t="shared" ref="F6" si="15">F7*(1+Q6)</f>
        <v>283.46416215500358</v>
      </c>
      <c r="G6" s="3164">
        <v>2018</v>
      </c>
      <c r="H6" s="2683">
        <v>1</v>
      </c>
      <c r="I6" s="2683">
        <v>0</v>
      </c>
      <c r="J6" s="2683">
        <v>0</v>
      </c>
      <c r="K6" s="2683">
        <v>0</v>
      </c>
      <c r="L6" s="2694">
        <v>0</v>
      </c>
      <c r="M6" s="2687"/>
      <c r="N6" s="2688">
        <f t="shared" ref="N6:N11" si="16">I6/100</f>
        <v>0</v>
      </c>
      <c r="O6" s="2689">
        <f t="shared" ref="O6" si="17">J6/100</f>
        <v>0</v>
      </c>
      <c r="P6" s="2689">
        <f t="shared" ref="P6" si="18">K6/100</f>
        <v>0</v>
      </c>
      <c r="Q6" s="2689">
        <f t="shared" ref="Q6" si="19">L6/100</f>
        <v>0</v>
      </c>
      <c r="R6" s="2690"/>
      <c r="S6" s="2696">
        <f>B6/B7-1</f>
        <v>0</v>
      </c>
      <c r="T6" s="2697">
        <f>C6/C7-1</f>
        <v>0</v>
      </c>
      <c r="U6" s="2697">
        <f>E6/E7-1</f>
        <v>0</v>
      </c>
      <c r="V6" s="2697">
        <f>F6/F7-1</f>
        <v>0</v>
      </c>
      <c r="W6" s="2687"/>
      <c r="X6" s="2778">
        <f>ROUND(SUMPRODUCT(PRODUCT(1+N6:N$21)),4)</f>
        <v>1.4274</v>
      </c>
      <c r="Y6" s="2778">
        <f>ROUND(SUMPRODUCT(PRODUCT(1+O6:O$21)),4)</f>
        <v>1.2685</v>
      </c>
      <c r="Z6" s="2778">
        <f t="shared" ref="Z6" si="20">Y6</f>
        <v>1.2685</v>
      </c>
      <c r="AA6" s="2778">
        <f>ROUND(SUMPRODUCT(PRODUCT(1+P6:P$21)),4)</f>
        <v>1.4825999999999999</v>
      </c>
      <c r="AB6" s="2778">
        <f>ROUND(SUMPRODUCT(PRODUCT(1+Q6:Q$21)),4)</f>
        <v>1.2309000000000001</v>
      </c>
      <c r="AC6" s="2687"/>
      <c r="AD6" s="2698">
        <f>ROUND(AVERAGE(I6:I$22)/100,4)</f>
        <v>2.3E-2</v>
      </c>
      <c r="AE6" s="2698">
        <f>ROUND(AVERAGE(J6:J$22)/100,4)</f>
        <v>1.55E-2</v>
      </c>
      <c r="AF6" s="2698">
        <f t="shared" ref="AF6" si="21">AE6</f>
        <v>1.55E-2</v>
      </c>
      <c r="AG6" s="2698">
        <f>ROUND(AVERAGE(K6:K$22)/100,4)</f>
        <v>2.5499999999999998E-2</v>
      </c>
      <c r="AH6" s="2698">
        <f>ROUND(AVERAGE(L6:L$22)/100,4)</f>
        <v>1.3100000000000001E-2</v>
      </c>
    </row>
    <row r="7" spans="1:34">
      <c r="A7" s="2679" t="s">
        <v>2966</v>
      </c>
      <c r="B7" s="2685">
        <f t="shared" ref="B7" si="22">B8*(1+N7)</f>
        <v>439.19121308559727</v>
      </c>
      <c r="C7" s="2685">
        <f t="shared" ref="C7" si="23">C8*(1+O7)</f>
        <v>326.28510789673351</v>
      </c>
      <c r="D7" s="2685">
        <f t="shared" si="13"/>
        <v>326.28510789673351</v>
      </c>
      <c r="E7" s="2685">
        <f t="shared" ref="E7" si="24">E8*(1+P7)</f>
        <v>626.49404043656455</v>
      </c>
      <c r="F7" s="2686">
        <f t="shared" ref="F7" si="25">F8*(1+Q7)</f>
        <v>283.46416215500358</v>
      </c>
      <c r="G7" s="3162">
        <v>2017</v>
      </c>
      <c r="H7" s="2680">
        <v>4</v>
      </c>
      <c r="I7" s="2680">
        <v>1.71</v>
      </c>
      <c r="J7" s="2680">
        <v>1.78</v>
      </c>
      <c r="K7" s="2680">
        <v>1.71</v>
      </c>
      <c r="L7" s="2681">
        <v>1.43</v>
      </c>
      <c r="N7" s="2688">
        <f t="shared" si="16"/>
        <v>1.7100000000000001E-2</v>
      </c>
      <c r="O7" s="2689">
        <f t="shared" ref="O7" si="26">J7/100</f>
        <v>1.78E-2</v>
      </c>
      <c r="P7" s="2689">
        <f t="shared" ref="P7" si="27">K7/100</f>
        <v>1.7100000000000001E-2</v>
      </c>
      <c r="Q7" s="2689">
        <f t="shared" ref="Q7" si="28">L7/100</f>
        <v>1.43E-2</v>
      </c>
      <c r="R7" s="2690"/>
      <c r="S7" s="2691"/>
      <c r="T7" s="2692"/>
      <c r="U7" s="2692"/>
      <c r="V7" s="2692"/>
      <c r="X7" s="2778">
        <f>ROUND(SUMPRODUCT(PRODUCT(1+N7:N$21)),4)</f>
        <v>1.4274</v>
      </c>
      <c r="Y7" s="2778">
        <f>ROUND(SUMPRODUCT(PRODUCT(1+O7:O$21)),4)</f>
        <v>1.2685</v>
      </c>
      <c r="Z7" s="2778">
        <f t="shared" si="0"/>
        <v>1.2685</v>
      </c>
      <c r="AA7" s="2778">
        <f>ROUND(SUMPRODUCT(PRODUCT(1+P7:P$21)),4)</f>
        <v>1.4825999999999999</v>
      </c>
      <c r="AB7" s="2778">
        <f>ROUND(SUMPRODUCT(PRODUCT(1+Q7:Q$21)),4)</f>
        <v>1.2309000000000001</v>
      </c>
      <c r="AD7" s="2698">
        <f>ROUND(AVERAGE(I7:I$22)/100,4)</f>
        <v>2.4500000000000001E-2</v>
      </c>
      <c r="AE7" s="2698">
        <f>ROUND(AVERAGE(J7:J$22)/100,4)</f>
        <v>1.6500000000000001E-2</v>
      </c>
      <c r="AF7" s="2698">
        <f t="shared" si="1"/>
        <v>1.6500000000000001E-2</v>
      </c>
      <c r="AG7" s="2698">
        <f>ROUND(AVERAGE(K7:K$22)/100,4)</f>
        <v>2.7099999999999999E-2</v>
      </c>
      <c r="AH7" s="2698">
        <f>ROUND(AVERAGE(L7:L$22)/100,4)</f>
        <v>1.3899999999999999E-2</v>
      </c>
    </row>
    <row r="8" spans="1:34" s="2785" customFormat="1" ht="13.5" thickBot="1">
      <c r="A8" s="2679" t="s">
        <v>2970</v>
      </c>
      <c r="B8" s="2693">
        <f t="shared" ref="B8:C10" si="29">B9*(1+N8)</f>
        <v>431.80730811680002</v>
      </c>
      <c r="C8" s="2693">
        <f t="shared" si="29"/>
        <v>320.57880516480003</v>
      </c>
      <c r="D8" s="2693">
        <f t="shared" si="13"/>
        <v>320.57880516480003</v>
      </c>
      <c r="E8" s="2693">
        <f t="shared" ref="E8:F10" si="30">E9*(1+P8)</f>
        <v>615.96110553196797</v>
      </c>
      <c r="F8" s="2693">
        <f t="shared" si="30"/>
        <v>279.46777300108801</v>
      </c>
      <c r="G8" s="3164"/>
      <c r="H8" s="2683">
        <v>3</v>
      </c>
      <c r="I8" s="2683">
        <v>2.98</v>
      </c>
      <c r="J8" s="2683">
        <v>2.11</v>
      </c>
      <c r="K8" s="2683">
        <v>3.24</v>
      </c>
      <c r="L8" s="2694">
        <v>1.72</v>
      </c>
      <c r="M8" s="2687"/>
      <c r="N8" s="2688">
        <f t="shared" si="16"/>
        <v>2.98E-2</v>
      </c>
      <c r="O8" s="2689">
        <f t="shared" ref="O8:O9" si="31">J8/100</f>
        <v>2.1099999999999997E-2</v>
      </c>
      <c r="P8" s="2689">
        <f t="shared" ref="P8:P9" si="32">K8/100</f>
        <v>3.2400000000000005E-2</v>
      </c>
      <c r="Q8" s="2689">
        <f t="shared" ref="Q8:Q9" si="33">L8/100</f>
        <v>1.72E-2</v>
      </c>
      <c r="R8" s="2690"/>
      <c r="S8" s="2696"/>
      <c r="T8" s="2697"/>
      <c r="U8" s="2697"/>
      <c r="V8" s="2697"/>
      <c r="W8" s="2687"/>
      <c r="X8" s="2778">
        <f>ROUND(SUMPRODUCT(PRODUCT(1+N8:N$21)),4)</f>
        <v>1.4034</v>
      </c>
      <c r="Y8" s="2778">
        <f>ROUND(SUMPRODUCT(PRODUCT(1+O8:O$21)),4)</f>
        <v>1.2463</v>
      </c>
      <c r="Z8" s="2778">
        <f t="shared" si="0"/>
        <v>1.2463</v>
      </c>
      <c r="AA8" s="2778">
        <f>ROUND(SUMPRODUCT(PRODUCT(1+P8:P$21)),4)</f>
        <v>1.4577</v>
      </c>
      <c r="AB8" s="2778">
        <f>ROUND(SUMPRODUCT(PRODUCT(1+Q8:Q$21)),4)</f>
        <v>1.2136</v>
      </c>
      <c r="AC8" s="2687"/>
      <c r="AD8" s="2698">
        <f>ROUND(AVERAGE(I8:I$22)/100,4)</f>
        <v>2.4899999999999999E-2</v>
      </c>
      <c r="AE8" s="2698">
        <f>ROUND(AVERAGE(J8:J$22)/100,4)</f>
        <v>1.6400000000000001E-2</v>
      </c>
      <c r="AF8" s="2698">
        <f t="shared" si="1"/>
        <v>1.6400000000000001E-2</v>
      </c>
      <c r="AG8" s="2698">
        <f>ROUND(AVERAGE(K8:K$22)/100,4)</f>
        <v>2.7799999999999998E-2</v>
      </c>
      <c r="AH8" s="2698">
        <f>ROUND(AVERAGE(L8:L$22)/100,4)</f>
        <v>1.3899999999999999E-2</v>
      </c>
    </row>
    <row r="9" spans="1:34" s="2677" customFormat="1">
      <c r="A9" s="2679" t="s">
        <v>2579</v>
      </c>
      <c r="B9" s="2693">
        <f t="shared" si="29"/>
        <v>419.31181600000002</v>
      </c>
      <c r="C9" s="2693">
        <f t="shared" si="29"/>
        <v>313.95436800000004</v>
      </c>
      <c r="D9" s="2693">
        <f t="shared" si="13"/>
        <v>313.95436800000004</v>
      </c>
      <c r="E9" s="2693">
        <f t="shared" si="30"/>
        <v>596.63028431999999</v>
      </c>
      <c r="F9" s="2693">
        <f t="shared" si="30"/>
        <v>274.74220703999998</v>
      </c>
      <c r="G9" s="3163"/>
      <c r="H9" s="2684">
        <v>2</v>
      </c>
      <c r="I9" s="2684">
        <v>3.4</v>
      </c>
      <c r="J9" s="2684">
        <v>2</v>
      </c>
      <c r="K9" s="2684">
        <v>3.82</v>
      </c>
      <c r="L9" s="2695">
        <v>1.68</v>
      </c>
      <c r="N9" s="2688">
        <f t="shared" si="16"/>
        <v>3.4000000000000002E-2</v>
      </c>
      <c r="O9" s="2689">
        <f t="shared" si="31"/>
        <v>0.02</v>
      </c>
      <c r="P9" s="2689">
        <f t="shared" si="32"/>
        <v>3.8199999999999998E-2</v>
      </c>
      <c r="Q9" s="2689">
        <f t="shared" si="33"/>
        <v>1.6799999999999999E-2</v>
      </c>
      <c r="R9" s="2678"/>
      <c r="S9" s="2682"/>
      <c r="T9" s="2678"/>
      <c r="U9" s="2678"/>
      <c r="V9" s="2678"/>
      <c r="X9" s="2778">
        <f>ROUND(SUMPRODUCT(PRODUCT(1+N9:N$21)),4)</f>
        <v>1.3628</v>
      </c>
      <c r="Y9" s="2778">
        <f>ROUND(SUMPRODUCT(PRODUCT(1+O9:O$21)),4)</f>
        <v>1.2205999999999999</v>
      </c>
      <c r="Z9" s="2778">
        <f t="shared" si="0"/>
        <v>1.2205999999999999</v>
      </c>
      <c r="AA9" s="2778">
        <f>ROUND(SUMPRODUCT(PRODUCT(1+P9:P$21)),4)</f>
        <v>1.4118999999999999</v>
      </c>
      <c r="AB9" s="2778">
        <f>ROUND(SUMPRODUCT(PRODUCT(1+Q9:Q$21)),4)</f>
        <v>1.1930000000000001</v>
      </c>
      <c r="AD9" s="2698">
        <f>ROUND(AVERAGE(I9:I$22)/100,4)</f>
        <v>2.46E-2</v>
      </c>
      <c r="AE9" s="2698">
        <f>ROUND(AVERAGE(J9:J$22)/100,4)</f>
        <v>1.6E-2</v>
      </c>
      <c r="AF9" s="2698">
        <f t="shared" si="1"/>
        <v>1.6E-2</v>
      </c>
      <c r="AG9" s="2698">
        <f>ROUND(AVERAGE(K9:K$22)/100,4)</f>
        <v>2.75E-2</v>
      </c>
      <c r="AH9" s="2698">
        <f>ROUND(AVERAGE(L9:L$22)/100,4)</f>
        <v>1.37E-2</v>
      </c>
    </row>
    <row r="10" spans="1:34" s="2785" customFormat="1" ht="13.5" thickBot="1">
      <c r="A10" s="2679" t="s">
        <v>2580</v>
      </c>
      <c r="B10" s="2693">
        <f t="shared" si="29"/>
        <v>405.524</v>
      </c>
      <c r="C10" s="2693">
        <f t="shared" si="29"/>
        <v>307.79840000000002</v>
      </c>
      <c r="D10" s="2693">
        <f t="shared" si="13"/>
        <v>307.79840000000002</v>
      </c>
      <c r="E10" s="2693">
        <f t="shared" si="30"/>
        <v>574.67759999999998</v>
      </c>
      <c r="F10" s="2693">
        <f t="shared" si="30"/>
        <v>270.20280000000002</v>
      </c>
      <c r="G10" s="3164"/>
      <c r="H10" s="2683">
        <v>1</v>
      </c>
      <c r="I10" s="2683">
        <v>3.45</v>
      </c>
      <c r="J10" s="2683">
        <v>1.92</v>
      </c>
      <c r="K10" s="2683">
        <v>3.92</v>
      </c>
      <c r="L10" s="2694">
        <v>1.58</v>
      </c>
      <c r="M10" s="2687"/>
      <c r="N10" s="2688">
        <f t="shared" si="16"/>
        <v>3.4500000000000003E-2</v>
      </c>
      <c r="O10" s="2689">
        <f t="shared" ref="O10" si="34">J10/100</f>
        <v>1.9199999999999998E-2</v>
      </c>
      <c r="P10" s="2689">
        <f t="shared" ref="P10" si="35">K10/100</f>
        <v>3.9199999999999999E-2</v>
      </c>
      <c r="Q10" s="2689">
        <f t="shared" ref="Q10" si="36">L10/100</f>
        <v>1.5800000000000002E-2</v>
      </c>
      <c r="R10" s="2690"/>
      <c r="S10" s="2696">
        <f>B10/B11-1</f>
        <v>3.4499999999999975E-2</v>
      </c>
      <c r="T10" s="2697">
        <f>C10/C11-1</f>
        <v>1.9200000000000106E-2</v>
      </c>
      <c r="U10" s="2697">
        <f>E10/E11-1</f>
        <v>3.9199999999999902E-2</v>
      </c>
      <c r="V10" s="2697">
        <f>F10/F11-1</f>
        <v>1.5800000000000036E-2</v>
      </c>
      <c r="W10" s="2687"/>
      <c r="X10" s="2778">
        <f>ROUND(SUMPRODUCT(PRODUCT(1+N10:N$21)),4)</f>
        <v>1.3180000000000001</v>
      </c>
      <c r="Y10" s="2778">
        <f>ROUND(SUMPRODUCT(PRODUCT(1+O10:O$21)),4)</f>
        <v>1.1966000000000001</v>
      </c>
      <c r="Z10" s="2778">
        <f t="shared" si="0"/>
        <v>1.1966000000000001</v>
      </c>
      <c r="AA10" s="2778">
        <f>ROUND(SUMPRODUCT(PRODUCT(1+P10:P$21)),4)</f>
        <v>1.36</v>
      </c>
      <c r="AB10" s="2778">
        <f>ROUND(SUMPRODUCT(PRODUCT(1+Q10:Q$21)),4)</f>
        <v>1.1733</v>
      </c>
      <c r="AC10" s="2687"/>
      <c r="AD10" s="2698">
        <f>ROUND(AVERAGE(I10:I$22)/100,4)</f>
        <v>2.3900000000000001E-2</v>
      </c>
      <c r="AE10" s="2698">
        <f>ROUND(AVERAGE(J10:J$22)/100,4)</f>
        <v>1.5699999999999999E-2</v>
      </c>
      <c r="AF10" s="2698">
        <f t="shared" si="1"/>
        <v>1.5699999999999999E-2</v>
      </c>
      <c r="AG10" s="2698">
        <f>ROUND(AVERAGE(K10:K$22)/100,4)</f>
        <v>2.6599999999999999E-2</v>
      </c>
      <c r="AH10" s="2698">
        <f>ROUND(AVERAGE(L10:L$22)/100,4)</f>
        <v>1.34E-2</v>
      </c>
    </row>
    <row r="11" spans="1:34">
      <c r="A11" s="2679" t="s">
        <v>970</v>
      </c>
      <c r="B11" s="2685">
        <v>392</v>
      </c>
      <c r="C11" s="2685">
        <v>302</v>
      </c>
      <c r="D11" s="2685">
        <f t="shared" si="13"/>
        <v>302</v>
      </c>
      <c r="E11" s="2685">
        <v>553</v>
      </c>
      <c r="F11" s="2686">
        <v>266</v>
      </c>
      <c r="G11" s="3885">
        <v>2016</v>
      </c>
      <c r="H11" s="2680">
        <v>4</v>
      </c>
      <c r="I11" s="2680">
        <v>4.5599999999999996</v>
      </c>
      <c r="J11" s="2680">
        <v>2.15</v>
      </c>
      <c r="K11" s="2680">
        <v>5.32</v>
      </c>
      <c r="L11" s="2681">
        <v>1.57</v>
      </c>
      <c r="N11" s="2688">
        <f t="shared" si="16"/>
        <v>4.5599999999999995E-2</v>
      </c>
      <c r="O11" s="2689">
        <f t="shared" ref="O11:Q26" si="37">J11/100</f>
        <v>2.1499999999999998E-2</v>
      </c>
      <c r="P11" s="2689">
        <f t="shared" si="37"/>
        <v>5.3200000000000004E-2</v>
      </c>
      <c r="Q11" s="2689">
        <f t="shared" si="37"/>
        <v>1.5700000000000002E-2</v>
      </c>
      <c r="R11" s="2690"/>
      <c r="S11" s="2691"/>
      <c r="T11" s="2692"/>
      <c r="U11" s="2692"/>
      <c r="V11" s="2692"/>
      <c r="X11" s="2778">
        <f>ROUND(SUMPRODUCT(PRODUCT(1+N11:N$21)),4)</f>
        <v>1.274</v>
      </c>
      <c r="Y11" s="2778">
        <f>ROUND(SUMPRODUCT(PRODUCT(1+O11:O$21)),4)</f>
        <v>1.1740999999999999</v>
      </c>
      <c r="Z11" s="2778">
        <f t="shared" si="0"/>
        <v>1.1740999999999999</v>
      </c>
      <c r="AA11" s="2778">
        <f>ROUND(SUMPRODUCT(PRODUCT(1+P11:P$21)),4)</f>
        <v>1.3087</v>
      </c>
      <c r="AB11" s="2778">
        <f>ROUND(SUMPRODUCT(PRODUCT(1+Q11:Q$21)),4)</f>
        <v>1.1551</v>
      </c>
      <c r="AD11" s="2698">
        <f>ROUND(AVERAGE(I11:I$22)/100,4)</f>
        <v>2.3E-2</v>
      </c>
      <c r="AE11" s="2698">
        <f>ROUND(AVERAGE(J11:J$22)/100,4)</f>
        <v>1.55E-2</v>
      </c>
      <c r="AF11" s="2698">
        <f t="shared" si="1"/>
        <v>1.55E-2</v>
      </c>
      <c r="AG11" s="2698">
        <f>ROUND(AVERAGE(K11:K$22)/100,4)</f>
        <v>2.5600000000000001E-2</v>
      </c>
      <c r="AH11" s="2698">
        <f>ROUND(AVERAGE(L11:L$22)/100,4)</f>
        <v>1.32E-2</v>
      </c>
    </row>
    <row r="12" spans="1:34">
      <c r="A12" s="2679" t="s">
        <v>969</v>
      </c>
      <c r="B12" s="2693">
        <f t="shared" ref="B12:C14" si="38">B11/(1+N11)</f>
        <v>374.90436113236416</v>
      </c>
      <c r="C12" s="2693">
        <f t="shared" si="38"/>
        <v>295.64366128242779</v>
      </c>
      <c r="D12" s="2693">
        <f t="shared" ref="D12:D71" si="39">C12</f>
        <v>295.64366128242779</v>
      </c>
      <c r="E12" s="2693">
        <f t="shared" ref="E12:F14" si="40">E11/(1+P11)</f>
        <v>525.06646410938095</v>
      </c>
      <c r="F12" s="2693">
        <f t="shared" si="40"/>
        <v>261.88835286009646</v>
      </c>
      <c r="G12" s="3880"/>
      <c r="H12" s="2683">
        <v>3</v>
      </c>
      <c r="I12" s="2683">
        <v>4.12</v>
      </c>
      <c r="J12" s="2683">
        <v>2</v>
      </c>
      <c r="K12" s="2683">
        <v>4.79</v>
      </c>
      <c r="L12" s="2694">
        <v>1.97</v>
      </c>
      <c r="N12" s="2688">
        <f t="shared" ref="N12:Q46" si="41">I12/100</f>
        <v>4.1200000000000001E-2</v>
      </c>
      <c r="O12" s="2689">
        <f t="shared" si="37"/>
        <v>0.02</v>
      </c>
      <c r="P12" s="2689">
        <f t="shared" si="37"/>
        <v>4.7899999999999998E-2</v>
      </c>
      <c r="Q12" s="2689">
        <f t="shared" si="37"/>
        <v>1.9699999999999999E-2</v>
      </c>
      <c r="R12" s="2690"/>
      <c r="S12" s="2688"/>
      <c r="T12" s="2689"/>
      <c r="U12" s="2689"/>
      <c r="V12" s="2689"/>
      <c r="X12" s="2778">
        <f>ROUND(SUMPRODUCT(PRODUCT(1+N12:N$21)),4)</f>
        <v>1.2184999999999999</v>
      </c>
      <c r="Y12" s="2778">
        <f>ROUND(SUMPRODUCT(PRODUCT(1+O12:O$21)),4)</f>
        <v>1.1494</v>
      </c>
      <c r="Z12" s="2778">
        <f t="shared" si="0"/>
        <v>1.1494</v>
      </c>
      <c r="AA12" s="2778">
        <f>ROUND(SUMPRODUCT(PRODUCT(1+P12:P$21)),4)</f>
        <v>1.2425999999999999</v>
      </c>
      <c r="AB12" s="2778">
        <f>ROUND(SUMPRODUCT(PRODUCT(1+Q12:Q$21)),4)</f>
        <v>1.1372</v>
      </c>
      <c r="AD12" s="2698">
        <f>ROUND(AVERAGE(I12:I$22)/100,4)</f>
        <v>2.0899999999999998E-2</v>
      </c>
      <c r="AE12" s="2698">
        <f>ROUND(AVERAGE(J12:J$22)/100,4)</f>
        <v>1.49E-2</v>
      </c>
      <c r="AF12" s="2698">
        <f t="shared" si="1"/>
        <v>1.49E-2</v>
      </c>
      <c r="AG12" s="2698">
        <f>ROUND(AVERAGE(K12:K$22)/100,4)</f>
        <v>2.3099999999999999E-2</v>
      </c>
      <c r="AH12" s="2698">
        <f>ROUND(AVERAGE(L12:L$22)/100,4)</f>
        <v>1.2999999999999999E-2</v>
      </c>
    </row>
    <row r="13" spans="1:34">
      <c r="A13" s="2679" t="s">
        <v>959</v>
      </c>
      <c r="B13" s="2693">
        <f t="shared" si="38"/>
        <v>360.06949782209392</v>
      </c>
      <c r="C13" s="2693">
        <f t="shared" si="38"/>
        <v>289.84672674747821</v>
      </c>
      <c r="D13" s="2693">
        <f t="shared" si="39"/>
        <v>289.84672674747821</v>
      </c>
      <c r="E13" s="2693">
        <f t="shared" si="40"/>
        <v>501.06543001181495</v>
      </c>
      <c r="F13" s="2693">
        <f t="shared" si="40"/>
        <v>256.82882500744967</v>
      </c>
      <c r="G13" s="3880"/>
      <c r="H13" s="2684">
        <v>2</v>
      </c>
      <c r="I13" s="2684">
        <v>3.85</v>
      </c>
      <c r="J13" s="2684">
        <v>1.95</v>
      </c>
      <c r="K13" s="2684">
        <v>4.4800000000000004</v>
      </c>
      <c r="L13" s="2695">
        <v>1.41</v>
      </c>
      <c r="N13" s="2688">
        <f t="shared" si="41"/>
        <v>3.85E-2</v>
      </c>
      <c r="O13" s="2689">
        <f t="shared" si="37"/>
        <v>1.95E-2</v>
      </c>
      <c r="P13" s="2689">
        <f t="shared" si="37"/>
        <v>4.4800000000000006E-2</v>
      </c>
      <c r="Q13" s="2689">
        <f t="shared" si="37"/>
        <v>1.41E-2</v>
      </c>
      <c r="R13" s="2690"/>
      <c r="S13" s="2688"/>
      <c r="T13" s="2689"/>
      <c r="U13" s="2689"/>
      <c r="V13" s="2689"/>
      <c r="X13" s="2778">
        <f>ROUND(SUMPRODUCT(PRODUCT(1+N13:N$21)),4)</f>
        <v>1.1702999999999999</v>
      </c>
      <c r="Y13" s="2778">
        <f>ROUND(SUMPRODUCT(PRODUCT(1+O13:O$21)),4)</f>
        <v>1.1269</v>
      </c>
      <c r="Z13" s="2778">
        <f t="shared" si="0"/>
        <v>1.1269</v>
      </c>
      <c r="AA13" s="2778">
        <f>ROUND(SUMPRODUCT(PRODUCT(1+P13:P$21)),4)</f>
        <v>1.1858</v>
      </c>
      <c r="AB13" s="2778">
        <f>ROUND(SUMPRODUCT(PRODUCT(1+Q13:Q$21)),4)</f>
        <v>1.1152</v>
      </c>
      <c r="AD13" s="2698">
        <f>ROUND(AVERAGE(I13:I$22)/100,4)</f>
        <v>1.89E-2</v>
      </c>
      <c r="AE13" s="2698">
        <f>ROUND(AVERAGE(J13:J$22)/100,4)</f>
        <v>1.44E-2</v>
      </c>
      <c r="AF13" s="2698">
        <f t="shared" si="1"/>
        <v>1.44E-2</v>
      </c>
      <c r="AG13" s="2698">
        <f>ROUND(AVERAGE(K13:K$22)/100,4)</f>
        <v>2.06E-2</v>
      </c>
      <c r="AH13" s="2698">
        <f>ROUND(AVERAGE(L13:L$22)/100,4)</f>
        <v>1.23E-2</v>
      </c>
    </row>
    <row r="14" spans="1:34" ht="13.5" thickBot="1">
      <c r="A14" s="2679" t="s">
        <v>968</v>
      </c>
      <c r="B14" s="2693">
        <f t="shared" si="38"/>
        <v>346.720748986128</v>
      </c>
      <c r="C14" s="2693">
        <f t="shared" si="38"/>
        <v>284.30282172386285</v>
      </c>
      <c r="D14" s="2693">
        <f t="shared" si="39"/>
        <v>284.30282172386285</v>
      </c>
      <c r="E14" s="2693">
        <f t="shared" si="40"/>
        <v>479.58023546306947</v>
      </c>
      <c r="F14" s="2693">
        <f t="shared" si="40"/>
        <v>253.25788877571213</v>
      </c>
      <c r="G14" s="3881"/>
      <c r="H14" s="2683">
        <v>1</v>
      </c>
      <c r="I14" s="2683">
        <v>4.09</v>
      </c>
      <c r="J14" s="2683">
        <v>2.93</v>
      </c>
      <c r="K14" s="2683">
        <v>4.54</v>
      </c>
      <c r="L14" s="2694">
        <v>1.48</v>
      </c>
      <c r="N14" s="2688">
        <f t="shared" si="41"/>
        <v>4.0899999999999999E-2</v>
      </c>
      <c r="O14" s="2689">
        <f t="shared" si="37"/>
        <v>2.9300000000000003E-2</v>
      </c>
      <c r="P14" s="2689">
        <f t="shared" si="37"/>
        <v>4.5400000000000003E-2</v>
      </c>
      <c r="Q14" s="2689">
        <f t="shared" si="37"/>
        <v>1.4800000000000001E-2</v>
      </c>
      <c r="R14" s="2690"/>
      <c r="S14" s="2696">
        <f>B14/B15-1</f>
        <v>4.1203450408792808E-2</v>
      </c>
      <c r="T14" s="2697">
        <f>C14/C15-1</f>
        <v>2.6363977342465095E-2</v>
      </c>
      <c r="U14" s="2697">
        <f>E14/E15-1</f>
        <v>4.4837114298626357E-2</v>
      </c>
      <c r="V14" s="2697">
        <f>F14/F15-1</f>
        <v>1.7099954922538574E-2</v>
      </c>
      <c r="X14" s="2778">
        <f>ROUND(SUMPRODUCT(PRODUCT(1+N14:N$21)),4)</f>
        <v>1.1269</v>
      </c>
      <c r="Y14" s="2778">
        <f>ROUND(SUMPRODUCT(PRODUCT(1+O14:O$21)),4)</f>
        <v>1.1052999999999999</v>
      </c>
      <c r="Z14" s="2778">
        <f t="shared" si="0"/>
        <v>1.1052999999999999</v>
      </c>
      <c r="AA14" s="2778">
        <f>ROUND(SUMPRODUCT(PRODUCT(1+P14:P$21)),4)</f>
        <v>1.1349</v>
      </c>
      <c r="AB14" s="2778">
        <f>ROUND(SUMPRODUCT(PRODUCT(1+Q14:Q$21)),4)</f>
        <v>1.0996999999999999</v>
      </c>
      <c r="AD14" s="2698">
        <f>ROUND(AVERAGE(I14:I$22)/100,4)</f>
        <v>1.67E-2</v>
      </c>
      <c r="AE14" s="2698">
        <f>ROUND(AVERAGE(J14:J$22)/100,4)</f>
        <v>1.38E-2</v>
      </c>
      <c r="AF14" s="2698">
        <f t="shared" si="1"/>
        <v>1.38E-2</v>
      </c>
      <c r="AG14" s="2698">
        <f>ROUND(AVERAGE(K14:K$22)/100,4)</f>
        <v>1.7899999999999999E-2</v>
      </c>
      <c r="AH14" s="2698">
        <f>ROUND(AVERAGE(L14:L$22)/100,4)</f>
        <v>1.21E-2</v>
      </c>
    </row>
    <row r="15" spans="1:34" ht="13.5" thickBot="1">
      <c r="A15" s="2679" t="s">
        <v>967</v>
      </c>
      <c r="B15" s="2685">
        <v>333</v>
      </c>
      <c r="C15" s="2685">
        <v>277</v>
      </c>
      <c r="D15" s="2685">
        <f t="shared" si="39"/>
        <v>277</v>
      </c>
      <c r="E15" s="2685">
        <v>459</v>
      </c>
      <c r="F15" s="2686">
        <v>249</v>
      </c>
      <c r="G15" s="3879">
        <v>2015</v>
      </c>
      <c r="H15" s="2699">
        <v>4</v>
      </c>
      <c r="I15" s="2699">
        <v>1.63</v>
      </c>
      <c r="J15" s="2699">
        <v>1.1100000000000001</v>
      </c>
      <c r="K15" s="2699">
        <v>1.77</v>
      </c>
      <c r="L15" s="2700">
        <v>1.89</v>
      </c>
      <c r="N15" s="2701">
        <f t="shared" si="41"/>
        <v>1.6299999999999999E-2</v>
      </c>
      <c r="O15" s="2702">
        <f t="shared" si="37"/>
        <v>1.11E-2</v>
      </c>
      <c r="P15" s="2702">
        <f t="shared" si="37"/>
        <v>1.77E-2</v>
      </c>
      <c r="Q15" s="2702">
        <f t="shared" si="37"/>
        <v>1.89E-2</v>
      </c>
      <c r="R15" s="2690"/>
      <c r="X15" s="2778">
        <f>ROUND(SUMPRODUCT(PRODUCT(1+N15:N$21)),4)</f>
        <v>1.0826</v>
      </c>
      <c r="Y15" s="2778">
        <f>ROUND(SUMPRODUCT(PRODUCT(1+O15:O$21)),4)</f>
        <v>1.0738000000000001</v>
      </c>
      <c r="Z15" s="2778">
        <f t="shared" si="0"/>
        <v>1.0738000000000001</v>
      </c>
      <c r="AA15" s="2778">
        <f>ROUND(SUMPRODUCT(PRODUCT(1+P15:P$21)),4)</f>
        <v>1.0855999999999999</v>
      </c>
      <c r="AB15" s="2778">
        <f>ROUND(SUMPRODUCT(PRODUCT(1+Q15:Q$21)),4)</f>
        <v>1.0837000000000001</v>
      </c>
      <c r="AD15" s="2698">
        <f>ROUND(AVERAGE(I15:I$22)/100,4)</f>
        <v>1.37E-2</v>
      </c>
      <c r="AE15" s="2698">
        <f>ROUND(AVERAGE(J15:J$22)/100,4)</f>
        <v>1.1900000000000001E-2</v>
      </c>
      <c r="AF15" s="2698">
        <f t="shared" si="1"/>
        <v>1.1900000000000001E-2</v>
      </c>
      <c r="AG15" s="2698">
        <f>ROUND(AVERAGE(K15:K$22)/100,4)</f>
        <v>1.4500000000000001E-2</v>
      </c>
      <c r="AH15" s="2698">
        <f>ROUND(AVERAGE(L15:L$22)/100,4)</f>
        <v>1.18E-2</v>
      </c>
    </row>
    <row r="16" spans="1:34">
      <c r="A16" s="2679" t="s">
        <v>966</v>
      </c>
      <c r="B16" s="2693">
        <f t="shared" ref="B16:C18" si="42">B15/(1+N15)</f>
        <v>327.65915576109415</v>
      </c>
      <c r="C16" s="2693">
        <f t="shared" si="42"/>
        <v>273.95905449510434</v>
      </c>
      <c r="D16" s="2693">
        <f t="shared" si="39"/>
        <v>273.95905449510434</v>
      </c>
      <c r="E16" s="2693">
        <f t="shared" ref="E16:F18" si="43">E15/(1+P15)</f>
        <v>451.01699911565294</v>
      </c>
      <c r="F16" s="2693">
        <f t="shared" si="43"/>
        <v>244.38119540681129</v>
      </c>
      <c r="G16" s="3880"/>
      <c r="H16" s="2704">
        <v>3</v>
      </c>
      <c r="I16" s="2704">
        <v>1.65</v>
      </c>
      <c r="J16" s="2704">
        <v>0.92</v>
      </c>
      <c r="K16" s="2704">
        <v>1.88</v>
      </c>
      <c r="L16" s="2705">
        <v>1.26</v>
      </c>
      <c r="N16" s="2688">
        <f t="shared" si="41"/>
        <v>1.6500000000000001E-2</v>
      </c>
      <c r="O16" s="2706">
        <f t="shared" si="37"/>
        <v>9.1999999999999998E-3</v>
      </c>
      <c r="P16" s="2706">
        <f t="shared" si="37"/>
        <v>1.8799999999999997E-2</v>
      </c>
      <c r="Q16" s="2706">
        <f t="shared" si="37"/>
        <v>1.26E-2</v>
      </c>
      <c r="R16" s="2690"/>
      <c r="S16" s="2688"/>
      <c r="T16" s="2689"/>
      <c r="U16" s="2689"/>
      <c r="V16" s="2689"/>
      <c r="X16" s="2778">
        <f>ROUND(SUMPRODUCT(PRODUCT(1+N16:N$21)),4)</f>
        <v>1.0651999999999999</v>
      </c>
      <c r="Y16" s="2778">
        <f>ROUND(SUMPRODUCT(PRODUCT(1+O16:O$21)),4)</f>
        <v>1.0621</v>
      </c>
      <c r="Z16" s="2778">
        <f t="shared" si="0"/>
        <v>1.0621</v>
      </c>
      <c r="AA16" s="2778">
        <f>ROUND(SUMPRODUCT(PRODUCT(1+P16:P$21)),4)</f>
        <v>1.0668</v>
      </c>
      <c r="AB16" s="2778">
        <f>ROUND(SUMPRODUCT(PRODUCT(1+Q16:Q$21)),4)</f>
        <v>1.0636000000000001</v>
      </c>
      <c r="AD16" s="2698">
        <f>ROUND(AVERAGE(I16:I$22)/100,4)</f>
        <v>1.3299999999999999E-2</v>
      </c>
      <c r="AE16" s="2698">
        <f>ROUND(AVERAGE(J16:J$22)/100,4)</f>
        <v>1.2E-2</v>
      </c>
      <c r="AF16" s="2698">
        <f t="shared" si="1"/>
        <v>1.2E-2</v>
      </c>
      <c r="AG16" s="2698">
        <f>ROUND(AVERAGE(K16:K$22)/100,4)</f>
        <v>1.4E-2</v>
      </c>
      <c r="AH16" s="2698">
        <f>ROUND(AVERAGE(L16:L$22)/100,4)</f>
        <v>1.0800000000000001E-2</v>
      </c>
    </row>
    <row r="17" spans="1:34">
      <c r="A17" s="2679" t="s">
        <v>965</v>
      </c>
      <c r="B17" s="2693">
        <f t="shared" si="42"/>
        <v>322.34053690220776</v>
      </c>
      <c r="C17" s="2693">
        <f t="shared" si="42"/>
        <v>271.46160770422546</v>
      </c>
      <c r="D17" s="2693">
        <f t="shared" si="39"/>
        <v>271.46160770422546</v>
      </c>
      <c r="E17" s="2693">
        <f t="shared" si="43"/>
        <v>442.69434542172456</v>
      </c>
      <c r="F17" s="2693">
        <f t="shared" si="43"/>
        <v>241.34030753190925</v>
      </c>
      <c r="G17" s="3880"/>
      <c r="H17" s="2684">
        <v>2</v>
      </c>
      <c r="I17" s="2684">
        <v>0.77</v>
      </c>
      <c r="J17" s="2684">
        <v>0.69</v>
      </c>
      <c r="K17" s="2684">
        <v>0.8</v>
      </c>
      <c r="L17" s="2695">
        <v>0.88</v>
      </c>
      <c r="N17" s="2688">
        <f t="shared" si="41"/>
        <v>7.7000000000000002E-3</v>
      </c>
      <c r="O17" s="2706">
        <f t="shared" si="37"/>
        <v>6.8999999999999999E-3</v>
      </c>
      <c r="P17" s="2706">
        <f t="shared" si="37"/>
        <v>8.0000000000000002E-3</v>
      </c>
      <c r="Q17" s="2706">
        <f t="shared" si="37"/>
        <v>8.8000000000000005E-3</v>
      </c>
      <c r="R17" s="2690"/>
      <c r="S17" s="2688"/>
      <c r="T17" s="2689"/>
      <c r="U17" s="2689"/>
      <c r="V17" s="2689"/>
      <c r="X17" s="2778">
        <f>ROUND(SUMPRODUCT(PRODUCT(1+N17:N$21)),4)</f>
        <v>1.048</v>
      </c>
      <c r="Y17" s="2778">
        <f>ROUND(SUMPRODUCT(PRODUCT(1+O17:O$21)),4)</f>
        <v>1.0524</v>
      </c>
      <c r="Z17" s="2778">
        <f t="shared" si="0"/>
        <v>1.0524</v>
      </c>
      <c r="AA17" s="2778">
        <f>ROUND(SUMPRODUCT(PRODUCT(1+P17:P$21)),4)</f>
        <v>1.0470999999999999</v>
      </c>
      <c r="AB17" s="2778">
        <f>ROUND(SUMPRODUCT(PRODUCT(1+Q17:Q$21)),4)</f>
        <v>1.0504</v>
      </c>
      <c r="AD17" s="2698">
        <f>ROUND(AVERAGE(I17:I$22)/100,4)</f>
        <v>1.2800000000000001E-2</v>
      </c>
      <c r="AE17" s="2698">
        <f>ROUND(AVERAGE(J17:J$22)/100,4)</f>
        <v>1.2500000000000001E-2</v>
      </c>
      <c r="AF17" s="2698">
        <f t="shared" si="1"/>
        <v>1.2500000000000001E-2</v>
      </c>
      <c r="AG17" s="2698">
        <f>ROUND(AVERAGE(K17:K$22)/100,4)</f>
        <v>1.32E-2</v>
      </c>
      <c r="AH17" s="2698">
        <f>ROUND(AVERAGE(L17:L$22)/100,4)</f>
        <v>1.0500000000000001E-2</v>
      </c>
    </row>
    <row r="18" spans="1:34">
      <c r="A18" s="2679" t="s">
        <v>964</v>
      </c>
      <c r="B18" s="2693">
        <f t="shared" si="42"/>
        <v>319.87748030386797</v>
      </c>
      <c r="C18" s="2693">
        <f t="shared" si="42"/>
        <v>269.60135833173649</v>
      </c>
      <c r="D18" s="2693">
        <f t="shared" si="39"/>
        <v>269.60135833173649</v>
      </c>
      <c r="E18" s="2693">
        <f t="shared" si="43"/>
        <v>439.18089823583784</v>
      </c>
      <c r="F18" s="2693">
        <f t="shared" si="43"/>
        <v>239.23503918706311</v>
      </c>
      <c r="G18" s="3881"/>
      <c r="H18" s="2683">
        <v>1</v>
      </c>
      <c r="I18" s="2683">
        <v>0.51</v>
      </c>
      <c r="J18" s="2683">
        <v>0.54</v>
      </c>
      <c r="K18" s="2683">
        <v>0.48</v>
      </c>
      <c r="L18" s="2694">
        <v>0.93</v>
      </c>
      <c r="N18" s="2696">
        <f t="shared" si="41"/>
        <v>5.1000000000000004E-3</v>
      </c>
      <c r="O18" s="2697">
        <f t="shared" si="37"/>
        <v>5.4000000000000003E-3</v>
      </c>
      <c r="P18" s="2697">
        <f t="shared" si="37"/>
        <v>4.7999999999999996E-3</v>
      </c>
      <c r="Q18" s="2697">
        <f t="shared" si="37"/>
        <v>9.300000000000001E-3</v>
      </c>
      <c r="R18" s="2690"/>
      <c r="S18" s="2696">
        <f>B18/B19-1</f>
        <v>5.9040261127922822E-3</v>
      </c>
      <c r="T18" s="2697">
        <f>C18/C19-1</f>
        <v>5.9752176557332781E-3</v>
      </c>
      <c r="U18" s="2697">
        <f>E18/E19-1</f>
        <v>4.9906138119859556E-3</v>
      </c>
      <c r="V18" s="2697">
        <f>F18/F19-1</f>
        <v>9.4305450930933787E-3</v>
      </c>
      <c r="X18" s="2778">
        <f>ROUND(SUMPRODUCT(PRODUCT(1+N18:N$21)),4)</f>
        <v>1.0399</v>
      </c>
      <c r="Y18" s="2778">
        <f>ROUND(SUMPRODUCT(PRODUCT(1+O18:O$21)),4)</f>
        <v>1.0451999999999999</v>
      </c>
      <c r="Z18" s="2778">
        <f t="shared" si="0"/>
        <v>1.0451999999999999</v>
      </c>
      <c r="AA18" s="2778">
        <f>ROUND(SUMPRODUCT(PRODUCT(1+P18:P$21)),4)</f>
        <v>1.0387999999999999</v>
      </c>
      <c r="AB18" s="2778">
        <f>ROUND(SUMPRODUCT(PRODUCT(1+Q18:Q$21)),4)</f>
        <v>1.0411999999999999</v>
      </c>
      <c r="AD18" s="2698">
        <f>ROUND(AVERAGE(I18:I$22)/100,4)</f>
        <v>1.38E-2</v>
      </c>
      <c r="AE18" s="2698">
        <f>ROUND(AVERAGE(J18:J$22)/100,4)</f>
        <v>1.3599999999999999E-2</v>
      </c>
      <c r="AF18" s="2698">
        <f t="shared" si="1"/>
        <v>1.3599999999999999E-2</v>
      </c>
      <c r="AG18" s="2698">
        <f>ROUND(AVERAGE(K18:K$22)/100,4)</f>
        <v>1.4200000000000001E-2</v>
      </c>
      <c r="AH18" s="2698">
        <f>ROUND(AVERAGE(L18:L$22)/100,4)</f>
        <v>1.0800000000000001E-2</v>
      </c>
    </row>
    <row r="19" spans="1:34" ht="13.5" thickBot="1">
      <c r="A19" s="2679" t="s">
        <v>963</v>
      </c>
      <c r="B19" s="2707">
        <v>318</v>
      </c>
      <c r="C19" s="2707">
        <v>268</v>
      </c>
      <c r="D19" s="2707">
        <f t="shared" si="39"/>
        <v>268</v>
      </c>
      <c r="E19" s="2707">
        <v>437</v>
      </c>
      <c r="F19" s="2708">
        <v>237</v>
      </c>
      <c r="G19" s="3879">
        <v>2014</v>
      </c>
      <c r="H19" s="2699">
        <v>4</v>
      </c>
      <c r="I19" s="2699">
        <v>0.21</v>
      </c>
      <c r="J19" s="2699">
        <v>0.41</v>
      </c>
      <c r="K19" s="2699">
        <v>0.12</v>
      </c>
      <c r="L19" s="2700">
        <v>0.89</v>
      </c>
      <c r="N19" s="2688">
        <f t="shared" si="41"/>
        <v>2.0999999999999999E-3</v>
      </c>
      <c r="O19" s="2689">
        <f t="shared" si="37"/>
        <v>4.0999999999999995E-3</v>
      </c>
      <c r="P19" s="2689">
        <f t="shared" si="37"/>
        <v>1.1999999999999999E-3</v>
      </c>
      <c r="Q19" s="2689">
        <f t="shared" si="37"/>
        <v>8.8999999999999999E-3</v>
      </c>
      <c r="R19" s="2690"/>
      <c r="S19" s="2691"/>
      <c r="T19" s="2692"/>
      <c r="U19" s="2692"/>
      <c r="V19" s="2692"/>
      <c r="X19" s="2778">
        <f>ROUND(SUMPRODUCT(PRODUCT(1+N19:N$21)),4)</f>
        <v>1.0347</v>
      </c>
      <c r="Y19" s="2778">
        <f>ROUND(SUMPRODUCT(PRODUCT(1+O19:O$21)),4)</f>
        <v>1.0395000000000001</v>
      </c>
      <c r="Z19" s="2778">
        <f t="shared" si="0"/>
        <v>1.0395000000000001</v>
      </c>
      <c r="AA19" s="2778">
        <f>ROUND(SUMPRODUCT(PRODUCT(1+P19:P$21)),4)</f>
        <v>1.0338000000000001</v>
      </c>
      <c r="AB19" s="2778">
        <f>ROUND(SUMPRODUCT(PRODUCT(1+Q19:Q$21)),4)</f>
        <v>1.0316000000000001</v>
      </c>
      <c r="AD19" s="2698">
        <f>ROUND(AVERAGE(I19:I$22)/100,4)</f>
        <v>1.6E-2</v>
      </c>
      <c r="AE19" s="2698">
        <f>ROUND(AVERAGE(J19:J$22)/100,4)</f>
        <v>1.5599999999999999E-2</v>
      </c>
      <c r="AF19" s="2698">
        <f t="shared" si="1"/>
        <v>1.5599999999999999E-2</v>
      </c>
      <c r="AG19" s="2698">
        <f>ROUND(AVERAGE(K19:K$22)/100,4)</f>
        <v>1.66E-2</v>
      </c>
      <c r="AH19" s="2698">
        <f>ROUND(AVERAGE(L19:L$22)/100,4)</f>
        <v>1.12E-2</v>
      </c>
    </row>
    <row r="20" spans="1:34">
      <c r="A20" s="2679" t="s">
        <v>962</v>
      </c>
      <c r="B20" s="2693">
        <f t="shared" ref="B20:C22" si="44">B19/(1+N19)</f>
        <v>317.33359944117353</v>
      </c>
      <c r="C20" s="2693">
        <f t="shared" si="44"/>
        <v>266.90568668459315</v>
      </c>
      <c r="D20" s="2693">
        <f t="shared" si="39"/>
        <v>266.90568668459315</v>
      </c>
      <c r="E20" s="2693">
        <f t="shared" ref="E20:F22" si="45">E19/(1+P19)</f>
        <v>436.47622852576905</v>
      </c>
      <c r="F20" s="2693">
        <f t="shared" si="45"/>
        <v>234.90930716622066</v>
      </c>
      <c r="G20" s="3880"/>
      <c r="H20" s="2709">
        <v>3</v>
      </c>
      <c r="I20" s="2709">
        <v>0.83</v>
      </c>
      <c r="J20" s="2709">
        <v>1.47</v>
      </c>
      <c r="K20" s="2709">
        <v>0.65</v>
      </c>
      <c r="L20" s="2710">
        <v>0.72</v>
      </c>
      <c r="N20" s="2688">
        <f t="shared" si="41"/>
        <v>8.3000000000000001E-3</v>
      </c>
      <c r="O20" s="2689">
        <f t="shared" si="37"/>
        <v>1.47E-2</v>
      </c>
      <c r="P20" s="2689">
        <f t="shared" si="37"/>
        <v>6.5000000000000006E-3</v>
      </c>
      <c r="Q20" s="2689">
        <f t="shared" si="37"/>
        <v>7.1999999999999998E-3</v>
      </c>
      <c r="R20" s="2690"/>
      <c r="S20" s="2688"/>
      <c r="T20" s="2689"/>
      <c r="U20" s="2689"/>
      <c r="V20" s="2689"/>
      <c r="X20" s="2778">
        <f>ROUND(SUMPRODUCT(PRODUCT(1+N20:N$21)),4)</f>
        <v>1.0325</v>
      </c>
      <c r="Y20" s="2778">
        <f>ROUND(SUMPRODUCT(PRODUCT(1+O20:O$21)),4)</f>
        <v>1.0353000000000001</v>
      </c>
      <c r="Z20" s="2778">
        <f t="shared" ref="Z20:Z21" si="46">Y20</f>
        <v>1.0353000000000001</v>
      </c>
      <c r="AA20" s="2778">
        <f>ROUND(SUMPRODUCT(PRODUCT(1+P20:P$21)),4)</f>
        <v>1.0326</v>
      </c>
      <c r="AB20" s="2778">
        <f>ROUND(SUMPRODUCT(PRODUCT(1+Q20:Q$21)),4)</f>
        <v>1.0225</v>
      </c>
      <c r="AD20" s="2698">
        <f>ROUND(AVERAGE(I20:I$22)/100,4)</f>
        <v>2.07E-2</v>
      </c>
      <c r="AE20" s="2698">
        <f>ROUND(AVERAGE(J20:J$22)/100,4)</f>
        <v>1.95E-2</v>
      </c>
      <c r="AF20" s="2698">
        <f t="shared" si="1"/>
        <v>1.95E-2</v>
      </c>
      <c r="AG20" s="2698">
        <f>ROUND(AVERAGE(K20:K$22)/100,4)</f>
        <v>2.1700000000000001E-2</v>
      </c>
      <c r="AH20" s="2698">
        <f>ROUND(AVERAGE(L20:L$22)/100,4)</f>
        <v>1.2E-2</v>
      </c>
    </row>
    <row r="21" spans="1:34" ht="13.5" thickBot="1">
      <c r="A21" s="2679" t="s">
        <v>961</v>
      </c>
      <c r="B21" s="2693">
        <f t="shared" si="44"/>
        <v>314.72141172386546</v>
      </c>
      <c r="C21" s="2693">
        <f t="shared" si="44"/>
        <v>263.03901319069001</v>
      </c>
      <c r="D21" s="2693">
        <f t="shared" si="39"/>
        <v>263.03901319069001</v>
      </c>
      <c r="E21" s="2693">
        <f t="shared" si="45"/>
        <v>433.65745506782821</v>
      </c>
      <c r="F21" s="2693">
        <f t="shared" si="45"/>
        <v>233.23005080045735</v>
      </c>
      <c r="G21" s="3880"/>
      <c r="H21" s="2699">
        <v>2</v>
      </c>
      <c r="I21" s="2699">
        <v>2.4</v>
      </c>
      <c r="J21" s="2699">
        <v>2.0299999999999998</v>
      </c>
      <c r="K21" s="2699">
        <v>2.59</v>
      </c>
      <c r="L21" s="2700">
        <v>1.52</v>
      </c>
      <c r="N21" s="2688">
        <f t="shared" si="41"/>
        <v>2.4E-2</v>
      </c>
      <c r="O21" s="2689">
        <f t="shared" si="37"/>
        <v>2.0299999999999999E-2</v>
      </c>
      <c r="P21" s="2689">
        <f t="shared" si="37"/>
        <v>2.5899999999999999E-2</v>
      </c>
      <c r="Q21" s="2689">
        <f t="shared" si="37"/>
        <v>1.52E-2</v>
      </c>
      <c r="R21" s="2690"/>
      <c r="S21" s="2688"/>
      <c r="T21" s="2689"/>
      <c r="U21" s="2689"/>
      <c r="V21" s="2689"/>
      <c r="X21" s="2778">
        <f>1+N21</f>
        <v>1.024</v>
      </c>
      <c r="Y21" s="2778">
        <f>1+O21</f>
        <v>1.0203</v>
      </c>
      <c r="Z21" s="2778">
        <f t="shared" si="46"/>
        <v>1.0203</v>
      </c>
      <c r="AA21" s="2778">
        <f>1+P21</f>
        <v>1.0259</v>
      </c>
      <c r="AB21" s="2778">
        <f>1+Q21</f>
        <v>1.0152000000000001</v>
      </c>
      <c r="AD21" s="2698">
        <f>ROUND(AVERAGE(I21:I$22)/100,4)</f>
        <v>2.69E-2</v>
      </c>
      <c r="AE21" s="2698">
        <f>ROUND(AVERAGE(J21:J$22)/100,4)</f>
        <v>2.1899999999999999E-2</v>
      </c>
      <c r="AF21" s="2698">
        <f t="shared" ref="AF21" si="47">AE21</f>
        <v>2.1899999999999999E-2</v>
      </c>
      <c r="AG21" s="2698">
        <f>ROUND(AVERAGE(K21:K$22)/100,4)</f>
        <v>2.9399999999999999E-2</v>
      </c>
      <c r="AH21" s="2698">
        <f>ROUND(AVERAGE(L21:L$22)/100,4)</f>
        <v>1.44E-2</v>
      </c>
    </row>
    <row r="22" spans="1:34" s="2715" customFormat="1" ht="13.5" thickBot="1">
      <c r="A22" s="2711" t="s">
        <v>960</v>
      </c>
      <c r="B22" s="2712">
        <f t="shared" si="44"/>
        <v>307.34512863658733</v>
      </c>
      <c r="C22" s="2712">
        <f t="shared" si="44"/>
        <v>257.80556031626975</v>
      </c>
      <c r="D22" s="2712">
        <f t="shared" si="39"/>
        <v>257.80556031626975</v>
      </c>
      <c r="E22" s="2712">
        <f t="shared" si="45"/>
        <v>422.70928459677179</v>
      </c>
      <c r="F22" s="2712">
        <f t="shared" si="45"/>
        <v>229.73803270336617</v>
      </c>
      <c r="G22" s="3881"/>
      <c r="H22" s="2713">
        <v>1</v>
      </c>
      <c r="I22" s="2713">
        <v>2.97</v>
      </c>
      <c r="J22" s="2713">
        <v>2.34</v>
      </c>
      <c r="K22" s="2713">
        <v>3.28</v>
      </c>
      <c r="L22" s="2714">
        <v>1.36</v>
      </c>
      <c r="N22" s="2716">
        <f t="shared" si="41"/>
        <v>2.9700000000000001E-2</v>
      </c>
      <c r="O22" s="2717">
        <f t="shared" si="37"/>
        <v>2.3399999999999997E-2</v>
      </c>
      <c r="P22" s="2717">
        <f t="shared" si="37"/>
        <v>3.2799999999999996E-2</v>
      </c>
      <c r="Q22" s="2717">
        <f t="shared" si="37"/>
        <v>1.3600000000000001E-2</v>
      </c>
      <c r="R22" s="2718"/>
      <c r="S22" s="2719">
        <f>B22/B23-1</f>
        <v>2.7910129219355539E-2</v>
      </c>
      <c r="T22" s="2720">
        <f>C22/C23-1</f>
        <v>2.3037937762975247E-2</v>
      </c>
      <c r="U22" s="2720">
        <f>E22/E23-1</f>
        <v>3.3519033243940788E-2</v>
      </c>
      <c r="V22" s="2720">
        <f>F22/F23-1</f>
        <v>1.2061818076502862E-2</v>
      </c>
      <c r="W22" s="2787" t="s">
        <v>2638</v>
      </c>
      <c r="X22" s="2789">
        <v>1</v>
      </c>
      <c r="Y22" s="2789">
        <v>1</v>
      </c>
      <c r="Z22" s="2789">
        <v>1</v>
      </c>
      <c r="AA22" s="2789">
        <v>1</v>
      </c>
      <c r="AB22" s="2789">
        <v>1</v>
      </c>
      <c r="AD22" s="3033">
        <f>I22/100</f>
        <v>2.9700000000000001E-2</v>
      </c>
      <c r="AE22" s="3033">
        <f>J22/100</f>
        <v>2.3399999999999997E-2</v>
      </c>
      <c r="AF22" s="3033">
        <f>AE22</f>
        <v>2.3399999999999997E-2</v>
      </c>
      <c r="AG22" s="3033">
        <f>K22/100</f>
        <v>3.2799999999999996E-2</v>
      </c>
      <c r="AH22" s="3033">
        <f>L22/100</f>
        <v>1.3600000000000001E-2</v>
      </c>
    </row>
    <row r="23" spans="1:34" ht="13.5" thickBot="1">
      <c r="A23" s="2679" t="s">
        <v>2581</v>
      </c>
      <c r="B23" s="2685">
        <v>299</v>
      </c>
      <c r="C23" s="2685">
        <v>252</v>
      </c>
      <c r="D23" s="2685">
        <f t="shared" si="39"/>
        <v>252</v>
      </c>
      <c r="E23" s="2685">
        <v>409</v>
      </c>
      <c r="F23" s="2686">
        <v>227</v>
      </c>
      <c r="G23" s="3882">
        <v>2013</v>
      </c>
      <c r="H23" s="2721">
        <v>4</v>
      </c>
      <c r="I23" s="2721">
        <v>1.83</v>
      </c>
      <c r="J23" s="2721">
        <v>1.68</v>
      </c>
      <c r="K23" s="2721">
        <v>1.97</v>
      </c>
      <c r="L23" s="2722">
        <v>0.87</v>
      </c>
      <c r="N23" s="2701">
        <f t="shared" si="41"/>
        <v>1.83E-2</v>
      </c>
      <c r="O23" s="2702">
        <f t="shared" si="37"/>
        <v>1.6799999999999999E-2</v>
      </c>
      <c r="P23" s="2702">
        <f t="shared" si="37"/>
        <v>1.9699999999999999E-2</v>
      </c>
      <c r="Q23" s="2702">
        <f t="shared" si="37"/>
        <v>8.6999999999999994E-3</v>
      </c>
      <c r="R23" s="2690"/>
      <c r="S23" s="2691"/>
      <c r="T23" s="2692"/>
      <c r="U23" s="2692"/>
      <c r="V23" s="2692"/>
      <c r="X23" s="2692"/>
      <c r="Y23" s="2692"/>
      <c r="Z23" s="2692"/>
    </row>
    <row r="24" spans="1:34">
      <c r="A24" s="2679" t="s">
        <v>2582</v>
      </c>
      <c r="B24" s="2693">
        <f t="shared" ref="B24:C26" si="48">B23/(1+N23)</f>
        <v>293.62663262299913</v>
      </c>
      <c r="C24" s="2693">
        <f t="shared" si="48"/>
        <v>247.83634933123525</v>
      </c>
      <c r="D24" s="2693">
        <f t="shared" si="39"/>
        <v>247.83634933123525</v>
      </c>
      <c r="E24" s="2693">
        <f t="shared" ref="E24:F26" si="49">E23/(1+P23)</f>
        <v>401.09836226341076</v>
      </c>
      <c r="F24" s="2693">
        <f t="shared" si="49"/>
        <v>225.04213343908003</v>
      </c>
      <c r="G24" s="3883"/>
      <c r="H24" s="2704">
        <v>3</v>
      </c>
      <c r="I24" s="2704">
        <v>1.86</v>
      </c>
      <c r="J24" s="2704">
        <v>1.72</v>
      </c>
      <c r="K24" s="2704">
        <v>1.98</v>
      </c>
      <c r="L24" s="2705">
        <v>0.88</v>
      </c>
      <c r="N24" s="2688">
        <f t="shared" si="41"/>
        <v>1.8600000000000002E-2</v>
      </c>
      <c r="O24" s="2706">
        <f t="shared" si="37"/>
        <v>1.72E-2</v>
      </c>
      <c r="P24" s="2706">
        <f t="shared" si="37"/>
        <v>1.9799999999999998E-2</v>
      </c>
      <c r="Q24" s="2706">
        <f t="shared" si="37"/>
        <v>8.8000000000000005E-3</v>
      </c>
      <c r="R24" s="2690"/>
      <c r="S24" s="2688"/>
      <c r="T24" s="2689"/>
      <c r="U24" s="2689"/>
      <c r="V24" s="2689"/>
    </row>
    <row r="25" spans="1:34">
      <c r="A25" s="2679" t="s">
        <v>2583</v>
      </c>
      <c r="B25" s="2693">
        <f t="shared" si="48"/>
        <v>288.2649053828776</v>
      </c>
      <c r="C25" s="2693">
        <f t="shared" si="48"/>
        <v>243.64564425013293</v>
      </c>
      <c r="D25" s="2693">
        <f t="shared" si="39"/>
        <v>243.64564425013293</v>
      </c>
      <c r="E25" s="2693">
        <f t="shared" si="49"/>
        <v>393.31080825986544</v>
      </c>
      <c r="F25" s="2693">
        <f t="shared" si="49"/>
        <v>223.07903790551154</v>
      </c>
      <c r="G25" s="3883"/>
      <c r="H25" s="2684">
        <v>2</v>
      </c>
      <c r="I25" s="2684">
        <v>2.04</v>
      </c>
      <c r="J25" s="2684">
        <v>2.33</v>
      </c>
      <c r="K25" s="2684">
        <v>2.0699999999999998</v>
      </c>
      <c r="L25" s="2695">
        <v>0.69</v>
      </c>
      <c r="N25" s="2688">
        <f t="shared" si="41"/>
        <v>2.0400000000000001E-2</v>
      </c>
      <c r="O25" s="2706">
        <f t="shared" si="37"/>
        <v>2.3300000000000001E-2</v>
      </c>
      <c r="P25" s="2706">
        <f t="shared" si="37"/>
        <v>2.07E-2</v>
      </c>
      <c r="Q25" s="2706">
        <f t="shared" si="37"/>
        <v>6.8999999999999999E-3</v>
      </c>
      <c r="R25" s="2690"/>
      <c r="S25" s="2688"/>
      <c r="T25" s="2689"/>
      <c r="U25" s="2689"/>
      <c r="V25" s="2689"/>
      <c r="X25" s="2790"/>
      <c r="Y25" s="2792"/>
    </row>
    <row r="26" spans="1:34">
      <c r="A26" s="2679" t="s">
        <v>2584</v>
      </c>
      <c r="B26" s="2693">
        <f t="shared" si="48"/>
        <v>282.50186729015837</v>
      </c>
      <c r="C26" s="2693">
        <f t="shared" si="48"/>
        <v>238.09796174155468</v>
      </c>
      <c r="D26" s="2693">
        <f t="shared" si="39"/>
        <v>238.09796174155468</v>
      </c>
      <c r="E26" s="2693">
        <f t="shared" si="49"/>
        <v>385.33438646014054</v>
      </c>
      <c r="F26" s="2693">
        <f t="shared" si="49"/>
        <v>221.55034055567739</v>
      </c>
      <c r="G26" s="3884"/>
      <c r="H26" s="2683">
        <v>1</v>
      </c>
      <c r="I26" s="2683">
        <v>1.67</v>
      </c>
      <c r="J26" s="2683">
        <v>1.31</v>
      </c>
      <c r="K26" s="2683">
        <v>1.85</v>
      </c>
      <c r="L26" s="2694">
        <v>0.96</v>
      </c>
      <c r="N26" s="2696">
        <f t="shared" si="41"/>
        <v>1.67E-2</v>
      </c>
      <c r="O26" s="2697">
        <f t="shared" si="37"/>
        <v>1.3100000000000001E-2</v>
      </c>
      <c r="P26" s="2697">
        <f t="shared" si="37"/>
        <v>1.8500000000000003E-2</v>
      </c>
      <c r="Q26" s="2697">
        <f t="shared" si="37"/>
        <v>9.5999999999999992E-3</v>
      </c>
      <c r="R26" s="2690"/>
      <c r="S26" s="2696">
        <f>B26/B27-1</f>
        <v>1.6193767230785472E-2</v>
      </c>
      <c r="T26" s="2697">
        <f>C26/C27-1</f>
        <v>1.7512657015190891E-2</v>
      </c>
      <c r="U26" s="2697">
        <f>E26/E27-1</f>
        <v>1.6713420739157048E-2</v>
      </c>
      <c r="V26" s="2697">
        <f>F26/F27-1</f>
        <v>7.0470025258062563E-3</v>
      </c>
      <c r="X26" s="2791"/>
      <c r="Y26" s="2698"/>
      <c r="Z26" s="2698"/>
    </row>
    <row r="27" spans="1:34" ht="13.5" thickBot="1">
      <c r="A27" s="2679" t="s">
        <v>2585</v>
      </c>
      <c r="B27" s="2723">
        <v>278</v>
      </c>
      <c r="C27" s="2723">
        <v>234</v>
      </c>
      <c r="D27" s="2723">
        <f t="shared" si="39"/>
        <v>234</v>
      </c>
      <c r="E27" s="2723">
        <v>379</v>
      </c>
      <c r="F27" s="2724">
        <v>220</v>
      </c>
      <c r="G27" s="3879">
        <v>2012</v>
      </c>
      <c r="H27" s="2699">
        <v>4</v>
      </c>
      <c r="I27" s="2699">
        <v>0.91</v>
      </c>
      <c r="J27" s="2699">
        <v>0.68</v>
      </c>
      <c r="K27" s="2699">
        <v>0.98</v>
      </c>
      <c r="L27" s="2700">
        <v>0.9</v>
      </c>
      <c r="N27" s="2688">
        <f t="shared" si="41"/>
        <v>9.1000000000000004E-3</v>
      </c>
      <c r="O27" s="2689">
        <f t="shared" si="41"/>
        <v>6.8000000000000005E-3</v>
      </c>
      <c r="P27" s="2689">
        <f t="shared" si="41"/>
        <v>9.7999999999999997E-3</v>
      </c>
      <c r="Q27" s="2689">
        <f t="shared" si="41"/>
        <v>9.0000000000000011E-3</v>
      </c>
      <c r="R27" s="2690"/>
      <c r="S27" s="2691"/>
      <c r="T27" s="2692"/>
      <c r="U27" s="2692"/>
      <c r="V27" s="2692"/>
      <c r="X27" s="2692"/>
      <c r="Y27" s="2692"/>
      <c r="Z27" s="2692"/>
    </row>
    <row r="28" spans="1:34">
      <c r="A28" s="2679" t="s">
        <v>2586</v>
      </c>
      <c r="B28" s="2693">
        <f>B27/(1+N27)</f>
        <v>275.49301357645425</v>
      </c>
      <c r="C28" s="2693">
        <f>C27/(1+O27)</f>
        <v>232.41954707985698</v>
      </c>
      <c r="D28" s="2693">
        <f t="shared" si="39"/>
        <v>232.41954707985698</v>
      </c>
      <c r="E28" s="2693">
        <f t="shared" ref="E28:F30" si="50">E27/(1+P27)</f>
        <v>375.32184591008121</v>
      </c>
      <c r="F28" s="2693">
        <f t="shared" si="50"/>
        <v>218.03766105054513</v>
      </c>
      <c r="G28" s="3880"/>
      <c r="H28" s="2704">
        <v>3</v>
      </c>
      <c r="I28" s="2704">
        <v>0.09</v>
      </c>
      <c r="J28" s="2704">
        <v>0.28999999999999998</v>
      </c>
      <c r="K28" s="2704">
        <v>-0.01</v>
      </c>
      <c r="L28" s="2705">
        <v>0.57999999999999996</v>
      </c>
      <c r="N28" s="2688">
        <f t="shared" si="41"/>
        <v>8.9999999999999998E-4</v>
      </c>
      <c r="O28" s="2689">
        <f t="shared" si="41"/>
        <v>2.8999999999999998E-3</v>
      </c>
      <c r="P28" s="2689">
        <f t="shared" si="41"/>
        <v>-1E-4</v>
      </c>
      <c r="Q28" s="2689">
        <f t="shared" si="41"/>
        <v>5.7999999999999996E-3</v>
      </c>
      <c r="R28" s="2690"/>
      <c r="S28" s="2688"/>
      <c r="T28" s="2689"/>
      <c r="U28" s="2689"/>
      <c r="V28" s="2689"/>
    </row>
    <row r="29" spans="1:34">
      <c r="A29" s="2679" t="s">
        <v>2587</v>
      </c>
      <c r="B29" s="2693">
        <f>B28/(1+N28)</f>
        <v>275.24529281292263</v>
      </c>
      <c r="C29" s="2693">
        <f>C28/(1+O28)</f>
        <v>231.74747938962707</v>
      </c>
      <c r="D29" s="2693">
        <f t="shared" si="39"/>
        <v>231.74747938962707</v>
      </c>
      <c r="E29" s="2693">
        <f t="shared" si="50"/>
        <v>375.35938184826603</v>
      </c>
      <c r="F29" s="2693">
        <f t="shared" si="50"/>
        <v>216.78033510692495</v>
      </c>
      <c r="G29" s="3880"/>
      <c r="H29" s="2684">
        <v>2</v>
      </c>
      <c r="I29" s="2684">
        <v>0.02</v>
      </c>
      <c r="J29" s="2684">
        <v>0.12</v>
      </c>
      <c r="K29" s="2684">
        <v>-0.08</v>
      </c>
      <c r="L29" s="2695">
        <v>1.24</v>
      </c>
      <c r="N29" s="2688">
        <f t="shared" si="41"/>
        <v>2.0000000000000001E-4</v>
      </c>
      <c r="O29" s="2689">
        <f t="shared" si="41"/>
        <v>1.1999999999999999E-3</v>
      </c>
      <c r="P29" s="2689">
        <f t="shared" si="41"/>
        <v>-8.0000000000000004E-4</v>
      </c>
      <c r="Q29" s="2689">
        <f t="shared" si="41"/>
        <v>1.24E-2</v>
      </c>
      <c r="R29" s="2690"/>
      <c r="S29" s="2688"/>
      <c r="T29" s="2689"/>
      <c r="U29" s="2689"/>
      <c r="V29" s="2689"/>
    </row>
    <row r="30" spans="1:34" ht="13.5" thickBot="1">
      <c r="A30" s="2679" t="s">
        <v>2588</v>
      </c>
      <c r="B30" s="2693">
        <f>B29/(1+N29)</f>
        <v>275.19025476197027</v>
      </c>
      <c r="C30" s="2725">
        <v>232</v>
      </c>
      <c r="D30" s="2725">
        <f t="shared" si="39"/>
        <v>232</v>
      </c>
      <c r="E30" s="2693">
        <f t="shared" si="50"/>
        <v>375.65990977608692</v>
      </c>
      <c r="F30" s="2693">
        <f t="shared" si="50"/>
        <v>214.12518283971252</v>
      </c>
      <c r="G30" s="3881"/>
      <c r="H30" s="2683">
        <v>1</v>
      </c>
      <c r="I30" s="2683">
        <v>0.02</v>
      </c>
      <c r="J30" s="2683">
        <v>0.13</v>
      </c>
      <c r="K30" s="2683">
        <v>-0.04</v>
      </c>
      <c r="L30" s="2694">
        <v>0.46</v>
      </c>
      <c r="N30" s="2688">
        <f t="shared" si="41"/>
        <v>2.0000000000000001E-4</v>
      </c>
      <c r="O30" s="2689">
        <f t="shared" si="41"/>
        <v>1.2999999999999999E-3</v>
      </c>
      <c r="P30" s="2689">
        <f t="shared" si="41"/>
        <v>-4.0000000000000002E-4</v>
      </c>
      <c r="Q30" s="2689">
        <f t="shared" si="41"/>
        <v>4.5999999999999999E-3</v>
      </c>
      <c r="R30" s="2690"/>
      <c r="S30" s="2696">
        <f>B30/B31-1</f>
        <v>6.9183549807361189E-4</v>
      </c>
      <c r="T30" s="2697">
        <f>C30/C31-1</f>
        <v>0</v>
      </c>
      <c r="U30" s="2697">
        <f>E30/E31-1</f>
        <v>-9.0449527636460303E-4</v>
      </c>
      <c r="V30" s="2697">
        <f>F30/F31-1</f>
        <v>5.2825485432512753E-3</v>
      </c>
      <c r="X30" s="2698"/>
      <c r="Y30" s="2698"/>
      <c r="Z30" s="2698"/>
    </row>
    <row r="31" spans="1:34" ht="13.5" thickBot="1">
      <c r="A31" s="2679" t="s">
        <v>2589</v>
      </c>
      <c r="B31" s="2685">
        <v>275</v>
      </c>
      <c r="C31" s="2685">
        <v>232</v>
      </c>
      <c r="D31" s="2685">
        <f t="shared" si="39"/>
        <v>232</v>
      </c>
      <c r="E31" s="2685">
        <v>376</v>
      </c>
      <c r="F31" s="2686">
        <v>213</v>
      </c>
      <c r="G31" s="3879">
        <v>2011</v>
      </c>
      <c r="H31" s="2699">
        <v>4</v>
      </c>
      <c r="I31" s="2699">
        <v>-0.2</v>
      </c>
      <c r="J31" s="2699">
        <v>0.04</v>
      </c>
      <c r="K31" s="2699">
        <v>-0.34</v>
      </c>
      <c r="L31" s="2700">
        <v>0.46</v>
      </c>
      <c r="N31" s="2701">
        <f t="shared" si="41"/>
        <v>-2E-3</v>
      </c>
      <c r="O31" s="2702">
        <f t="shared" si="41"/>
        <v>4.0000000000000002E-4</v>
      </c>
      <c r="P31" s="2702">
        <f t="shared" si="41"/>
        <v>-3.4000000000000002E-3</v>
      </c>
      <c r="Q31" s="2702">
        <f t="shared" si="41"/>
        <v>4.5999999999999999E-3</v>
      </c>
      <c r="R31" s="2690"/>
      <c r="S31" s="2691"/>
      <c r="T31" s="2692"/>
      <c r="U31" s="2692"/>
      <c r="V31" s="2692"/>
      <c r="X31" s="2692"/>
      <c r="Y31" s="2692"/>
      <c r="Z31" s="2692"/>
    </row>
    <row r="32" spans="1:34">
      <c r="A32" s="2679" t="s">
        <v>2590</v>
      </c>
      <c r="B32" s="2693">
        <f t="shared" ref="B32:C34" si="51">B31/(1+N31)</f>
        <v>275.55110220440883</v>
      </c>
      <c r="C32" s="2693">
        <f t="shared" si="51"/>
        <v>231.90723710515795</v>
      </c>
      <c r="D32" s="2693">
        <f t="shared" si="39"/>
        <v>231.90723710515795</v>
      </c>
      <c r="E32" s="2693">
        <f t="shared" ref="E32:F34" si="52">E31/(1+P31)</f>
        <v>377.28276138872161</v>
      </c>
      <c r="F32" s="2693">
        <f t="shared" si="52"/>
        <v>212.02468644236512</v>
      </c>
      <c r="G32" s="3880">
        <v>2011</v>
      </c>
      <c r="H32" s="2704">
        <v>3</v>
      </c>
      <c r="I32" s="2704">
        <v>0.13</v>
      </c>
      <c r="J32" s="2704">
        <v>0.75</v>
      </c>
      <c r="K32" s="2704">
        <v>-0.08</v>
      </c>
      <c r="L32" s="2705">
        <v>0.53</v>
      </c>
      <c r="N32" s="2688">
        <f t="shared" si="41"/>
        <v>1.2999999999999999E-3</v>
      </c>
      <c r="O32" s="2706">
        <f t="shared" si="41"/>
        <v>7.4999999999999997E-3</v>
      </c>
      <c r="P32" s="2706">
        <f t="shared" si="41"/>
        <v>-8.0000000000000004E-4</v>
      </c>
      <c r="Q32" s="2706">
        <f t="shared" si="41"/>
        <v>5.3E-3</v>
      </c>
      <c r="R32" s="2690"/>
      <c r="S32" s="2688"/>
      <c r="T32" s="2689"/>
      <c r="U32" s="2689"/>
      <c r="V32" s="2689"/>
    </row>
    <row r="33" spans="1:26">
      <c r="A33" s="2679" t="s">
        <v>2591</v>
      </c>
      <c r="B33" s="2693">
        <f t="shared" si="51"/>
        <v>275.19335084830601</v>
      </c>
      <c r="C33" s="2693">
        <f t="shared" si="51"/>
        <v>230.18088050139744</v>
      </c>
      <c r="D33" s="2693">
        <f t="shared" si="39"/>
        <v>230.18088050139744</v>
      </c>
      <c r="E33" s="2693">
        <f t="shared" si="52"/>
        <v>377.58482925212331</v>
      </c>
      <c r="F33" s="2693">
        <f t="shared" si="52"/>
        <v>210.90687997847917</v>
      </c>
      <c r="G33" s="3880">
        <v>2011</v>
      </c>
      <c r="H33" s="2684">
        <v>2</v>
      </c>
      <c r="I33" s="2684">
        <v>-0.4</v>
      </c>
      <c r="J33" s="2684">
        <v>0.17</v>
      </c>
      <c r="K33" s="2684">
        <v>-0.57999999999999996</v>
      </c>
      <c r="L33" s="2695">
        <v>-0.2</v>
      </c>
      <c r="N33" s="2688">
        <f t="shared" si="41"/>
        <v>-4.0000000000000001E-3</v>
      </c>
      <c r="O33" s="2706">
        <f t="shared" si="41"/>
        <v>1.7000000000000001E-3</v>
      </c>
      <c r="P33" s="2706">
        <f t="shared" si="41"/>
        <v>-5.7999999999999996E-3</v>
      </c>
      <c r="Q33" s="2706">
        <f t="shared" si="41"/>
        <v>-2E-3</v>
      </c>
      <c r="R33" s="2690"/>
      <c r="S33" s="2688"/>
      <c r="T33" s="2689"/>
      <c r="U33" s="2689"/>
      <c r="V33" s="2689"/>
    </row>
    <row r="34" spans="1:26" ht="13.5" thickBot="1">
      <c r="A34" s="2679" t="s">
        <v>2592</v>
      </c>
      <c r="B34" s="2693">
        <f t="shared" si="51"/>
        <v>276.29854502841971</v>
      </c>
      <c r="C34" s="2693">
        <f t="shared" si="51"/>
        <v>229.79023709833027</v>
      </c>
      <c r="D34" s="2693">
        <f t="shared" si="39"/>
        <v>229.79023709833027</v>
      </c>
      <c r="E34" s="2693">
        <f t="shared" si="52"/>
        <v>379.78759731655936</v>
      </c>
      <c r="F34" s="2693">
        <f t="shared" si="52"/>
        <v>211.32953905659235</v>
      </c>
      <c r="G34" s="3881">
        <v>2011</v>
      </c>
      <c r="H34" s="2683">
        <v>1</v>
      </c>
      <c r="I34" s="2683">
        <v>2.65</v>
      </c>
      <c r="J34" s="2683">
        <v>3.76</v>
      </c>
      <c r="K34" s="2683">
        <v>1.89</v>
      </c>
      <c r="L34" s="2694">
        <v>7.95</v>
      </c>
      <c r="N34" s="2696">
        <f t="shared" si="41"/>
        <v>2.6499999999999999E-2</v>
      </c>
      <c r="O34" s="2697">
        <f t="shared" si="41"/>
        <v>3.7599999999999995E-2</v>
      </c>
      <c r="P34" s="2697">
        <f t="shared" si="41"/>
        <v>1.89E-2</v>
      </c>
      <c r="Q34" s="2697">
        <f t="shared" si="41"/>
        <v>7.9500000000000001E-2</v>
      </c>
      <c r="R34" s="2690"/>
      <c r="S34" s="2696">
        <f>B34/B35-1</f>
        <v>2.713213765211786E-2</v>
      </c>
      <c r="T34" s="2697">
        <f>C34/C35-1</f>
        <v>3.9774828499231862E-2</v>
      </c>
      <c r="U34" s="2697">
        <f>E34/E35-1</f>
        <v>1.8197311840641772E-2</v>
      </c>
      <c r="V34" s="2697">
        <f>F34/F35-1</f>
        <v>7.8211933962205826E-2</v>
      </c>
      <c r="X34" s="2698"/>
      <c r="Y34" s="2698"/>
      <c r="Z34" s="2698"/>
    </row>
    <row r="35" spans="1:26" ht="13.5" thickBot="1">
      <c r="A35" s="2679" t="s">
        <v>2593</v>
      </c>
      <c r="B35" s="2685">
        <v>269</v>
      </c>
      <c r="C35" s="2685">
        <v>221</v>
      </c>
      <c r="D35" s="2685">
        <f t="shared" si="39"/>
        <v>221</v>
      </c>
      <c r="E35" s="2685">
        <v>373</v>
      </c>
      <c r="F35" s="2686">
        <v>196</v>
      </c>
      <c r="G35" s="3879">
        <v>2010</v>
      </c>
      <c r="H35" s="2699">
        <v>4</v>
      </c>
      <c r="I35" s="2699">
        <v>5.72</v>
      </c>
      <c r="J35" s="2699">
        <v>6.57</v>
      </c>
      <c r="K35" s="2699">
        <v>5.72</v>
      </c>
      <c r="L35" s="2700">
        <v>2.72</v>
      </c>
      <c r="N35" s="2688">
        <f t="shared" si="41"/>
        <v>5.7200000000000001E-2</v>
      </c>
      <c r="O35" s="2689">
        <f t="shared" si="41"/>
        <v>6.5700000000000008E-2</v>
      </c>
      <c r="P35" s="2689">
        <f t="shared" si="41"/>
        <v>5.7200000000000001E-2</v>
      </c>
      <c r="Q35" s="2689">
        <f t="shared" si="41"/>
        <v>2.7200000000000002E-2</v>
      </c>
      <c r="R35" s="2690"/>
      <c r="S35" s="2691"/>
      <c r="T35" s="2692"/>
      <c r="U35" s="2692"/>
      <c r="V35" s="2692"/>
      <c r="X35" s="2692"/>
      <c r="Y35" s="2692"/>
      <c r="Z35" s="2692"/>
    </row>
    <row r="36" spans="1:26">
      <c r="A36" s="2679" t="s">
        <v>2594</v>
      </c>
      <c r="B36" s="2693">
        <f t="shared" ref="B36:C38" si="53">B35/(1+N35)</f>
        <v>254.44570563753314</v>
      </c>
      <c r="C36" s="2693">
        <f t="shared" si="53"/>
        <v>207.37543398705074</v>
      </c>
      <c r="D36" s="2693">
        <f t="shared" si="39"/>
        <v>207.37543398705074</v>
      </c>
      <c r="E36" s="2693">
        <f t="shared" ref="E36:F38" si="54">E35/(1+P35)</f>
        <v>352.81876655315932</v>
      </c>
      <c r="F36" s="2693">
        <f t="shared" si="54"/>
        <v>190.809968847352</v>
      </c>
      <c r="G36" s="3880">
        <v>2010</v>
      </c>
      <c r="H36" s="2704">
        <v>3</v>
      </c>
      <c r="I36" s="2704">
        <v>4.7300000000000004</v>
      </c>
      <c r="J36" s="2704">
        <v>3.9</v>
      </c>
      <c r="K36" s="2704">
        <v>5.03</v>
      </c>
      <c r="L36" s="2705">
        <v>4.21</v>
      </c>
      <c r="N36" s="2688">
        <f t="shared" si="41"/>
        <v>4.7300000000000002E-2</v>
      </c>
      <c r="O36" s="2689">
        <f t="shared" si="41"/>
        <v>3.9E-2</v>
      </c>
      <c r="P36" s="2689">
        <f t="shared" si="41"/>
        <v>5.0300000000000004E-2</v>
      </c>
      <c r="Q36" s="2689">
        <f t="shared" si="41"/>
        <v>4.2099999999999999E-2</v>
      </c>
      <c r="R36" s="2690"/>
      <c r="S36" s="2688"/>
      <c r="T36" s="2689"/>
      <c r="U36" s="2689"/>
      <c r="V36" s="2689"/>
    </row>
    <row r="37" spans="1:26">
      <c r="A37" s="2679" t="s">
        <v>2595</v>
      </c>
      <c r="B37" s="2693">
        <f t="shared" si="53"/>
        <v>242.95398227588385</v>
      </c>
      <c r="C37" s="2693">
        <f t="shared" si="53"/>
        <v>199.59137053614126</v>
      </c>
      <c r="D37" s="2693">
        <f t="shared" si="39"/>
        <v>199.59137053614126</v>
      </c>
      <c r="E37" s="2693">
        <f t="shared" si="54"/>
        <v>335.92189522342125</v>
      </c>
      <c r="F37" s="2693">
        <f t="shared" si="54"/>
        <v>183.10139991109489</v>
      </c>
      <c r="G37" s="3880">
        <v>2010</v>
      </c>
      <c r="H37" s="2684">
        <v>2</v>
      </c>
      <c r="I37" s="2684">
        <v>4.6900000000000004</v>
      </c>
      <c r="J37" s="2684">
        <v>3.55</v>
      </c>
      <c r="K37" s="2684">
        <v>5.07</v>
      </c>
      <c r="L37" s="2695">
        <v>4.2300000000000004</v>
      </c>
      <c r="N37" s="2688">
        <f t="shared" si="41"/>
        <v>4.6900000000000004E-2</v>
      </c>
      <c r="O37" s="2689">
        <f t="shared" si="41"/>
        <v>3.5499999999999997E-2</v>
      </c>
      <c r="P37" s="2689">
        <f t="shared" si="41"/>
        <v>5.0700000000000002E-2</v>
      </c>
      <c r="Q37" s="2689">
        <f t="shared" si="41"/>
        <v>4.2300000000000004E-2</v>
      </c>
      <c r="R37" s="2690"/>
      <c r="S37" s="2688"/>
      <c r="T37" s="2689"/>
      <c r="U37" s="2689"/>
      <c r="V37" s="2689"/>
    </row>
    <row r="38" spans="1:26" ht="13.5" thickBot="1">
      <c r="A38" s="2679" t="s">
        <v>2596</v>
      </c>
      <c r="B38" s="2693">
        <f t="shared" si="53"/>
        <v>232.06990378821649</v>
      </c>
      <c r="C38" s="2693">
        <f t="shared" si="53"/>
        <v>192.74878854286936</v>
      </c>
      <c r="D38" s="2693">
        <f t="shared" si="39"/>
        <v>192.74878854286936</v>
      </c>
      <c r="E38" s="2693">
        <f t="shared" si="54"/>
        <v>319.71247284992984</v>
      </c>
      <c r="F38" s="2693">
        <f t="shared" si="54"/>
        <v>175.67053622862409</v>
      </c>
      <c r="G38" s="3881">
        <v>2010</v>
      </c>
      <c r="H38" s="2683">
        <v>1</v>
      </c>
      <c r="I38" s="2683">
        <v>5.4</v>
      </c>
      <c r="J38" s="2683">
        <v>3.2</v>
      </c>
      <c r="K38" s="2683">
        <v>6.16</v>
      </c>
      <c r="L38" s="2694">
        <v>4.51</v>
      </c>
      <c r="N38" s="2688">
        <f t="shared" si="41"/>
        <v>5.4000000000000006E-2</v>
      </c>
      <c r="O38" s="2689">
        <f t="shared" si="41"/>
        <v>3.2000000000000001E-2</v>
      </c>
      <c r="P38" s="2689">
        <f t="shared" si="41"/>
        <v>6.1600000000000002E-2</v>
      </c>
      <c r="Q38" s="2689">
        <f t="shared" si="41"/>
        <v>4.5100000000000001E-2</v>
      </c>
      <c r="R38" s="2690"/>
      <c r="S38" s="2696">
        <f>B38/B39-1</f>
        <v>5.4863199037347599E-2</v>
      </c>
      <c r="T38" s="2697">
        <f>C38/C39-1</f>
        <v>3.0742184721226584E-2</v>
      </c>
      <c r="U38" s="2697">
        <f>E38/E39-1</f>
        <v>6.2167683886810154E-2</v>
      </c>
      <c r="V38" s="2697">
        <f>F38/F39-1</f>
        <v>4.5657953741810031E-2</v>
      </c>
      <c r="X38" s="2698"/>
      <c r="Y38" s="2698"/>
      <c r="Z38" s="2698"/>
    </row>
    <row r="39" spans="1:26" ht="13.5" thickBot="1">
      <c r="A39" s="2679" t="s">
        <v>2597</v>
      </c>
      <c r="B39" s="2685">
        <v>220</v>
      </c>
      <c r="C39" s="2685">
        <v>187</v>
      </c>
      <c r="D39" s="2685">
        <f t="shared" si="39"/>
        <v>187</v>
      </c>
      <c r="E39" s="2685">
        <v>301</v>
      </c>
      <c r="F39" s="2686">
        <v>168</v>
      </c>
      <c r="G39" s="3879">
        <v>2009</v>
      </c>
      <c r="H39" s="2699">
        <v>4</v>
      </c>
      <c r="I39" s="2699">
        <v>2.2999999999999998</v>
      </c>
      <c r="J39" s="2699">
        <v>1.04</v>
      </c>
      <c r="K39" s="2699">
        <v>2.84</v>
      </c>
      <c r="L39" s="2700">
        <v>0.67</v>
      </c>
      <c r="N39" s="2701">
        <f t="shared" si="41"/>
        <v>2.3E-2</v>
      </c>
      <c r="O39" s="2702">
        <f t="shared" si="41"/>
        <v>1.04E-2</v>
      </c>
      <c r="P39" s="2702">
        <f t="shared" si="41"/>
        <v>2.8399999999999998E-2</v>
      </c>
      <c r="Q39" s="2702">
        <f t="shared" si="41"/>
        <v>6.7000000000000002E-3</v>
      </c>
      <c r="R39" s="2690"/>
      <c r="S39" s="2691"/>
      <c r="T39" s="2692"/>
      <c r="U39" s="2692"/>
      <c r="V39" s="2692"/>
      <c r="X39" s="2692"/>
      <c r="Y39" s="2692"/>
      <c r="Z39" s="2692"/>
    </row>
    <row r="40" spans="1:26">
      <c r="A40" s="2679" t="s">
        <v>2598</v>
      </c>
      <c r="B40" s="2693">
        <f t="shared" ref="B40:C42" si="55">B39/(1+N39)</f>
        <v>215.05376344086022</v>
      </c>
      <c r="C40" s="2693">
        <f t="shared" si="55"/>
        <v>185.0752177355503</v>
      </c>
      <c r="D40" s="2693">
        <f t="shared" si="39"/>
        <v>185.0752177355503</v>
      </c>
      <c r="E40" s="2693">
        <f t="shared" ref="E40:F42" si="56">E39/(1+P39)</f>
        <v>292.68767016725008</v>
      </c>
      <c r="F40" s="2693">
        <f t="shared" si="56"/>
        <v>166.88189132810174</v>
      </c>
      <c r="G40" s="3880">
        <v>2009</v>
      </c>
      <c r="H40" s="2704">
        <v>3</v>
      </c>
      <c r="I40" s="2704">
        <v>2.1</v>
      </c>
      <c r="J40" s="2704">
        <v>1.86</v>
      </c>
      <c r="K40" s="2704">
        <v>2.29</v>
      </c>
      <c r="L40" s="2705">
        <v>0.85</v>
      </c>
      <c r="N40" s="2688">
        <f t="shared" si="41"/>
        <v>2.1000000000000001E-2</v>
      </c>
      <c r="O40" s="2706">
        <f t="shared" si="41"/>
        <v>1.8600000000000002E-2</v>
      </c>
      <c r="P40" s="2706">
        <f t="shared" si="41"/>
        <v>2.29E-2</v>
      </c>
      <c r="Q40" s="2706">
        <f t="shared" si="41"/>
        <v>8.5000000000000006E-3</v>
      </c>
      <c r="R40" s="2690"/>
      <c r="S40" s="2688"/>
      <c r="T40" s="2689"/>
      <c r="U40" s="2689"/>
      <c r="V40" s="2689"/>
    </row>
    <row r="41" spans="1:26">
      <c r="A41" s="2679" t="s">
        <v>2599</v>
      </c>
      <c r="B41" s="2693">
        <f t="shared" si="55"/>
        <v>210.630522469011</v>
      </c>
      <c r="C41" s="2693">
        <f t="shared" si="55"/>
        <v>181.69567812247232</v>
      </c>
      <c r="D41" s="2693">
        <f t="shared" si="39"/>
        <v>181.69567812247232</v>
      </c>
      <c r="E41" s="2693">
        <f t="shared" si="56"/>
        <v>286.13517466736738</v>
      </c>
      <c r="F41" s="2693">
        <f t="shared" si="56"/>
        <v>165.47535084591149</v>
      </c>
      <c r="G41" s="3880">
        <v>2009</v>
      </c>
      <c r="H41" s="2684">
        <v>2</v>
      </c>
      <c r="I41" s="2684">
        <v>0.86</v>
      </c>
      <c r="J41" s="2684">
        <v>-1.1299999999999999</v>
      </c>
      <c r="K41" s="2684">
        <v>1.79</v>
      </c>
      <c r="L41" s="2695">
        <v>-2.0699999999999998</v>
      </c>
      <c r="N41" s="2688">
        <f t="shared" si="41"/>
        <v>8.6E-3</v>
      </c>
      <c r="O41" s="2706">
        <f t="shared" si="41"/>
        <v>-1.1299999999999999E-2</v>
      </c>
      <c r="P41" s="2706">
        <f t="shared" si="41"/>
        <v>1.7899999999999999E-2</v>
      </c>
      <c r="Q41" s="2706">
        <f t="shared" si="41"/>
        <v>-2.07E-2</v>
      </c>
      <c r="R41" s="2690"/>
      <c r="S41" s="2688"/>
      <c r="T41" s="2689"/>
      <c r="U41" s="2689"/>
      <c r="V41" s="2689"/>
    </row>
    <row r="42" spans="1:26">
      <c r="A42" s="2679" t="s">
        <v>2600</v>
      </c>
      <c r="B42" s="2693">
        <f t="shared" si="55"/>
        <v>208.83454537875372</v>
      </c>
      <c r="C42" s="2693">
        <f t="shared" si="55"/>
        <v>183.77230517090351</v>
      </c>
      <c r="D42" s="2693">
        <f t="shared" si="39"/>
        <v>183.77230517090351</v>
      </c>
      <c r="E42" s="2693">
        <f t="shared" si="56"/>
        <v>281.10342338870947</v>
      </c>
      <c r="F42" s="2693">
        <f t="shared" si="56"/>
        <v>168.97309388942256</v>
      </c>
      <c r="G42" s="3881">
        <v>2009</v>
      </c>
      <c r="H42" s="2683">
        <v>1</v>
      </c>
      <c r="I42" s="2683">
        <v>-2.64</v>
      </c>
      <c r="J42" s="2683">
        <v>-2.5299999999999998</v>
      </c>
      <c r="K42" s="2683">
        <v>-3.02</v>
      </c>
      <c r="L42" s="2694">
        <v>1.52</v>
      </c>
      <c r="N42" s="2696">
        <f t="shared" si="41"/>
        <v>-2.64E-2</v>
      </c>
      <c r="O42" s="2697">
        <f t="shared" si="41"/>
        <v>-2.53E-2</v>
      </c>
      <c r="P42" s="2697">
        <f t="shared" si="41"/>
        <v>-3.0200000000000001E-2</v>
      </c>
      <c r="Q42" s="2697">
        <f t="shared" si="41"/>
        <v>1.52E-2</v>
      </c>
      <c r="R42" s="2690"/>
      <c r="S42" s="2696">
        <f>B42/B43-1</f>
        <v>-2.4137638417038754E-2</v>
      </c>
      <c r="T42" s="2697">
        <f>C42/C43-1</f>
        <v>-2.248773845264096E-2</v>
      </c>
      <c r="U42" s="2697">
        <f>E42/E43-1</f>
        <v>-2.7323794502735366E-2</v>
      </c>
      <c r="V42" s="2697">
        <f>F42/F43-1</f>
        <v>1.7910204153148035E-2</v>
      </c>
      <c r="X42" s="2698"/>
      <c r="Y42" s="2698"/>
      <c r="Z42" s="2698"/>
    </row>
    <row r="43" spans="1:26" ht="13.5" thickBot="1">
      <c r="A43" s="2679" t="s">
        <v>2601</v>
      </c>
      <c r="B43" s="2723">
        <v>214</v>
      </c>
      <c r="C43" s="2723">
        <v>188</v>
      </c>
      <c r="D43" s="2723">
        <f t="shared" si="39"/>
        <v>188</v>
      </c>
      <c r="E43" s="2723">
        <v>289</v>
      </c>
      <c r="F43" s="2724">
        <v>166</v>
      </c>
      <c r="G43" s="3879">
        <v>2008</v>
      </c>
      <c r="H43" s="2699">
        <v>4</v>
      </c>
      <c r="I43" s="2699">
        <v>1.73</v>
      </c>
      <c r="J43" s="2699">
        <v>0.03</v>
      </c>
      <c r="K43" s="2699">
        <v>2.59</v>
      </c>
      <c r="L43" s="2700">
        <v>-1.66</v>
      </c>
      <c r="N43" s="2688">
        <f t="shared" si="41"/>
        <v>1.7299999999999999E-2</v>
      </c>
      <c r="O43" s="2689">
        <f t="shared" si="41"/>
        <v>2.9999999999999997E-4</v>
      </c>
      <c r="P43" s="2689">
        <f t="shared" si="41"/>
        <v>2.5899999999999999E-2</v>
      </c>
      <c r="Q43" s="2689">
        <f t="shared" si="41"/>
        <v>-1.66E-2</v>
      </c>
      <c r="R43" s="2690"/>
      <c r="S43" s="2691"/>
      <c r="T43" s="2692"/>
      <c r="U43" s="2692"/>
      <c r="V43" s="2692"/>
      <c r="X43" s="2692"/>
      <c r="Y43" s="2692"/>
      <c r="Z43" s="2692"/>
    </row>
    <row r="44" spans="1:26">
      <c r="A44" s="2679" t="s">
        <v>2602</v>
      </c>
      <c r="B44" s="2693">
        <f t="shared" ref="B44:C46" si="57">B43/(1+N43)</f>
        <v>210.36075887152265</v>
      </c>
      <c r="C44" s="2693">
        <f t="shared" si="57"/>
        <v>187.94361691492554</v>
      </c>
      <c r="D44" s="2693">
        <f t="shared" si="39"/>
        <v>187.94361691492554</v>
      </c>
      <c r="E44" s="2693">
        <f t="shared" ref="E44:F46" si="58">E43/(1+P43)</f>
        <v>281.70386977288234</v>
      </c>
      <c r="F44" s="2693">
        <f t="shared" si="58"/>
        <v>168.80211511083994</v>
      </c>
      <c r="G44" s="3880">
        <v>2008</v>
      </c>
      <c r="H44" s="2704">
        <v>3</v>
      </c>
      <c r="I44" s="2704">
        <v>1.96</v>
      </c>
      <c r="J44" s="2704">
        <v>2.36</v>
      </c>
      <c r="K44" s="2704">
        <v>1.82</v>
      </c>
      <c r="L44" s="2705">
        <v>2.2200000000000002</v>
      </c>
      <c r="N44" s="2688">
        <f t="shared" si="41"/>
        <v>1.9599999999999999E-2</v>
      </c>
      <c r="O44" s="2689">
        <f t="shared" si="41"/>
        <v>2.3599999999999999E-2</v>
      </c>
      <c r="P44" s="2689">
        <f t="shared" si="41"/>
        <v>1.8200000000000001E-2</v>
      </c>
      <c r="Q44" s="2689">
        <f t="shared" si="41"/>
        <v>2.2200000000000001E-2</v>
      </c>
      <c r="R44" s="2690"/>
      <c r="S44" s="2688"/>
      <c r="T44" s="2689"/>
      <c r="U44" s="2689"/>
      <c r="V44" s="2689"/>
    </row>
    <row r="45" spans="1:26">
      <c r="A45" s="2679" t="s">
        <v>2603</v>
      </c>
      <c r="B45" s="2693">
        <f t="shared" si="57"/>
        <v>206.31694671589116</v>
      </c>
      <c r="C45" s="2693">
        <f t="shared" si="57"/>
        <v>183.61041121036101</v>
      </c>
      <c r="D45" s="2693">
        <f t="shared" si="39"/>
        <v>183.61041121036101</v>
      </c>
      <c r="E45" s="2693">
        <f t="shared" si="58"/>
        <v>276.66850301795557</v>
      </c>
      <c r="F45" s="2693">
        <f t="shared" si="58"/>
        <v>165.1360938278614</v>
      </c>
      <c r="G45" s="3880">
        <v>2008</v>
      </c>
      <c r="H45" s="2684">
        <v>2</v>
      </c>
      <c r="I45" s="2684">
        <v>4.93</v>
      </c>
      <c r="J45" s="2684">
        <v>7.38</v>
      </c>
      <c r="K45" s="2684">
        <v>3.98</v>
      </c>
      <c r="L45" s="2695">
        <v>6.86</v>
      </c>
      <c r="N45" s="2688">
        <f t="shared" si="41"/>
        <v>4.9299999999999997E-2</v>
      </c>
      <c r="O45" s="2689">
        <f t="shared" si="41"/>
        <v>7.3800000000000004E-2</v>
      </c>
      <c r="P45" s="2689">
        <f t="shared" si="41"/>
        <v>3.9800000000000002E-2</v>
      </c>
      <c r="Q45" s="2689">
        <f t="shared" si="41"/>
        <v>6.8600000000000008E-2</v>
      </c>
      <c r="R45" s="2690"/>
      <c r="S45" s="2688"/>
      <c r="T45" s="2689"/>
      <c r="U45" s="2689"/>
      <c r="V45" s="2689"/>
    </row>
    <row r="46" spans="1:26" s="2729" customFormat="1" ht="13.5" thickBot="1">
      <c r="A46" s="2679" t="s">
        <v>2604</v>
      </c>
      <c r="B46" s="2726">
        <f t="shared" si="57"/>
        <v>196.62341248059772</v>
      </c>
      <c r="C46" s="2726">
        <f t="shared" si="57"/>
        <v>170.99125648199012</v>
      </c>
      <c r="D46" s="2726">
        <f t="shared" si="39"/>
        <v>170.99125648199012</v>
      </c>
      <c r="E46" s="2726">
        <f t="shared" si="58"/>
        <v>266.07857570490052</v>
      </c>
      <c r="F46" s="2726">
        <f t="shared" si="58"/>
        <v>154.53499328828505</v>
      </c>
      <c r="G46" s="3881">
        <v>2008</v>
      </c>
      <c r="H46" s="2727">
        <v>1</v>
      </c>
      <c r="I46" s="2727">
        <v>4.1399999999999997</v>
      </c>
      <c r="J46" s="2727">
        <v>3.45</v>
      </c>
      <c r="K46" s="2727">
        <v>4.95</v>
      </c>
      <c r="L46" s="2728">
        <v>4.82</v>
      </c>
      <c r="N46" s="2730">
        <f t="shared" si="41"/>
        <v>4.1399999999999999E-2</v>
      </c>
      <c r="O46" s="2731">
        <f t="shared" si="41"/>
        <v>3.4500000000000003E-2</v>
      </c>
      <c r="P46" s="2731">
        <f t="shared" si="41"/>
        <v>4.9500000000000002E-2</v>
      </c>
      <c r="Q46" s="2731">
        <f t="shared" si="41"/>
        <v>4.82E-2</v>
      </c>
      <c r="R46" s="2732"/>
      <c r="S46" s="2730">
        <f>B46/B47-1</f>
        <v>4.5869215322328349E-2</v>
      </c>
      <c r="T46" s="2731">
        <f>C46/C47-1</f>
        <v>3.6310645345394743E-2</v>
      </c>
      <c r="U46" s="2731">
        <f>E46/E47-1</f>
        <v>4.7553447657088688E-2</v>
      </c>
      <c r="V46" s="2731">
        <f>F46/F47-1</f>
        <v>4.4155360055980086E-2</v>
      </c>
      <c r="X46" s="2733"/>
      <c r="Y46" s="2733"/>
      <c r="Z46" s="2733"/>
    </row>
    <row r="47" spans="1:26" ht="13.5" thickBot="1">
      <c r="A47" s="2679" t="s">
        <v>2605</v>
      </c>
      <c r="B47" s="2685">
        <v>188</v>
      </c>
      <c r="C47" s="2685">
        <v>165</v>
      </c>
      <c r="D47" s="2685">
        <f t="shared" si="39"/>
        <v>165</v>
      </c>
      <c r="E47" s="2685">
        <v>254</v>
      </c>
      <c r="F47" s="2686">
        <v>148</v>
      </c>
      <c r="G47" s="3879">
        <v>2007</v>
      </c>
      <c r="H47" s="2734">
        <v>4</v>
      </c>
      <c r="I47" s="2734">
        <v>5.51</v>
      </c>
      <c r="J47" s="2734">
        <v>4.8899999999999997</v>
      </c>
      <c r="K47" s="2734">
        <v>6.43</v>
      </c>
      <c r="L47" s="2735">
        <v>5.36</v>
      </c>
      <c r="N47" s="2736">
        <f t="shared" ref="N47:O50" si="59">B47/B48-1</f>
        <v>4.1339718365245526E-2</v>
      </c>
      <c r="O47" s="2737">
        <f t="shared" si="59"/>
        <v>4.0324492593776018E-2</v>
      </c>
      <c r="P47" s="2737">
        <f t="shared" ref="P47:Q50" si="60">E47/E48-1</f>
        <v>6.1625555347990968E-2</v>
      </c>
      <c r="Q47" s="2737">
        <f t="shared" si="60"/>
        <v>4.6757569250590603E-2</v>
      </c>
      <c r="R47" s="2690"/>
      <c r="S47" s="2691"/>
      <c r="T47" s="2692"/>
      <c r="U47" s="2692"/>
      <c r="V47" s="2692"/>
      <c r="X47" s="2692"/>
      <c r="Y47" s="2692"/>
      <c r="Z47" s="2692"/>
    </row>
    <row r="48" spans="1:26">
      <c r="A48" s="2679" t="s">
        <v>2606</v>
      </c>
      <c r="B48" s="2693">
        <f t="shared" ref="B48:C50" si="61">B49+(B$47-B$51)*I48/SUM(I$47:I$50)</f>
        <v>180.5366651097618</v>
      </c>
      <c r="C48" s="2693">
        <f t="shared" si="61"/>
        <v>158.60435967302453</v>
      </c>
      <c r="D48" s="2693">
        <f t="shared" si="39"/>
        <v>158.60435967302453</v>
      </c>
      <c r="E48" s="2693">
        <f t="shared" ref="E48:F50" si="62">E49+(E$47-E$51)*K48/SUM(K$47:K$50)</f>
        <v>239.25573260785075</v>
      </c>
      <c r="F48" s="2693">
        <f t="shared" si="62"/>
        <v>141.38899430740037</v>
      </c>
      <c r="G48" s="3880">
        <v>2007</v>
      </c>
      <c r="H48" s="2704">
        <v>3</v>
      </c>
      <c r="I48" s="2704">
        <v>8.65</v>
      </c>
      <c r="J48" s="2704">
        <v>8.06</v>
      </c>
      <c r="K48" s="2704">
        <v>9.94</v>
      </c>
      <c r="L48" s="2705">
        <v>5.8</v>
      </c>
      <c r="N48" s="2736">
        <f t="shared" si="59"/>
        <v>6.940217571740015E-2</v>
      </c>
      <c r="O48" s="2737">
        <f t="shared" si="59"/>
        <v>7.1197482471153428E-2</v>
      </c>
      <c r="P48" s="2737">
        <f t="shared" si="60"/>
        <v>0.10529679922579582</v>
      </c>
      <c r="Q48" s="2737">
        <f t="shared" si="60"/>
        <v>5.3292245059512133E-2</v>
      </c>
      <c r="R48" s="2690"/>
      <c r="S48" s="2688"/>
      <c r="T48" s="2689"/>
      <c r="U48" s="2689"/>
      <c r="V48" s="2689"/>
      <c r="X48" s="2738"/>
      <c r="Y48" s="2738"/>
      <c r="Z48" s="2738"/>
    </row>
    <row r="49" spans="1:26">
      <c r="A49" s="2679" t="s">
        <v>2607</v>
      </c>
      <c r="B49" s="2693">
        <f t="shared" si="61"/>
        <v>168.82017748715555</v>
      </c>
      <c r="C49" s="2693">
        <f t="shared" si="61"/>
        <v>148.06267029972753</v>
      </c>
      <c r="D49" s="2693">
        <f t="shared" si="39"/>
        <v>148.06267029972753</v>
      </c>
      <c r="E49" s="2693">
        <f t="shared" si="62"/>
        <v>216.46288379323747</v>
      </c>
      <c r="F49" s="2693">
        <f t="shared" si="62"/>
        <v>134.23529411764704</v>
      </c>
      <c r="G49" s="3880">
        <v>2007</v>
      </c>
      <c r="H49" s="2684">
        <v>2</v>
      </c>
      <c r="I49" s="2684">
        <v>3.67</v>
      </c>
      <c r="J49" s="2684">
        <v>2.3199999999999998</v>
      </c>
      <c r="K49" s="2684">
        <v>5.0199999999999996</v>
      </c>
      <c r="L49" s="2695">
        <v>6.71</v>
      </c>
      <c r="N49" s="2736">
        <f t="shared" si="59"/>
        <v>3.0339138143848032E-2</v>
      </c>
      <c r="O49" s="2737">
        <f t="shared" si="59"/>
        <v>2.0922341588790472E-2</v>
      </c>
      <c r="P49" s="2737">
        <f t="shared" si="60"/>
        <v>5.6164796592717003E-2</v>
      </c>
      <c r="Q49" s="2737">
        <f t="shared" si="60"/>
        <v>6.5704536723887319E-2</v>
      </c>
      <c r="R49" s="2690"/>
      <c r="S49" s="2688"/>
      <c r="T49" s="2689"/>
      <c r="U49" s="2689"/>
      <c r="V49" s="2689"/>
      <c r="X49" s="2738"/>
      <c r="Y49" s="2738"/>
      <c r="Z49" s="2738"/>
    </row>
    <row r="50" spans="1:26">
      <c r="A50" s="2679" t="s">
        <v>2608</v>
      </c>
      <c r="B50" s="2693">
        <f t="shared" si="61"/>
        <v>163.84913591779542</v>
      </c>
      <c r="C50" s="2693">
        <f t="shared" si="61"/>
        <v>145.0283378746594</v>
      </c>
      <c r="D50" s="2693">
        <f t="shared" si="39"/>
        <v>145.0283378746594</v>
      </c>
      <c r="E50" s="2693">
        <f t="shared" si="62"/>
        <v>204.95180722891567</v>
      </c>
      <c r="F50" s="2693">
        <f t="shared" si="62"/>
        <v>125.95920303605313</v>
      </c>
      <c r="G50" s="3881">
        <v>2007</v>
      </c>
      <c r="H50" s="2683">
        <v>1</v>
      </c>
      <c r="I50" s="2683">
        <v>3.58</v>
      </c>
      <c r="J50" s="2683">
        <v>3.08</v>
      </c>
      <c r="K50" s="2683">
        <v>4.34</v>
      </c>
      <c r="L50" s="2694">
        <v>3.21</v>
      </c>
      <c r="N50" s="2739">
        <f t="shared" si="59"/>
        <v>3.0497710174814063E-2</v>
      </c>
      <c r="O50" s="2740">
        <f t="shared" si="59"/>
        <v>2.8569772160704998E-2</v>
      </c>
      <c r="P50" s="2740">
        <f t="shared" si="60"/>
        <v>5.1034908866234296E-2</v>
      </c>
      <c r="Q50" s="2740">
        <f t="shared" si="60"/>
        <v>3.245248390207478E-2</v>
      </c>
      <c r="R50" s="2690"/>
      <c r="S50" s="2696">
        <f>B50/B51-1</f>
        <v>3.0497710174814063E-2</v>
      </c>
      <c r="T50" s="2697">
        <f>C50/C51-1</f>
        <v>2.8569772160704998E-2</v>
      </c>
      <c r="U50" s="2697">
        <f>E50/E51-1</f>
        <v>5.1034908866234296E-2</v>
      </c>
      <c r="V50" s="2697">
        <f>F50/F51-1</f>
        <v>3.245248390207478E-2</v>
      </c>
      <c r="X50" s="2738"/>
      <c r="Y50" s="2738"/>
      <c r="Z50" s="2738"/>
    </row>
    <row r="51" spans="1:26" ht="13.5" thickBot="1">
      <c r="A51" s="2679" t="s">
        <v>2609</v>
      </c>
      <c r="B51" s="2707">
        <v>159</v>
      </c>
      <c r="C51" s="2707">
        <v>141</v>
      </c>
      <c r="D51" s="2707">
        <f t="shared" si="39"/>
        <v>141</v>
      </c>
      <c r="E51" s="2707">
        <v>195</v>
      </c>
      <c r="F51" s="2708">
        <v>122</v>
      </c>
      <c r="G51" s="3879">
        <v>2006</v>
      </c>
      <c r="H51" s="2699">
        <v>4</v>
      </c>
      <c r="I51" s="2699">
        <v>3.79</v>
      </c>
      <c r="J51" s="2699">
        <v>2.21</v>
      </c>
      <c r="K51" s="2699">
        <v>5.65</v>
      </c>
      <c r="L51" s="2700">
        <v>5.41</v>
      </c>
      <c r="N51" s="2736">
        <f t="shared" ref="N51:O54" si="63">I51/SUM(I$51:I$54)*(B$51/B$55-1)</f>
        <v>7.245466462748526E-2</v>
      </c>
      <c r="O51" s="2737">
        <f t="shared" si="63"/>
        <v>2.3237230038062766E-2</v>
      </c>
      <c r="P51" s="2737">
        <f t="shared" ref="P51:Q54" si="64">K51/SUM(K$51:K$54)*(E$51/E$55-1)</f>
        <v>0.16146893866323722</v>
      </c>
      <c r="Q51" s="2737">
        <f t="shared" si="64"/>
        <v>5.0755230321793784E-2</v>
      </c>
      <c r="R51" s="2690"/>
      <c r="S51" s="2691"/>
      <c r="T51" s="2692"/>
      <c r="U51" s="2692"/>
      <c r="V51" s="2692"/>
      <c r="X51" s="2738"/>
      <c r="Y51" s="2738"/>
      <c r="Z51" s="2738"/>
    </row>
    <row r="52" spans="1:26">
      <c r="A52" s="2679" t="s">
        <v>2610</v>
      </c>
      <c r="B52" s="2693">
        <f t="shared" ref="B52:C54" si="65">B53+(B$51-B$55)*I52/SUM(I$51:I$54)</f>
        <v>149.00125628140702</v>
      </c>
      <c r="C52" s="2693">
        <f t="shared" si="65"/>
        <v>137.95592286501378</v>
      </c>
      <c r="D52" s="2693">
        <f t="shared" si="39"/>
        <v>137.95592286501378</v>
      </c>
      <c r="E52" s="2693">
        <f t="shared" ref="E52:F54" si="66">E53+(E$51-E$55)*K52/SUM(K$51:K$54)</f>
        <v>169.97231450719823</v>
      </c>
      <c r="F52" s="2693">
        <f t="shared" si="66"/>
        <v>116.21390374331551</v>
      </c>
      <c r="G52" s="3880">
        <v>2006</v>
      </c>
      <c r="H52" s="2704">
        <v>3</v>
      </c>
      <c r="I52" s="2704">
        <v>0.92</v>
      </c>
      <c r="J52" s="2704">
        <v>1.08</v>
      </c>
      <c r="K52" s="2704">
        <v>0.73</v>
      </c>
      <c r="L52" s="2705">
        <v>1.08</v>
      </c>
      <c r="N52" s="2736">
        <f t="shared" si="63"/>
        <v>1.7587939698492462E-2</v>
      </c>
      <c r="O52" s="2737">
        <f t="shared" si="63"/>
        <v>1.1355750425840628E-2</v>
      </c>
      <c r="P52" s="2737">
        <f t="shared" si="64"/>
        <v>2.0862358446754544E-2</v>
      </c>
      <c r="Q52" s="2737">
        <f t="shared" si="64"/>
        <v>1.0132282578103011E-2</v>
      </c>
      <c r="R52" s="2690"/>
      <c r="S52" s="2688"/>
      <c r="T52" s="2689"/>
      <c r="U52" s="2689"/>
      <c r="V52" s="2689"/>
      <c r="X52" s="2738"/>
      <c r="Y52" s="2738"/>
      <c r="Z52" s="2738"/>
    </row>
    <row r="53" spans="1:26">
      <c r="A53" s="2679" t="s">
        <v>2611</v>
      </c>
      <c r="B53" s="2693">
        <f t="shared" si="65"/>
        <v>146.57412060301507</v>
      </c>
      <c r="C53" s="2693">
        <f t="shared" si="65"/>
        <v>136.46831955922866</v>
      </c>
      <c r="D53" s="2693">
        <f t="shared" si="39"/>
        <v>136.46831955922866</v>
      </c>
      <c r="E53" s="2693">
        <f t="shared" si="66"/>
        <v>166.73864894795128</v>
      </c>
      <c r="F53" s="2693">
        <f t="shared" si="66"/>
        <v>115.05882352941177</v>
      </c>
      <c r="G53" s="3880">
        <v>2006</v>
      </c>
      <c r="H53" s="2684">
        <v>2</v>
      </c>
      <c r="I53" s="2684">
        <v>0.96</v>
      </c>
      <c r="J53" s="2684">
        <v>0.25</v>
      </c>
      <c r="K53" s="2684">
        <v>1.9</v>
      </c>
      <c r="L53" s="2695">
        <v>0.95</v>
      </c>
      <c r="N53" s="2736">
        <f t="shared" si="63"/>
        <v>1.8352632728861701E-2</v>
      </c>
      <c r="O53" s="2737">
        <f t="shared" si="63"/>
        <v>2.6286459319075526E-3</v>
      </c>
      <c r="P53" s="2737">
        <f t="shared" si="64"/>
        <v>5.4299289107991269E-2</v>
      </c>
      <c r="Q53" s="2737">
        <f t="shared" si="64"/>
        <v>8.9126559714794995E-3</v>
      </c>
      <c r="R53" s="2690"/>
      <c r="S53" s="2688"/>
      <c r="T53" s="2689"/>
      <c r="U53" s="2689"/>
      <c r="V53" s="2689"/>
      <c r="X53" s="2738"/>
      <c r="Y53" s="2738"/>
      <c r="Z53" s="2738"/>
    </row>
    <row r="54" spans="1:26">
      <c r="A54" s="2679" t="s">
        <v>2612</v>
      </c>
      <c r="B54" s="2693">
        <f t="shared" si="65"/>
        <v>144.04145728643215</v>
      </c>
      <c r="C54" s="2693">
        <f t="shared" si="65"/>
        <v>136.12396694214877</v>
      </c>
      <c r="D54" s="2693">
        <f t="shared" si="39"/>
        <v>136.12396694214877</v>
      </c>
      <c r="E54" s="2693">
        <f t="shared" si="66"/>
        <v>158.32225913621264</v>
      </c>
      <c r="F54" s="2693">
        <f t="shared" si="66"/>
        <v>114.04278074866311</v>
      </c>
      <c r="G54" s="3881">
        <v>2006</v>
      </c>
      <c r="H54" s="2683">
        <v>1</v>
      </c>
      <c r="I54" s="2683">
        <v>2.29</v>
      </c>
      <c r="J54" s="2683">
        <v>3.72</v>
      </c>
      <c r="K54" s="2683">
        <v>0.75</v>
      </c>
      <c r="L54" s="2694">
        <v>0.04</v>
      </c>
      <c r="N54" s="2739">
        <f t="shared" si="63"/>
        <v>4.3778675988638847E-2</v>
      </c>
      <c r="O54" s="2740">
        <f t="shared" si="63"/>
        <v>3.9114251466784385E-2</v>
      </c>
      <c r="P54" s="2740">
        <f t="shared" si="64"/>
        <v>2.1433929911049188E-2</v>
      </c>
      <c r="Q54" s="2740">
        <f t="shared" si="64"/>
        <v>3.7526972511492629E-4</v>
      </c>
      <c r="R54" s="2690"/>
      <c r="S54" s="2696">
        <f>B54/B55-1</f>
        <v>4.3778675988638716E-2</v>
      </c>
      <c r="T54" s="2697">
        <f>C54/C55-1</f>
        <v>3.91142514667846E-2</v>
      </c>
      <c r="U54" s="2697">
        <f>E54/E55-1</f>
        <v>2.143392991104931E-2</v>
      </c>
      <c r="V54" s="2697">
        <f>F54/F55-1</f>
        <v>3.7526972511492396E-4</v>
      </c>
      <c r="X54" s="2738"/>
      <c r="Y54" s="2738"/>
      <c r="Z54" s="2738"/>
    </row>
    <row r="55" spans="1:26" ht="13.5" thickBot="1">
      <c r="A55" s="2679" t="s">
        <v>2613</v>
      </c>
      <c r="B55" s="2707">
        <v>138</v>
      </c>
      <c r="C55" s="2707">
        <v>131</v>
      </c>
      <c r="D55" s="2707">
        <f t="shared" si="39"/>
        <v>131</v>
      </c>
      <c r="E55" s="2707">
        <v>155</v>
      </c>
      <c r="F55" s="2708">
        <v>114</v>
      </c>
      <c r="G55" s="3879">
        <v>2005</v>
      </c>
      <c r="H55" s="2699">
        <v>4</v>
      </c>
      <c r="I55" s="2699">
        <v>3.29</v>
      </c>
      <c r="J55" s="2699">
        <v>1.44</v>
      </c>
      <c r="K55" s="2699">
        <v>0.66</v>
      </c>
      <c r="L55" s="2700">
        <v>7.78</v>
      </c>
      <c r="N55" s="2736">
        <f t="shared" ref="N55:O58" si="67">I55/SUM(I$55:I$58)*(B$55/B$59-1)</f>
        <v>9.9404603216919935E-2</v>
      </c>
      <c r="O55" s="2737">
        <f t="shared" si="67"/>
        <v>4.7636550760861554E-2</v>
      </c>
      <c r="P55" s="2737">
        <f t="shared" ref="P55:Q58" si="68">K55/SUM(K$55:K$58)*(E$55/E$59-1)</f>
        <v>8.3756345177664976E-2</v>
      </c>
      <c r="Q55" s="2737">
        <f t="shared" si="68"/>
        <v>5.2148766661559584E-2</v>
      </c>
      <c r="R55" s="2690"/>
      <c r="S55" s="2691"/>
      <c r="T55" s="2692"/>
      <c r="U55" s="2692"/>
      <c r="V55" s="2692"/>
      <c r="X55" s="2738"/>
      <c r="Y55" s="2738"/>
      <c r="Z55" s="2738"/>
    </row>
    <row r="56" spans="1:26">
      <c r="A56" s="2679" t="s">
        <v>2614</v>
      </c>
      <c r="B56" s="2693">
        <f t="shared" ref="B56:C58" si="69">B57+(B$55-B$59)*I56/SUM(I$55:I$58)</f>
        <v>125.9720430107527</v>
      </c>
      <c r="C56" s="2693">
        <f t="shared" si="69"/>
        <v>125.1883408071749</v>
      </c>
      <c r="D56" s="2693">
        <f t="shared" si="39"/>
        <v>125.1883408071749</v>
      </c>
      <c r="E56" s="2693">
        <f t="shared" ref="E56:F58" si="70">E57+(E$55-E$59)*K56/SUM(K$55:K$58)</f>
        <v>144.61421319796952</v>
      </c>
      <c r="F56" s="2693">
        <f t="shared" si="70"/>
        <v>108.42008196721311</v>
      </c>
      <c r="G56" s="3880">
        <v>2005</v>
      </c>
      <c r="H56" s="2704">
        <v>3</v>
      </c>
      <c r="I56" s="2704">
        <v>0.46</v>
      </c>
      <c r="J56" s="2704">
        <v>0.32</v>
      </c>
      <c r="K56" s="2704">
        <v>0.42</v>
      </c>
      <c r="L56" s="2705">
        <v>0.64</v>
      </c>
      <c r="N56" s="2736">
        <f t="shared" si="67"/>
        <v>1.3898515951301874E-2</v>
      </c>
      <c r="O56" s="2737">
        <f t="shared" si="67"/>
        <v>1.0585900169080346E-2</v>
      </c>
      <c r="P56" s="2737">
        <f t="shared" si="68"/>
        <v>5.3299492385786795E-2</v>
      </c>
      <c r="Q56" s="2737">
        <f t="shared" si="68"/>
        <v>4.2898728359123568E-3</v>
      </c>
      <c r="R56" s="2690"/>
      <c r="S56" s="2688"/>
      <c r="T56" s="2689"/>
      <c r="U56" s="2689"/>
      <c r="V56" s="2689"/>
      <c r="X56" s="2738"/>
      <c r="Y56" s="2738"/>
      <c r="Z56" s="2738"/>
    </row>
    <row r="57" spans="1:26">
      <c r="A57" s="2679" t="s">
        <v>2615</v>
      </c>
      <c r="B57" s="2693">
        <f t="shared" si="69"/>
        <v>124.29032258064517</v>
      </c>
      <c r="C57" s="2693">
        <f t="shared" si="69"/>
        <v>123.8968609865471</v>
      </c>
      <c r="D57" s="2693">
        <f t="shared" si="39"/>
        <v>123.8968609865471</v>
      </c>
      <c r="E57" s="2693">
        <f t="shared" si="70"/>
        <v>138.00507614213197</v>
      </c>
      <c r="F57" s="2693">
        <f t="shared" si="70"/>
        <v>107.96106557377048</v>
      </c>
      <c r="G57" s="3880">
        <v>2005</v>
      </c>
      <c r="H57" s="2684">
        <v>2</v>
      </c>
      <c r="I57" s="2684">
        <v>0.47</v>
      </c>
      <c r="J57" s="2684">
        <v>0.1</v>
      </c>
      <c r="K57" s="2684">
        <v>0.52</v>
      </c>
      <c r="L57" s="2695">
        <v>0.79</v>
      </c>
      <c r="N57" s="2736">
        <f t="shared" si="67"/>
        <v>1.420065760241713E-2</v>
      </c>
      <c r="O57" s="2737">
        <f t="shared" si="67"/>
        <v>3.3080938028376083E-3</v>
      </c>
      <c r="P57" s="2737">
        <f t="shared" si="68"/>
        <v>6.598984771573603E-2</v>
      </c>
      <c r="Q57" s="2737">
        <f t="shared" si="68"/>
        <v>5.2953117818293153E-3</v>
      </c>
      <c r="R57" s="2690"/>
      <c r="S57" s="2688"/>
      <c r="T57" s="2689"/>
      <c r="U57" s="2689"/>
      <c r="V57" s="2689"/>
      <c r="X57" s="2738"/>
      <c r="Y57" s="2738"/>
      <c r="Z57" s="2738"/>
    </row>
    <row r="58" spans="1:26">
      <c r="A58" s="2679" t="s">
        <v>2616</v>
      </c>
      <c r="B58" s="2693">
        <f t="shared" si="69"/>
        <v>122.57204301075269</v>
      </c>
      <c r="C58" s="2693">
        <f t="shared" si="69"/>
        <v>123.4932735426009</v>
      </c>
      <c r="D58" s="2693">
        <f t="shared" si="39"/>
        <v>123.4932735426009</v>
      </c>
      <c r="E58" s="2693">
        <f t="shared" si="70"/>
        <v>129.82233502538071</v>
      </c>
      <c r="F58" s="2693">
        <f t="shared" si="70"/>
        <v>107.39446721311475</v>
      </c>
      <c r="G58" s="3881">
        <v>2005</v>
      </c>
      <c r="H58" s="2683">
        <v>1</v>
      </c>
      <c r="I58" s="2683">
        <v>0.43</v>
      </c>
      <c r="J58" s="2683">
        <v>0.37</v>
      </c>
      <c r="K58" s="2683">
        <v>0.37</v>
      </c>
      <c r="L58" s="2694">
        <v>0.55000000000000004</v>
      </c>
      <c r="N58" s="2739">
        <f t="shared" si="67"/>
        <v>1.2992090997956099E-2</v>
      </c>
      <c r="O58" s="2740">
        <f t="shared" si="67"/>
        <v>1.2239947070499151E-2</v>
      </c>
      <c r="P58" s="2740">
        <f t="shared" si="68"/>
        <v>4.6954314720812178E-2</v>
      </c>
      <c r="Q58" s="2740">
        <f t="shared" si="68"/>
        <v>3.6866094683621815E-3</v>
      </c>
      <c r="R58" s="2690"/>
      <c r="S58" s="2696">
        <f>B58/B59-1</f>
        <v>1.2992090997956174E-2</v>
      </c>
      <c r="T58" s="2697">
        <f>C58/C59-1</f>
        <v>1.2239947070499246E-2</v>
      </c>
      <c r="U58" s="2697">
        <f>E58/E59-1</f>
        <v>4.695431472081224E-2</v>
      </c>
      <c r="V58" s="2697">
        <f>F58/F59-1</f>
        <v>3.6866094683620787E-3</v>
      </c>
      <c r="X58" s="2738"/>
      <c r="Y58" s="2738"/>
      <c r="Z58" s="2738"/>
    </row>
    <row r="59" spans="1:26" ht="13.5" thickBot="1">
      <c r="A59" s="2679" t="s">
        <v>2617</v>
      </c>
      <c r="B59" s="2723">
        <v>121</v>
      </c>
      <c r="C59" s="2723">
        <v>122</v>
      </c>
      <c r="D59" s="2723">
        <f t="shared" si="39"/>
        <v>122</v>
      </c>
      <c r="E59" s="2723">
        <v>124</v>
      </c>
      <c r="F59" s="2724">
        <v>107</v>
      </c>
      <c r="G59" s="3879">
        <v>2004</v>
      </c>
      <c r="H59" s="2699">
        <v>4</v>
      </c>
      <c r="I59" s="2699">
        <v>0.33</v>
      </c>
      <c r="J59" s="2699">
        <v>0.5</v>
      </c>
      <c r="K59" s="2699">
        <v>0.5</v>
      </c>
      <c r="L59" s="2700">
        <v>0</v>
      </c>
      <c r="N59" s="2736">
        <f t="shared" ref="N59:O62" si="71">I59/SUM(I$59:I$62)*(B$59/B$63-1)</f>
        <v>1.3391770148526898E-2</v>
      </c>
      <c r="O59" s="2737">
        <f t="shared" si="71"/>
        <v>1.063264221158958E-2</v>
      </c>
      <c r="P59" s="2737">
        <f t="shared" ref="P59:Q62" si="72">K59/SUM(K$59:K$62)*(E$59/E$63-1)</f>
        <v>2.2244466688911134E-2</v>
      </c>
      <c r="Q59" s="2737">
        <f t="shared" si="72"/>
        <v>0</v>
      </c>
      <c r="R59" s="2690"/>
      <c r="S59" s="2691"/>
      <c r="T59" s="2692"/>
      <c r="U59" s="2692"/>
      <c r="V59" s="2692"/>
      <c r="X59" s="2738"/>
      <c r="Y59" s="2738"/>
      <c r="Z59" s="2738"/>
    </row>
    <row r="60" spans="1:26">
      <c r="A60" s="2679" t="s">
        <v>2618</v>
      </c>
      <c r="B60" s="2693">
        <f t="shared" ref="B60:C62" si="73">B61+(B$59-B$63)*I60/SUM(I$59:I$62)</f>
        <v>119.51351351351352</v>
      </c>
      <c r="C60" s="2693">
        <f t="shared" si="73"/>
        <v>120.7878787878788</v>
      </c>
      <c r="D60" s="2693">
        <f t="shared" si="39"/>
        <v>120.7878787878788</v>
      </c>
      <c r="E60" s="2693">
        <f t="shared" ref="E60:F62" si="74">E61+(E$59-E$63)*K60/SUM(K$59:K$62)</f>
        <v>121.5975975975976</v>
      </c>
      <c r="F60" s="2693">
        <f t="shared" si="74"/>
        <v>107</v>
      </c>
      <c r="G60" s="3880">
        <v>2004</v>
      </c>
      <c r="H60" s="2704">
        <v>3</v>
      </c>
      <c r="I60" s="2704">
        <v>0.56000000000000005</v>
      </c>
      <c r="J60" s="2704">
        <v>0.8</v>
      </c>
      <c r="K60" s="2704">
        <v>0.83</v>
      </c>
      <c r="L60" s="2705">
        <v>0.06</v>
      </c>
      <c r="N60" s="2736">
        <f t="shared" si="71"/>
        <v>2.2725428130833527E-2</v>
      </c>
      <c r="O60" s="2737">
        <f t="shared" si="71"/>
        <v>1.7012227538543329E-2</v>
      </c>
      <c r="P60" s="2737">
        <f t="shared" si="72"/>
        <v>3.6925814703592477E-2</v>
      </c>
      <c r="Q60" s="2737">
        <f t="shared" si="72"/>
        <v>2.8846153846153744E-2</v>
      </c>
      <c r="R60" s="2690"/>
      <c r="S60" s="2688"/>
      <c r="T60" s="2689"/>
      <c r="U60" s="2689"/>
      <c r="V60" s="2689"/>
      <c r="X60" s="2738"/>
      <c r="Y60" s="2738"/>
      <c r="Z60" s="2738"/>
    </row>
    <row r="61" spans="1:26">
      <c r="A61" s="2679" t="s">
        <v>2619</v>
      </c>
      <c r="B61" s="2693">
        <f t="shared" si="73"/>
        <v>116.99099099099099</v>
      </c>
      <c r="C61" s="2693">
        <f t="shared" si="73"/>
        <v>118.84848484848486</v>
      </c>
      <c r="D61" s="2693">
        <f t="shared" si="39"/>
        <v>118.84848484848486</v>
      </c>
      <c r="E61" s="2693">
        <f t="shared" si="74"/>
        <v>117.60960960960961</v>
      </c>
      <c r="F61" s="2693">
        <f t="shared" si="74"/>
        <v>104</v>
      </c>
      <c r="G61" s="3880">
        <v>2004</v>
      </c>
      <c r="H61" s="2684">
        <v>2</v>
      </c>
      <c r="I61" s="2684">
        <v>1</v>
      </c>
      <c r="J61" s="2684">
        <v>1.5</v>
      </c>
      <c r="K61" s="2684">
        <v>1.5</v>
      </c>
      <c r="L61" s="2695">
        <v>0</v>
      </c>
      <c r="N61" s="2736">
        <f t="shared" si="71"/>
        <v>4.0581121662202721E-2</v>
      </c>
      <c r="O61" s="2737">
        <f t="shared" si="71"/>
        <v>3.1897926634768738E-2</v>
      </c>
      <c r="P61" s="2737">
        <f t="shared" si="72"/>
        <v>6.6733400066733395E-2</v>
      </c>
      <c r="Q61" s="2737">
        <f t="shared" si="72"/>
        <v>0</v>
      </c>
      <c r="R61" s="2690"/>
      <c r="S61" s="2688"/>
      <c r="T61" s="2689"/>
      <c r="U61" s="2689"/>
      <c r="V61" s="2689"/>
      <c r="X61" s="2738"/>
      <c r="Y61" s="2738"/>
      <c r="Z61" s="2738"/>
    </row>
    <row r="62" spans="1:26" s="2729" customFormat="1" ht="13.5" thickBot="1">
      <c r="A62" s="2679" t="s">
        <v>2620</v>
      </c>
      <c r="B62" s="2726">
        <f t="shared" si="73"/>
        <v>112.48648648648648</v>
      </c>
      <c r="C62" s="2726">
        <f t="shared" si="73"/>
        <v>115.21212121212122</v>
      </c>
      <c r="D62" s="2726">
        <f t="shared" si="39"/>
        <v>115.21212121212122</v>
      </c>
      <c r="E62" s="2726">
        <f t="shared" si="74"/>
        <v>110.4024024024024</v>
      </c>
      <c r="F62" s="2726">
        <f t="shared" si="74"/>
        <v>104</v>
      </c>
      <c r="G62" s="3881">
        <v>2004</v>
      </c>
      <c r="H62" s="2727">
        <v>1</v>
      </c>
      <c r="I62" s="2727">
        <v>0.33</v>
      </c>
      <c r="J62" s="2727">
        <v>0.5</v>
      </c>
      <c r="K62" s="2727">
        <v>0.5</v>
      </c>
      <c r="L62" s="2728">
        <v>0</v>
      </c>
      <c r="N62" s="2741">
        <f t="shared" si="71"/>
        <v>1.3391770148526898E-2</v>
      </c>
      <c r="O62" s="2742">
        <f t="shared" si="71"/>
        <v>1.063264221158958E-2</v>
      </c>
      <c r="P62" s="2742">
        <f t="shared" si="72"/>
        <v>2.2244466688911134E-2</v>
      </c>
      <c r="Q62" s="2742">
        <f t="shared" si="72"/>
        <v>0</v>
      </c>
      <c r="R62" s="2732"/>
      <c r="S62" s="2730">
        <f>B62/B63-1</f>
        <v>1.3391770148526883E-2</v>
      </c>
      <c r="T62" s="2731">
        <f>C62/C63-1</f>
        <v>1.063264221158966E-2</v>
      </c>
      <c r="U62" s="2731">
        <f>E62/E63-1</f>
        <v>2.2244466688911224E-2</v>
      </c>
      <c r="V62" s="2731">
        <f>F62/F63-1</f>
        <v>0</v>
      </c>
      <c r="X62" s="2743"/>
      <c r="Y62" s="2743"/>
      <c r="Z62" s="2743"/>
    </row>
    <row r="63" spans="1:26" ht="13.5" thickBot="1">
      <c r="A63" s="2679" t="s">
        <v>2621</v>
      </c>
      <c r="B63" s="2744">
        <v>111</v>
      </c>
      <c r="C63" s="2744">
        <v>114</v>
      </c>
      <c r="D63" s="2744">
        <f t="shared" si="39"/>
        <v>114</v>
      </c>
      <c r="E63" s="2744">
        <v>108</v>
      </c>
      <c r="F63" s="2745">
        <v>104</v>
      </c>
      <c r="G63" s="3879">
        <v>2003</v>
      </c>
      <c r="H63" s="2734">
        <v>4</v>
      </c>
      <c r="I63" s="2746"/>
      <c r="J63" s="2746"/>
      <c r="K63" s="2746"/>
      <c r="L63" s="2746"/>
      <c r="N63" s="2747"/>
      <c r="O63" s="2746"/>
      <c r="P63" s="2746"/>
      <c r="Q63" s="2746"/>
      <c r="S63" s="2747"/>
      <c r="T63" s="2746"/>
      <c r="U63" s="2746"/>
      <c r="V63" s="2746"/>
      <c r="X63" s="2738"/>
      <c r="Y63" s="2738"/>
      <c r="Z63" s="2738"/>
    </row>
    <row r="64" spans="1:26">
      <c r="A64" s="2679" t="s">
        <v>2622</v>
      </c>
      <c r="B64" s="2748">
        <f t="shared" ref="B64:C66" si="75">B65+(B$63-B$67)/4</f>
        <v>109.75</v>
      </c>
      <c r="C64" s="2748">
        <f t="shared" si="75"/>
        <v>112.25</v>
      </c>
      <c r="D64" s="2748">
        <f t="shared" si="39"/>
        <v>112.25</v>
      </c>
      <c r="E64" s="2748">
        <f t="shared" ref="E64:F66" si="76">E65+(E$63-E$67)/4</f>
        <v>107.25</v>
      </c>
      <c r="F64" s="2748">
        <f t="shared" si="76"/>
        <v>103.5</v>
      </c>
      <c r="G64" s="3880">
        <v>2003</v>
      </c>
      <c r="H64" s="2704">
        <v>3</v>
      </c>
      <c r="I64" s="2746"/>
      <c r="J64" s="2746"/>
      <c r="K64" s="2746"/>
      <c r="L64" s="2746"/>
      <c r="X64" s="2738"/>
      <c r="Y64" s="2738"/>
      <c r="Z64" s="2738"/>
    </row>
    <row r="65" spans="1:26">
      <c r="A65" s="2679" t="s">
        <v>2623</v>
      </c>
      <c r="B65" s="2748">
        <f t="shared" si="75"/>
        <v>108.5</v>
      </c>
      <c r="C65" s="2748">
        <f t="shared" si="75"/>
        <v>110.5</v>
      </c>
      <c r="D65" s="2748">
        <f t="shared" si="39"/>
        <v>110.5</v>
      </c>
      <c r="E65" s="2748">
        <f t="shared" si="76"/>
        <v>106.5</v>
      </c>
      <c r="F65" s="2748">
        <f t="shared" si="76"/>
        <v>103</v>
      </c>
      <c r="G65" s="3880">
        <v>2003</v>
      </c>
      <c r="H65" s="2684">
        <v>2</v>
      </c>
      <c r="I65" s="2746"/>
      <c r="J65" s="2746"/>
      <c r="K65" s="2746"/>
      <c r="L65" s="2746"/>
      <c r="X65" s="2738"/>
      <c r="Y65" s="2738"/>
      <c r="Z65" s="2738"/>
    </row>
    <row r="66" spans="1:26" ht="13.5" thickBot="1">
      <c r="A66" s="2679" t="s">
        <v>2624</v>
      </c>
      <c r="B66" s="2748">
        <f t="shared" si="75"/>
        <v>107.25</v>
      </c>
      <c r="C66" s="2748">
        <f t="shared" si="75"/>
        <v>108.75</v>
      </c>
      <c r="D66" s="2748">
        <f t="shared" si="39"/>
        <v>108.75</v>
      </c>
      <c r="E66" s="2748">
        <f t="shared" si="76"/>
        <v>105.75</v>
      </c>
      <c r="F66" s="2748">
        <f t="shared" si="76"/>
        <v>102.5</v>
      </c>
      <c r="G66" s="3881">
        <v>2003</v>
      </c>
      <c r="H66" s="2749">
        <v>1</v>
      </c>
      <c r="I66" s="2746"/>
      <c r="J66" s="2746"/>
      <c r="K66" s="2746"/>
      <c r="L66" s="2746"/>
      <c r="S66" s="2688"/>
      <c r="T66" s="2689"/>
      <c r="U66" s="2689"/>
      <c r="X66" s="2738"/>
      <c r="Y66" s="2738"/>
      <c r="Z66" s="2738"/>
    </row>
    <row r="67" spans="1:26" ht="13.5" thickBot="1">
      <c r="A67" s="2679" t="s">
        <v>2625</v>
      </c>
      <c r="B67" s="2750">
        <v>106</v>
      </c>
      <c r="C67" s="2750">
        <v>107</v>
      </c>
      <c r="D67" s="2750">
        <f t="shared" si="39"/>
        <v>107</v>
      </c>
      <c r="E67" s="2750">
        <v>105</v>
      </c>
      <c r="F67" s="2751">
        <v>102</v>
      </c>
      <c r="G67" s="3879">
        <v>2002</v>
      </c>
      <c r="H67" s="2699">
        <v>4</v>
      </c>
      <c r="I67" s="2746"/>
      <c r="J67" s="2746"/>
      <c r="K67" s="2746"/>
      <c r="L67" s="2746"/>
      <c r="N67" s="2747"/>
      <c r="O67" s="2746"/>
      <c r="P67" s="2746"/>
      <c r="Q67" s="2746"/>
      <c r="S67" s="2747"/>
      <c r="T67" s="2746"/>
      <c r="U67" s="2746"/>
      <c r="V67" s="2746"/>
      <c r="X67" s="2738"/>
      <c r="Y67" s="2738"/>
      <c r="Z67" s="2738"/>
    </row>
    <row r="68" spans="1:26">
      <c r="A68" s="2679" t="s">
        <v>2626</v>
      </c>
      <c r="B68" s="2748">
        <f t="shared" ref="B68:C70" si="77">B69+(B$67-B$71)/4</f>
        <v>105</v>
      </c>
      <c r="C68" s="2748">
        <f t="shared" si="77"/>
        <v>106</v>
      </c>
      <c r="D68" s="2748">
        <f t="shared" si="39"/>
        <v>106</v>
      </c>
      <c r="E68" s="2748">
        <f t="shared" ref="E68:F70" si="78">E69+(E$67-E$71)/4</f>
        <v>104.5</v>
      </c>
      <c r="F68" s="2748">
        <f t="shared" si="78"/>
        <v>101.5</v>
      </c>
      <c r="G68" s="3880">
        <v>2002</v>
      </c>
      <c r="H68" s="2704">
        <v>3</v>
      </c>
      <c r="I68" s="2746"/>
      <c r="J68" s="2746"/>
      <c r="K68" s="2746"/>
      <c r="L68" s="2746"/>
      <c r="X68" s="2738"/>
      <c r="Y68" s="2738"/>
      <c r="Z68" s="2738"/>
    </row>
    <row r="69" spans="1:26">
      <c r="A69" s="2679" t="s">
        <v>2627</v>
      </c>
      <c r="B69" s="2748">
        <f t="shared" si="77"/>
        <v>104</v>
      </c>
      <c r="C69" s="2748">
        <f t="shared" si="77"/>
        <v>105</v>
      </c>
      <c r="D69" s="2748">
        <f t="shared" si="39"/>
        <v>105</v>
      </c>
      <c r="E69" s="2748">
        <f t="shared" si="78"/>
        <v>104</v>
      </c>
      <c r="F69" s="2748">
        <f t="shared" si="78"/>
        <v>101</v>
      </c>
      <c r="G69" s="3880">
        <v>2002</v>
      </c>
      <c r="H69" s="2684">
        <v>2</v>
      </c>
      <c r="I69" s="2746"/>
      <c r="J69" s="2746"/>
      <c r="K69" s="2746"/>
      <c r="L69" s="2746"/>
      <c r="X69" s="2738"/>
      <c r="Y69" s="2738"/>
      <c r="Z69" s="2738"/>
    </row>
    <row r="70" spans="1:26" s="2715" customFormat="1" ht="13.5" thickBot="1">
      <c r="A70" s="2711" t="s">
        <v>2628</v>
      </c>
      <c r="B70" s="2752">
        <f t="shared" si="77"/>
        <v>103</v>
      </c>
      <c r="C70" s="2752">
        <f t="shared" si="77"/>
        <v>104</v>
      </c>
      <c r="D70" s="2752">
        <f t="shared" si="39"/>
        <v>104</v>
      </c>
      <c r="E70" s="2752">
        <f t="shared" si="78"/>
        <v>103.5</v>
      </c>
      <c r="F70" s="2752">
        <f t="shared" si="78"/>
        <v>100.5</v>
      </c>
      <c r="G70" s="3881">
        <v>2002</v>
      </c>
      <c r="H70" s="2753">
        <v>1</v>
      </c>
      <c r="I70" s="2754"/>
      <c r="J70" s="2754"/>
      <c r="K70" s="2754"/>
      <c r="L70" s="2754"/>
      <c r="N70" s="2755"/>
      <c r="S70" s="2755"/>
      <c r="X70" s="2756"/>
      <c r="Y70" s="2756"/>
      <c r="Z70" s="2756"/>
    </row>
    <row r="71" spans="1:26" ht="13.5" thickBot="1">
      <c r="B71" s="2757">
        <v>102</v>
      </c>
      <c r="C71" s="2758">
        <v>103</v>
      </c>
      <c r="D71" s="2758">
        <f t="shared" si="39"/>
        <v>103</v>
      </c>
      <c r="E71" s="2758">
        <v>103</v>
      </c>
      <c r="F71" s="2759">
        <v>100</v>
      </c>
      <c r="I71" s="2746"/>
      <c r="J71" s="2746"/>
      <c r="K71" s="2746"/>
      <c r="L71" s="2746"/>
      <c r="N71" s="2747"/>
      <c r="O71" s="2746"/>
      <c r="P71" s="2746"/>
      <c r="Q71" s="2746"/>
      <c r="S71" s="2747"/>
      <c r="T71" s="2746"/>
      <c r="U71" s="2746"/>
      <c r="V71" s="2746"/>
      <c r="X71" s="2692"/>
      <c r="Y71" s="2692"/>
      <c r="Z71" s="2692"/>
    </row>
    <row r="73" spans="1:26" s="2761" customFormat="1">
      <c r="A73" s="2760" t="s">
        <v>2629</v>
      </c>
      <c r="G73" s="2762"/>
      <c r="N73" s="2762"/>
      <c r="S73" s="2762"/>
    </row>
    <row r="74" spans="1:26" s="2761" customFormat="1">
      <c r="A74" s="2761" t="s">
        <v>2630</v>
      </c>
      <c r="G74" s="2762"/>
      <c r="N74" s="2762"/>
      <c r="S74" s="2762"/>
    </row>
    <row r="75" spans="1:26" s="2761" customFormat="1">
      <c r="A75" s="2761" t="s">
        <v>2631</v>
      </c>
      <c r="G75" s="2762"/>
      <c r="I75" s="2763"/>
      <c r="J75" s="2763"/>
      <c r="K75" s="2763"/>
      <c r="L75" s="2763"/>
      <c r="N75" s="2764"/>
      <c r="O75" s="2763"/>
      <c r="P75" s="2763"/>
      <c r="Q75" s="2763"/>
      <c r="S75" s="2764"/>
      <c r="T75" s="2763"/>
      <c r="U75" s="2763"/>
      <c r="V75" s="2763"/>
    </row>
    <row r="76" spans="1:26" s="2761" customFormat="1">
      <c r="A76" s="2761" t="s">
        <v>2632</v>
      </c>
      <c r="G76" s="2762"/>
      <c r="N76" s="2762"/>
      <c r="S76" s="2762"/>
    </row>
    <row r="83" spans="7:22" ht="13.5" thickBot="1"/>
    <row r="84" spans="7:22">
      <c r="G84" s="2687"/>
      <c r="S84" s="2765" t="s">
        <v>2633</v>
      </c>
      <c r="T84" s="2766" t="s">
        <v>2634</v>
      </c>
      <c r="U84" s="2766" t="s">
        <v>2635</v>
      </c>
      <c r="V84" s="2766" t="s">
        <v>2636</v>
      </c>
    </row>
    <row r="85" spans="7:22">
      <c r="G85" s="2687"/>
      <c r="N85" s="2691"/>
      <c r="O85" s="2692"/>
      <c r="P85" s="2692"/>
      <c r="Q85" s="2692"/>
      <c r="S85" s="2767">
        <v>2006</v>
      </c>
      <c r="T85" s="2768">
        <v>15.1</v>
      </c>
      <c r="U85" s="2768">
        <v>7.43</v>
      </c>
      <c r="V85" s="2768">
        <v>26.26</v>
      </c>
    </row>
    <row r="86" spans="7:22">
      <c r="G86" s="2687"/>
      <c r="N86" s="2691"/>
      <c r="O86" s="2692"/>
      <c r="P86" s="2692"/>
      <c r="Q86" s="2692"/>
      <c r="S86" s="2770">
        <v>2005</v>
      </c>
      <c r="T86" s="2769">
        <v>13.9</v>
      </c>
      <c r="U86" s="2769">
        <v>7.49</v>
      </c>
      <c r="V86" s="2769">
        <v>24.92</v>
      </c>
    </row>
    <row r="87" spans="7:22">
      <c r="G87" s="2687"/>
      <c r="N87" s="2691"/>
      <c r="O87" s="2692"/>
      <c r="P87" s="2692"/>
      <c r="Q87" s="2692"/>
      <c r="S87" s="2767">
        <v>2004</v>
      </c>
      <c r="T87" s="2768">
        <v>9.48</v>
      </c>
      <c r="U87" s="2768">
        <v>7.2</v>
      </c>
      <c r="V87" s="2768">
        <v>14.68</v>
      </c>
    </row>
    <row r="88" spans="7:22">
      <c r="G88" s="2687"/>
      <c r="N88" s="2691"/>
      <c r="O88" s="2692"/>
      <c r="P88" s="2692"/>
      <c r="Q88" s="2692"/>
      <c r="S88" s="2770">
        <v>2003</v>
      </c>
      <c r="T88" s="2769">
        <v>4.5</v>
      </c>
      <c r="U88" s="2769">
        <v>6.12</v>
      </c>
      <c r="V88" s="2769">
        <v>2.34</v>
      </c>
    </row>
    <row r="89" spans="7:22" ht="13.5" thickBot="1">
      <c r="G89" s="2687"/>
      <c r="N89" s="2691"/>
      <c r="O89" s="2692"/>
      <c r="P89" s="2692"/>
      <c r="Q89" s="2692"/>
      <c r="S89" s="2771">
        <v>2002</v>
      </c>
      <c r="T89" s="2772">
        <v>3.59</v>
      </c>
      <c r="U89" s="2772">
        <v>4.54</v>
      </c>
      <c r="V89" s="2772">
        <v>2.5499999999999998</v>
      </c>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row>
    <row r="99" spans="7:19">
      <c r="G99" s="2687"/>
      <c r="N99" s="2691"/>
      <c r="O99" s="2692"/>
      <c r="P99" s="2692"/>
      <c r="Q99" s="2692"/>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row r="104" spans="7:19">
      <c r="G104" s="2687"/>
      <c r="N104" s="2691"/>
      <c r="O104" s="2692"/>
      <c r="P104" s="2692"/>
      <c r="Q104" s="2692"/>
      <c r="S104" s="2687"/>
    </row>
    <row r="105" spans="7:19">
      <c r="G105" s="2687"/>
      <c r="N105" s="2691"/>
      <c r="O105" s="2692"/>
      <c r="P105" s="2692"/>
      <c r="Q105" s="2692"/>
      <c r="S105" s="2687"/>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owBreaks count="1" manualBreakCount="1">
    <brk id="46" max="21" man="1"/>
  </rowBreaks>
  <colBreaks count="1" manualBreakCount="1">
    <brk id="22" max="70" man="1"/>
  </colBreaks>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902" t="s">
        <v>2469</v>
      </c>
      <c r="B1" s="3903"/>
      <c r="C1" s="3904"/>
      <c r="D1" s="3905">
        <f>SUM(I10,I15,I20,I21,I23)</f>
        <v>0</v>
      </c>
      <c r="E1" s="3905"/>
      <c r="F1" s="3905"/>
      <c r="G1" s="3905"/>
      <c r="H1" s="3905"/>
      <c r="I1" s="3906"/>
    </row>
    <row r="2" spans="1:9">
      <c r="A2" s="3892" t="s">
        <v>2470</v>
      </c>
      <c r="B2" s="3893" t="s">
        <v>2471</v>
      </c>
      <c r="C2" s="3893"/>
      <c r="D2" s="2531" t="s">
        <v>2472</v>
      </c>
      <c r="E2" s="2531" t="s">
        <v>2473</v>
      </c>
      <c r="F2" s="2531" t="s">
        <v>2474</v>
      </c>
      <c r="G2" s="2531" t="s">
        <v>2475</v>
      </c>
      <c r="H2" s="2531" t="s">
        <v>2476</v>
      </c>
      <c r="I2" s="2532" t="s">
        <v>2477</v>
      </c>
    </row>
    <row r="3" spans="1:9">
      <c r="A3" s="3892"/>
      <c r="B3" s="3893" t="s">
        <v>2478</v>
      </c>
      <c r="C3" s="3893"/>
      <c r="D3" s="2533"/>
      <c r="E3" s="2531"/>
      <c r="F3" s="2534"/>
      <c r="G3" s="2534"/>
      <c r="H3" s="2535"/>
      <c r="I3" s="2536">
        <f>ROUND(D3*E3*F3*G3*H3/10000,0)</f>
        <v>0</v>
      </c>
    </row>
    <row r="4" spans="1:9">
      <c r="A4" s="3892"/>
      <c r="B4" s="3893" t="s">
        <v>2479</v>
      </c>
      <c r="C4" s="3893"/>
      <c r="D4" s="2533"/>
      <c r="E4" s="2531"/>
      <c r="F4" s="2534"/>
      <c r="G4" s="2534"/>
      <c r="H4" s="2535"/>
      <c r="I4" s="2536">
        <f t="shared" ref="I4:I9" si="0">ROUND(D4*E4*F4*G4*H4/10000,0)</f>
        <v>0</v>
      </c>
    </row>
    <row r="5" spans="1:9">
      <c r="A5" s="3892"/>
      <c r="B5" s="3893" t="s">
        <v>2480</v>
      </c>
      <c r="C5" s="3893"/>
      <c r="D5" s="2533"/>
      <c r="E5" s="2531"/>
      <c r="F5" s="2534"/>
      <c r="G5" s="2534"/>
      <c r="H5" s="2535"/>
      <c r="I5" s="2536">
        <f t="shared" si="0"/>
        <v>0</v>
      </c>
    </row>
    <row r="6" spans="1:9">
      <c r="A6" s="3892"/>
      <c r="B6" s="3893" t="s">
        <v>2481</v>
      </c>
      <c r="C6" s="3893"/>
      <c r="D6" s="2533"/>
      <c r="E6" s="2531"/>
      <c r="F6" s="2534"/>
      <c r="G6" s="2534"/>
      <c r="H6" s="2535"/>
      <c r="I6" s="2536">
        <f t="shared" si="0"/>
        <v>0</v>
      </c>
    </row>
    <row r="7" spans="1:9">
      <c r="A7" s="3892"/>
      <c r="B7" s="3893" t="s">
        <v>2482</v>
      </c>
      <c r="C7" s="3893"/>
      <c r="D7" s="2533"/>
      <c r="E7" s="2531"/>
      <c r="F7" s="2534"/>
      <c r="G7" s="2534"/>
      <c r="H7" s="2535"/>
      <c r="I7" s="2536">
        <f t="shared" si="0"/>
        <v>0</v>
      </c>
    </row>
    <row r="8" spans="1:9">
      <c r="A8" s="3892"/>
      <c r="B8" s="3893" t="s">
        <v>2483</v>
      </c>
      <c r="C8" s="3893"/>
      <c r="D8" s="2533"/>
      <c r="E8" s="2531"/>
      <c r="F8" s="2534"/>
      <c r="G8" s="2534"/>
      <c r="H8" s="2535"/>
      <c r="I8" s="2536">
        <f t="shared" si="0"/>
        <v>0</v>
      </c>
    </row>
    <row r="9" spans="1:9">
      <c r="A9" s="3892"/>
      <c r="B9" s="3893" t="s">
        <v>2484</v>
      </c>
      <c r="C9" s="3893"/>
      <c r="D9" s="2533"/>
      <c r="E9" s="2531"/>
      <c r="F9" s="2534"/>
      <c r="G9" s="2534"/>
      <c r="H9" s="2535"/>
      <c r="I9" s="2536">
        <f t="shared" si="0"/>
        <v>0</v>
      </c>
    </row>
    <row r="10" spans="1:9">
      <c r="A10" s="3892"/>
      <c r="B10" s="3894" t="s">
        <v>2485</v>
      </c>
      <c r="C10" s="3894"/>
      <c r="D10" s="2537">
        <v>527</v>
      </c>
      <c r="E10" s="2537" t="e">
        <f>ROUND(D1*10000/D10/H9,0)</f>
        <v>#DIV/0!</v>
      </c>
      <c r="F10" s="2538"/>
      <c r="G10" s="2538"/>
      <c r="H10" s="2539"/>
      <c r="I10" s="2540">
        <f>SUM(I3:I9)</f>
        <v>0</v>
      </c>
    </row>
    <row r="11" spans="1:9" ht="14.25">
      <c r="A11" s="3892" t="s">
        <v>2486</v>
      </c>
      <c r="B11" s="3893" t="s">
        <v>2487</v>
      </c>
      <c r="C11" s="3893"/>
      <c r="D11" s="2533" t="s">
        <v>2488</v>
      </c>
      <c r="E11" s="2533" t="s">
        <v>2489</v>
      </c>
      <c r="F11" s="2534" t="s">
        <v>2490</v>
      </c>
      <c r="G11" s="2534" t="s">
        <v>2491</v>
      </c>
      <c r="H11" s="2541" t="s">
        <v>2492</v>
      </c>
      <c r="I11" s="2532" t="s">
        <v>2493</v>
      </c>
    </row>
    <row r="12" spans="1:9">
      <c r="A12" s="3892"/>
      <c r="B12" s="3893" t="s">
        <v>2494</v>
      </c>
      <c r="C12" s="3893"/>
      <c r="D12" s="2533"/>
      <c r="E12" s="2533"/>
      <c r="F12" s="2534"/>
      <c r="G12" s="2535"/>
      <c r="H12" s="2542"/>
      <c r="I12" s="2532">
        <f>ROUND(D12*E12*F12*G12/10000,0)</f>
        <v>0</v>
      </c>
    </row>
    <row r="13" spans="1:9">
      <c r="A13" s="3892"/>
      <c r="B13" s="3893" t="s">
        <v>2495</v>
      </c>
      <c r="C13" s="3893"/>
      <c r="D13" s="2533"/>
      <c r="E13" s="2533"/>
      <c r="F13" s="2534"/>
      <c r="G13" s="2535"/>
      <c r="H13" s="2542"/>
      <c r="I13" s="2532">
        <f>ROUND(D13*E13*F13*G13/10000,0)</f>
        <v>0</v>
      </c>
    </row>
    <row r="14" spans="1:9">
      <c r="A14" s="3892"/>
      <c r="B14" s="3893" t="s">
        <v>2496</v>
      </c>
      <c r="C14" s="3893"/>
      <c r="D14" s="2533"/>
      <c r="E14" s="2533"/>
      <c r="F14" s="2534"/>
      <c r="G14" s="2535"/>
      <c r="H14" s="2542"/>
      <c r="I14" s="2532">
        <f>ROUND(D14*E14*F14*G14/10000,0)</f>
        <v>0</v>
      </c>
    </row>
    <row r="15" spans="1:9">
      <c r="A15" s="3892"/>
      <c r="B15" s="3894" t="s">
        <v>2485</v>
      </c>
      <c r="C15" s="3894"/>
      <c r="D15" s="2537"/>
      <c r="E15" s="2537">
        <f>SUM(E12:E14)</f>
        <v>0</v>
      </c>
      <c r="F15" s="2538"/>
      <c r="G15" s="2535"/>
      <c r="H15" s="2542"/>
      <c r="I15" s="2543">
        <f>SUM(I12:I14)</f>
        <v>0</v>
      </c>
    </row>
    <row r="16" spans="1:9" ht="24">
      <c r="A16" s="3892" t="s">
        <v>2497</v>
      </c>
      <c r="B16" s="3893" t="s">
        <v>2498</v>
      </c>
      <c r="C16" s="3893"/>
      <c r="D16" s="2533" t="s">
        <v>2499</v>
      </c>
      <c r="E16" s="2544" t="s">
        <v>2500</v>
      </c>
      <c r="F16" s="2534" t="s">
        <v>2501</v>
      </c>
      <c r="G16" s="2535" t="s">
        <v>2491</v>
      </c>
      <c r="H16" s="2541" t="s">
        <v>2492</v>
      </c>
      <c r="I16" s="2532" t="s">
        <v>2493</v>
      </c>
    </row>
    <row r="17" spans="1:9" ht="14.25">
      <c r="A17" s="3892"/>
      <c r="B17" s="3893" t="s">
        <v>2502</v>
      </c>
      <c r="C17" s="3893"/>
      <c r="D17" s="2533"/>
      <c r="E17" s="2533"/>
      <c r="F17" s="2534"/>
      <c r="G17" s="2535"/>
      <c r="H17" s="2545"/>
      <c r="I17" s="2546">
        <f>ROUND(D17*E17*F17*G17/10000,0)</f>
        <v>0</v>
      </c>
    </row>
    <row r="18" spans="1:9" ht="14.25">
      <c r="A18" s="3892"/>
      <c r="B18" s="3893" t="s">
        <v>2503</v>
      </c>
      <c r="C18" s="3893"/>
      <c r="D18" s="2533"/>
      <c r="E18" s="2533"/>
      <c r="F18" s="2534"/>
      <c r="G18" s="2535"/>
      <c r="H18" s="2545"/>
      <c r="I18" s="2546">
        <f>ROUND(D18*E18*F18*G18/10000,0)</f>
        <v>0</v>
      </c>
    </row>
    <row r="19" spans="1:9" ht="14.25">
      <c r="A19" s="3892"/>
      <c r="B19" s="3893" t="s">
        <v>2504</v>
      </c>
      <c r="C19" s="3893"/>
      <c r="D19" s="2533"/>
      <c r="E19" s="2533"/>
      <c r="F19" s="2534"/>
      <c r="G19" s="2535"/>
      <c r="H19" s="2545"/>
      <c r="I19" s="2546">
        <f>ROUND(D19*E19*F19*G19/10000,0)</f>
        <v>0</v>
      </c>
    </row>
    <row r="20" spans="1:9">
      <c r="A20" s="3892"/>
      <c r="B20" s="3894" t="s">
        <v>2485</v>
      </c>
      <c r="C20" s="3894"/>
      <c r="D20" s="2537">
        <f>SUM(D17:D19)</f>
        <v>0</v>
      </c>
      <c r="E20" s="2537"/>
      <c r="F20" s="2538"/>
      <c r="G20" s="2535"/>
      <c r="H20" s="2542"/>
      <c r="I20" s="2543">
        <f>SUM(I17:I19)</f>
        <v>0</v>
      </c>
    </row>
    <row r="21" spans="1:9">
      <c r="A21" s="3892" t="s">
        <v>2505</v>
      </c>
      <c r="B21" s="3895"/>
      <c r="C21" s="3895"/>
      <c r="D21" s="3895"/>
      <c r="E21" s="3895"/>
      <c r="F21" s="3895"/>
      <c r="G21" s="3895"/>
      <c r="H21" s="2547">
        <v>0.1</v>
      </c>
      <c r="I21" s="2540">
        <f>ROUND(I10*H21,0)</f>
        <v>0</v>
      </c>
    </row>
    <row r="22" spans="1:9" ht="14.25">
      <c r="A22" s="3896" t="s">
        <v>2506</v>
      </c>
      <c r="B22" s="3897"/>
      <c r="C22" s="3898"/>
      <c r="D22" s="2548" t="s">
        <v>2507</v>
      </c>
      <c r="E22" s="2548" t="s">
        <v>2508</v>
      </c>
      <c r="F22" s="2549" t="s">
        <v>2509</v>
      </c>
      <c r="G22" s="2549" t="s">
        <v>2510</v>
      </c>
      <c r="H22" s="2541" t="s">
        <v>2511</v>
      </c>
      <c r="I22" s="2532" t="s">
        <v>2512</v>
      </c>
    </row>
    <row r="23" spans="1:9" ht="14.25" thickBot="1">
      <c r="A23" s="3899"/>
      <c r="B23" s="3900"/>
      <c r="C23" s="3901"/>
      <c r="D23" s="2550"/>
      <c r="E23" s="2550"/>
      <c r="F23" s="2550"/>
      <c r="G23" s="2551"/>
      <c r="H23" s="2552"/>
      <c r="I23" s="2553">
        <f>ROUND(E23*D23*F23*(1-G23)/10000,0)</f>
        <v>0</v>
      </c>
    </row>
    <row r="26" spans="1:9">
      <c r="A26" s="2554" t="s">
        <v>2513</v>
      </c>
      <c r="B26" s="2554"/>
      <c r="C26" s="2554"/>
      <c r="D26" s="2554"/>
      <c r="E26" s="3889">
        <f>C27-C30-C31-C32</f>
        <v>0</v>
      </c>
      <c r="F26" s="3889"/>
      <c r="G26" s="3889"/>
      <c r="H26" s="3068" t="s">
        <v>2841</v>
      </c>
    </row>
    <row r="27" spans="1:9">
      <c r="A27" s="2555">
        <v>1</v>
      </c>
      <c r="B27" s="2556" t="s">
        <v>2514</v>
      </c>
      <c r="C27" s="2556"/>
      <c r="D27" s="2556"/>
      <c r="E27" s="3890"/>
      <c r="F27" s="3890"/>
      <c r="G27" s="3890"/>
    </row>
    <row r="28" spans="1:9">
      <c r="A28" s="2557" t="s">
        <v>2515</v>
      </c>
      <c r="B28" s="2556" t="s">
        <v>2516</v>
      </c>
      <c r="C28" s="2556"/>
      <c r="D28" s="2556"/>
      <c r="E28" s="3890"/>
      <c r="F28" s="3890"/>
      <c r="G28" s="3890"/>
    </row>
    <row r="29" spans="1:9">
      <c r="A29" s="2557" t="s">
        <v>2517</v>
      </c>
      <c r="B29" s="2556" t="s">
        <v>2458</v>
      </c>
      <c r="C29" s="2556"/>
      <c r="D29" s="2556"/>
      <c r="E29" s="2556" t="s">
        <v>2518</v>
      </c>
      <c r="F29" s="2556"/>
      <c r="G29" s="2556"/>
    </row>
    <row r="30" spans="1:9">
      <c r="A30" s="2555">
        <v>2</v>
      </c>
      <c r="B30" s="2556" t="s">
        <v>2519</v>
      </c>
      <c r="C30" s="2556">
        <f>C27*D30</f>
        <v>0</v>
      </c>
      <c r="D30" s="2558">
        <v>0.2</v>
      </c>
      <c r="E30" s="2556" t="s">
        <v>2520</v>
      </c>
      <c r="F30" s="2556"/>
      <c r="G30" s="2556"/>
    </row>
    <row r="31" spans="1:9">
      <c r="A31" s="2555">
        <v>3</v>
      </c>
      <c r="B31" s="2556" t="s">
        <v>2521</v>
      </c>
      <c r="C31" s="2556">
        <f>C25*D31</f>
        <v>0</v>
      </c>
      <c r="D31" s="2558">
        <v>0.15</v>
      </c>
      <c r="E31" s="2556" t="s">
        <v>2522</v>
      </c>
      <c r="F31" s="2556"/>
      <c r="G31" s="2556"/>
    </row>
    <row r="32" spans="1:9">
      <c r="A32" s="2555">
        <v>4</v>
      </c>
      <c r="B32" s="2556" t="s">
        <v>2523</v>
      </c>
      <c r="C32" s="2556">
        <f>C27*D32</f>
        <v>0</v>
      </c>
      <c r="D32" s="2558">
        <v>0.05</v>
      </c>
      <c r="E32" s="3891"/>
      <c r="F32" s="3891"/>
      <c r="G32" s="3891"/>
    </row>
    <row r="33" spans="1:7" hidden="1">
      <c r="A33" s="3886" t="s">
        <v>2524</v>
      </c>
      <c r="B33" s="3887"/>
      <c r="C33" s="3887"/>
      <c r="D33" s="3888"/>
      <c r="E33" s="3889"/>
      <c r="F33" s="3889"/>
      <c r="G33" s="3889"/>
    </row>
    <row r="34" spans="1:7" hidden="1">
      <c r="A34" s="2559">
        <v>1</v>
      </c>
      <c r="B34" s="2556" t="s">
        <v>2525</v>
      </c>
      <c r="C34" s="2556"/>
      <c r="D34" s="2556"/>
      <c r="E34" s="3890"/>
      <c r="F34" s="3890"/>
      <c r="G34" s="3890"/>
    </row>
    <row r="35" spans="1:7" hidden="1">
      <c r="A35" s="2559">
        <v>2</v>
      </c>
      <c r="B35" s="2556" t="s">
        <v>2526</v>
      </c>
      <c r="C35" s="2556"/>
      <c r="D35" s="2556"/>
      <c r="E35" s="3890"/>
      <c r="F35" s="3890"/>
      <c r="G35" s="3890"/>
    </row>
    <row r="36" spans="1:7" hidden="1">
      <c r="A36" s="2559">
        <v>3</v>
      </c>
      <c r="B36" s="2556" t="s">
        <v>2527</v>
      </c>
      <c r="C36" s="2556"/>
      <c r="D36" s="2556"/>
      <c r="E36" s="3890"/>
      <c r="F36" s="3890"/>
      <c r="G36" s="3890"/>
    </row>
    <row r="37" spans="1:7" hidden="1">
      <c r="A37" s="2559">
        <v>4</v>
      </c>
      <c r="B37" s="2556" t="s">
        <v>2528</v>
      </c>
      <c r="C37" s="2556"/>
      <c r="D37" s="2556"/>
      <c r="E37" s="3890"/>
      <c r="F37" s="3890"/>
      <c r="G37" s="3890"/>
    </row>
    <row r="38" spans="1:7" hidden="1">
      <c r="A38" s="3886" t="s">
        <v>2529</v>
      </c>
      <c r="B38" s="3887"/>
      <c r="C38" s="3887"/>
      <c r="D38" s="3888"/>
      <c r="E38" s="3889"/>
      <c r="F38" s="3889"/>
      <c r="G38" s="38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G38" sqref="G38"/>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603</v>
      </c>
      <c r="B1" s="741"/>
      <c r="C1" s="2182"/>
      <c r="D1" s="2182"/>
      <c r="E1" s="2182"/>
      <c r="F1" s="2182"/>
      <c r="G1" s="2108"/>
    </row>
    <row r="2" spans="1:25" s="2059" customFormat="1" ht="18" customHeight="1">
      <c r="A2" s="422" t="s">
        <v>467</v>
      </c>
      <c r="B2" s="424">
        <f ca="1">C23</f>
        <v>0</v>
      </c>
      <c r="C2" s="2108"/>
      <c r="D2" s="2108"/>
      <c r="E2" s="2108"/>
      <c r="F2" s="2108"/>
      <c r="G2" s="2108"/>
    </row>
    <row r="3" spans="1:25" s="2059" customFormat="1" ht="18" customHeight="1">
      <c r="A3" s="1378" t="s">
        <v>1685</v>
      </c>
      <c r="B3" s="424">
        <f ca="1">ROUND(B2*10000/'数据-汇总表'!E3,0)</f>
        <v>0</v>
      </c>
      <c r="C3" s="2108"/>
      <c r="D3" s="2108"/>
      <c r="E3" s="2108"/>
      <c r="F3" s="2108"/>
      <c r="G3" s="2108"/>
    </row>
    <row r="4" spans="1:25" s="2059" customFormat="1" ht="18" customHeight="1">
      <c r="A4" s="425" t="s">
        <v>468</v>
      </c>
      <c r="B4" s="426">
        <f ca="1">ROUND(B2*10000/'数据-汇总表'!D3,0)</f>
        <v>0</v>
      </c>
      <c r="C4" s="2061"/>
      <c r="D4" s="2108"/>
      <c r="E4" s="2108"/>
      <c r="F4" s="2108"/>
      <c r="G4" s="2108"/>
    </row>
    <row r="5" spans="1:25" s="2059" customFormat="1" ht="18" customHeight="1" thickBot="1">
      <c r="A5" s="428"/>
      <c r="B5" s="429">
        <f ca="1">ROUND(B2/('数据-汇总表'!D3/666.67),0)</f>
        <v>0</v>
      </c>
      <c r="C5" s="430" t="s">
        <v>469</v>
      </c>
      <c r="D5" s="2108"/>
      <c r="E5" s="2108"/>
      <c r="F5" s="2108"/>
      <c r="G5" s="2108"/>
    </row>
    <row r="6" spans="1:25" s="2183" customFormat="1" ht="13.5" customHeight="1">
      <c r="A6" s="742"/>
      <c r="B6" s="743" t="s">
        <v>604</v>
      </c>
      <c r="C6" s="744" t="s">
        <v>605</v>
      </c>
      <c r="D6" s="744" t="s">
        <v>606</v>
      </c>
      <c r="E6" s="745" t="s">
        <v>607</v>
      </c>
      <c r="F6" s="745" t="s">
        <v>608</v>
      </c>
      <c r="G6" s="746"/>
    </row>
    <row r="7" spans="1:25" s="2183" customFormat="1" ht="13.5" customHeight="1">
      <c r="A7" s="2493">
        <v>1</v>
      </c>
      <c r="B7" s="747" t="s">
        <v>609</v>
      </c>
      <c r="C7" s="748">
        <f>C8+C9</f>
        <v>0</v>
      </c>
      <c r="D7" s="748"/>
      <c r="E7" s="749"/>
      <c r="F7" s="749"/>
      <c r="G7" s="2503"/>
    </row>
    <row r="8" spans="1:25" s="2183" customFormat="1" ht="13.5" customHeight="1">
      <c r="A8" s="2493" t="s">
        <v>2438</v>
      </c>
      <c r="B8" s="2496" t="s">
        <v>2440</v>
      </c>
      <c r="C8" s="2497"/>
      <c r="D8" s="748"/>
      <c r="E8" s="749"/>
      <c r="F8" s="749"/>
      <c r="G8" s="750"/>
    </row>
    <row r="9" spans="1:25" s="2183" customFormat="1" ht="13.5" customHeight="1">
      <c r="A9" s="2493" t="s">
        <v>2439</v>
      </c>
      <c r="B9" s="2496" t="s">
        <v>2441</v>
      </c>
      <c r="C9" s="2497"/>
      <c r="D9" s="748"/>
      <c r="E9" s="749"/>
      <c r="F9" s="749"/>
      <c r="G9" s="750"/>
    </row>
    <row r="10" spans="1:25" s="2183" customFormat="1" ht="36">
      <c r="A10" s="2493">
        <v>2</v>
      </c>
      <c r="B10" s="747" t="s">
        <v>613</v>
      </c>
      <c r="C10" s="748">
        <f>C11+C14+C15</f>
        <v>0</v>
      </c>
      <c r="D10" s="759">
        <f>'数据-汇总表'!E3</f>
        <v>114432</v>
      </c>
      <c r="E10" s="748">
        <f>'数据-取费表'!B31</f>
        <v>200</v>
      </c>
      <c r="F10" s="760"/>
      <c r="G10" s="758" t="s">
        <v>614</v>
      </c>
    </row>
    <row r="11" spans="1:25" s="2183" customFormat="1" ht="13.5" customHeight="1">
      <c r="A11" s="2493" t="s">
        <v>2438</v>
      </c>
      <c r="B11" s="751" t="s">
        <v>610</v>
      </c>
      <c r="C11" s="752">
        <f>'数据-取费表'!B29</f>
        <v>0</v>
      </c>
      <c r="D11" s="753"/>
      <c r="E11" s="752"/>
      <c r="F11" s="754"/>
      <c r="G11" s="2502" t="s">
        <v>2449</v>
      </c>
    </row>
    <row r="12" spans="1:25" s="2183" customFormat="1" ht="13.5" customHeight="1">
      <c r="A12" s="2500" t="s">
        <v>2446</v>
      </c>
      <c r="B12" s="755" t="s">
        <v>611</v>
      </c>
      <c r="C12" s="756">
        <f>ROUND(D12*E12/10000,0)</f>
        <v>824</v>
      </c>
      <c r="D12" s="757">
        <f>'数据-汇总表'!E5</f>
        <v>91545.600000000006</v>
      </c>
      <c r="E12" s="756">
        <f>'数据-取费表'!B27</f>
        <v>90</v>
      </c>
      <c r="F12" s="754"/>
      <c r="G12" s="758"/>
    </row>
    <row r="13" spans="1:25" s="2183" customFormat="1" ht="13.5" customHeight="1">
      <c r="A13" s="2500" t="s">
        <v>2445</v>
      </c>
      <c r="B13" s="755" t="s">
        <v>612</v>
      </c>
      <c r="C13" s="756">
        <f>ROUND(D13*E13/10000,0)</f>
        <v>206</v>
      </c>
      <c r="D13" s="757">
        <f>'数据-汇总表'!E6</f>
        <v>22886.399999999994</v>
      </c>
      <c r="E13" s="756">
        <f>'数据-取费表'!B28</f>
        <v>90</v>
      </c>
      <c r="F13" s="754"/>
      <c r="G13" s="758"/>
    </row>
    <row r="14" spans="1:25" s="2183" customFormat="1" ht="13.5" customHeight="1">
      <c r="A14" s="2493" t="s">
        <v>2439</v>
      </c>
      <c r="B14" s="2499" t="s">
        <v>2442</v>
      </c>
      <c r="C14" s="2497"/>
      <c r="D14" s="757"/>
      <c r="E14" s="756"/>
      <c r="F14" s="2498"/>
      <c r="G14" s="2501" t="s">
        <v>2447</v>
      </c>
    </row>
    <row r="15" spans="1:25" s="2183" customFormat="1" ht="13.5" customHeight="1">
      <c r="A15" s="2493" t="s">
        <v>2444</v>
      </c>
      <c r="B15" s="2499" t="s">
        <v>2443</v>
      </c>
      <c r="C15" s="2497"/>
      <c r="D15" s="757"/>
      <c r="E15" s="756"/>
      <c r="F15" s="2498"/>
      <c r="G15" s="2501" t="s">
        <v>2448</v>
      </c>
    </row>
    <row r="16" spans="1:25" s="2184" customFormat="1" ht="48">
      <c r="A16" s="2493">
        <v>3</v>
      </c>
      <c r="B16" s="747" t="s">
        <v>615</v>
      </c>
      <c r="C16" s="2497"/>
      <c r="D16" s="759"/>
      <c r="E16" s="748"/>
      <c r="F16" s="760"/>
      <c r="G16" s="758" t="s">
        <v>2450</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616</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617</v>
      </c>
      <c r="C18" s="748">
        <f>ROUND((C7+C10+C16)*F18,0)</f>
        <v>0</v>
      </c>
      <c r="D18" s="761"/>
      <c r="E18" s="762"/>
      <c r="F18" s="760">
        <f>'数据-取费表'!Q16</f>
        <v>0.11</v>
      </c>
      <c r="G18" s="764"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619</v>
      </c>
      <c r="C19" s="748">
        <f ca="1">C7+C10+C16+C17+C18</f>
        <v>0</v>
      </c>
      <c r="D19" s="759"/>
      <c r="E19" s="748"/>
      <c r="F19" s="760"/>
      <c r="G19" s="764"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621</v>
      </c>
      <c r="C20" s="748">
        <f ca="1">ROUND(C19*F20,0)</f>
        <v>0</v>
      </c>
      <c r="D20" s="759"/>
      <c r="E20" s="748"/>
      <c r="F20" s="1347"/>
      <c r="G20" s="764"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623</v>
      </c>
      <c r="C21" s="748">
        <f ca="1">C19+C20</f>
        <v>0</v>
      </c>
      <c r="D21" s="759"/>
      <c r="E21" s="748"/>
      <c r="F21" s="760"/>
      <c r="G21" s="764"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625</v>
      </c>
      <c r="C22" s="748">
        <f ca="1">ROUND(C21*F22,0)</f>
        <v>0</v>
      </c>
      <c r="D22" s="759"/>
      <c r="E22" s="748"/>
      <c r="F22" s="765">
        <f>'数据-取费表'!AP16</f>
        <v>0.93300000000000005</v>
      </c>
      <c r="G22" s="764"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627</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abSelected="1" topLeftCell="A4" zoomScale="80" zoomScaleNormal="80" zoomScalePageLayoutView="80" workbookViewId="0">
      <selection activeCell="H33" sqref="H33"/>
    </sheetView>
  </sheetViews>
  <sheetFormatPr defaultColWidth="8.875" defaultRowHeight="14.25"/>
  <cols>
    <col min="1" max="1" width="10.5" style="1335" customWidth="1"/>
    <col min="2" max="2" width="15.625" style="1335" customWidth="1"/>
    <col min="3" max="3" width="15.12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2647" t="s">
        <v>719</v>
      </c>
      <c r="C1" s="2648" t="s">
        <v>720</v>
      </c>
      <c r="D1" s="2649" t="s">
        <v>922</v>
      </c>
      <c r="E1" s="2650"/>
      <c r="F1" s="2831" t="s">
        <v>3357</v>
      </c>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0" customFormat="1" ht="28.5" customHeight="1">
      <c r="A2" s="422" t="s">
        <v>467</v>
      </c>
      <c r="B2" s="2646">
        <f>ROUND(B3*D3/10000,0)</f>
        <v>65821</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0" customFormat="1" ht="28.5" customHeight="1" thickBot="1">
      <c r="A3" s="508" t="s">
        <v>519</v>
      </c>
      <c r="B3" s="850">
        <f>C49</f>
        <v>7190</v>
      </c>
      <c r="C3" s="851" t="s">
        <v>722</v>
      </c>
      <c r="D3" s="850">
        <f>SUMIF('数据-汇总表'!$C19:$C33,D1,'数据-汇总表'!$E19:$E33)</f>
        <v>91545.600000000006</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521</v>
      </c>
      <c r="B4" s="512"/>
      <c r="C4" s="3774" t="s">
        <v>522</v>
      </c>
      <c r="D4" s="3775"/>
      <c r="E4" s="3840" t="s">
        <v>523</v>
      </c>
      <c r="F4" s="3841"/>
      <c r="G4" s="3774" t="s">
        <v>524</v>
      </c>
      <c r="H4" s="3775"/>
      <c r="I4" s="3774" t="s">
        <v>525</v>
      </c>
      <c r="J4" s="3775"/>
      <c r="K4" s="852" t="s">
        <v>526</v>
      </c>
      <c r="L4" s="2133"/>
      <c r="M4" s="2134"/>
      <c r="N4" s="2134"/>
      <c r="O4" s="2134"/>
      <c r="P4" s="3776" t="s">
        <v>527</v>
      </c>
      <c r="Q4" s="3777"/>
      <c r="R4" s="3762" t="s">
        <v>523</v>
      </c>
      <c r="S4" s="3763"/>
      <c r="T4" s="3762" t="s">
        <v>524</v>
      </c>
      <c r="U4" s="3763"/>
      <c r="V4" s="3782" t="s">
        <v>525</v>
      </c>
      <c r="W4" s="3782"/>
      <c r="X4" s="1566"/>
      <c r="Y4" s="3762" t="s">
        <v>527</v>
      </c>
      <c r="Z4" s="3763"/>
      <c r="AA4" s="3757" t="s">
        <v>523</v>
      </c>
      <c r="AB4" s="3757" t="s">
        <v>524</v>
      </c>
      <c r="AC4" s="3757" t="s">
        <v>525</v>
      </c>
    </row>
    <row r="5" spans="1:29" ht="15">
      <c r="A5" s="514"/>
      <c r="B5" s="515"/>
      <c r="C5" s="3785" t="s">
        <v>2925</v>
      </c>
      <c r="D5" s="3786"/>
      <c r="E5" s="3907" t="s">
        <v>3353</v>
      </c>
      <c r="F5" s="3843"/>
      <c r="G5" s="3908" t="s">
        <v>3354</v>
      </c>
      <c r="H5" s="3786"/>
      <c r="I5" s="3908" t="s">
        <v>3355</v>
      </c>
      <c r="J5" s="3786"/>
      <c r="K5" s="853"/>
      <c r="L5" s="2133"/>
      <c r="M5" s="2134"/>
      <c r="N5" s="2134"/>
      <c r="O5" s="2134"/>
      <c r="P5" s="3778"/>
      <c r="Q5" s="3779"/>
      <c r="R5" s="3764"/>
      <c r="S5" s="3765"/>
      <c r="T5" s="3764"/>
      <c r="U5" s="3765"/>
      <c r="V5" s="3782"/>
      <c r="W5" s="3782"/>
      <c r="X5" s="1566"/>
      <c r="Y5" s="3764"/>
      <c r="Z5" s="3765"/>
      <c r="AA5" s="3758"/>
      <c r="AB5" s="3758"/>
      <c r="AC5" s="3758"/>
    </row>
    <row r="6" spans="1:29" ht="15.75" thickBot="1">
      <c r="A6" s="516"/>
      <c r="B6" s="517"/>
      <c r="C6" s="3783" t="s">
        <v>2929</v>
      </c>
      <c r="D6" s="3784"/>
      <c r="E6" s="3844" t="s">
        <v>2929</v>
      </c>
      <c r="F6" s="3845"/>
      <c r="G6" s="3909" t="s">
        <v>3376</v>
      </c>
      <c r="H6" s="3784"/>
      <c r="I6" s="3909" t="s">
        <v>3377</v>
      </c>
      <c r="J6" s="3784"/>
      <c r="K6" s="853" t="s">
        <v>528</v>
      </c>
      <c r="L6" s="2133"/>
      <c r="M6" s="2134"/>
      <c r="N6" s="2134"/>
      <c r="O6" s="2134"/>
      <c r="P6" s="3780"/>
      <c r="Q6" s="3781"/>
      <c r="R6" s="3764"/>
      <c r="S6" s="3765"/>
      <c r="T6" s="3766"/>
      <c r="U6" s="3767"/>
      <c r="V6" s="3782"/>
      <c r="W6" s="3782"/>
      <c r="X6" s="1566"/>
      <c r="Y6" s="3766"/>
      <c r="Z6" s="3767"/>
      <c r="AA6" s="3759"/>
      <c r="AB6" s="3759"/>
      <c r="AC6" s="3759"/>
    </row>
    <row r="7" spans="1:29" s="1218" customFormat="1" ht="15.75" thickBot="1">
      <c r="A7" s="2936"/>
      <c r="B7" s="2943" t="s">
        <v>529</v>
      </c>
      <c r="C7" s="518">
        <f>'数据-取费表'!B2</f>
        <v>43438</v>
      </c>
      <c r="D7" s="519">
        <v>100</v>
      </c>
      <c r="E7" s="520">
        <v>43405</v>
      </c>
      <c r="F7" s="521">
        <f>SUMIF(58:58,YEAR(E7)&amp;"-"&amp;MONTH(E7),59:59)</f>
        <v>100</v>
      </c>
      <c r="G7" s="522">
        <v>43252</v>
      </c>
      <c r="H7" s="519">
        <f>SUMIF(58:58,YEAR(G7)&amp;"-"&amp;MONTH(G7),59:59)</f>
        <v>100</v>
      </c>
      <c r="I7" s="522">
        <v>43435</v>
      </c>
      <c r="J7" s="519">
        <f>SUMIF(58:58,YEAR(I7)&amp;"-"&amp;MONTH(I7),59:59)</f>
        <v>100</v>
      </c>
      <c r="K7" s="854"/>
      <c r="L7" s="2135"/>
      <c r="M7" s="2136"/>
      <c r="N7" s="2136"/>
      <c r="O7" s="2136"/>
      <c r="P7" s="3760" t="s">
        <v>530</v>
      </c>
      <c r="Q7" s="3769"/>
      <c r="R7" s="1567" t="s">
        <v>13</v>
      </c>
      <c r="S7" s="1568">
        <f t="shared" ref="S7:S15" si="0">F7</f>
        <v>100</v>
      </c>
      <c r="T7" s="1567" t="s">
        <v>13</v>
      </c>
      <c r="U7" s="1568">
        <f t="shared" ref="U7:U15" si="1">H7</f>
        <v>100</v>
      </c>
      <c r="V7" s="1567" t="s">
        <v>13</v>
      </c>
      <c r="W7" s="1568">
        <f t="shared" ref="W7:W15" si="2">J7</f>
        <v>100</v>
      </c>
      <c r="X7" s="1569"/>
      <c r="Y7" s="3760" t="s">
        <v>530</v>
      </c>
      <c r="Z7" s="3761"/>
      <c r="AA7" s="1570">
        <f>D7/F7</f>
        <v>1</v>
      </c>
      <c r="AB7" s="1570">
        <f>D7/H7</f>
        <v>1</v>
      </c>
      <c r="AC7" s="1570">
        <f>D7/J7</f>
        <v>1</v>
      </c>
    </row>
    <row r="8" spans="1:29" s="1218" customFormat="1" ht="15.75" thickBot="1">
      <c r="A8" s="2937"/>
      <c r="B8" s="2944" t="s">
        <v>531</v>
      </c>
      <c r="C8" s="524" t="s">
        <v>576</v>
      </c>
      <c r="D8" s="519">
        <v>100</v>
      </c>
      <c r="E8" s="855" t="s">
        <v>3023</v>
      </c>
      <c r="F8" s="521">
        <f>SUMIF(61:61,E8,62:62)-SUMIF(61:61,C8,62:62)+100</f>
        <v>100</v>
      </c>
      <c r="G8" s="855" t="s">
        <v>3023</v>
      </c>
      <c r="H8" s="519">
        <f>SUMIF(61:61,G8,62:62)-SUMIF(61:61,C8,62:62)+100</f>
        <v>100</v>
      </c>
      <c r="I8" s="855" t="s">
        <v>3023</v>
      </c>
      <c r="J8" s="519">
        <f>SUMIF(61:61,I8,62:62)-SUMIF(61:61,C8,62:62)+100</f>
        <v>100</v>
      </c>
      <c r="K8" s="854"/>
      <c r="L8" s="2135"/>
      <c r="M8" s="2136"/>
      <c r="N8" s="2136"/>
      <c r="O8" s="2136"/>
      <c r="P8" s="3760" t="s">
        <v>533</v>
      </c>
      <c r="Q8" s="3761"/>
      <c r="R8" s="1567" t="s">
        <v>13</v>
      </c>
      <c r="S8" s="1568">
        <f t="shared" si="0"/>
        <v>100</v>
      </c>
      <c r="T8" s="1567" t="s">
        <v>13</v>
      </c>
      <c r="U8" s="1568">
        <f t="shared" si="1"/>
        <v>100</v>
      </c>
      <c r="V8" s="1567" t="s">
        <v>13</v>
      </c>
      <c r="W8" s="1568">
        <f t="shared" si="2"/>
        <v>100</v>
      </c>
      <c r="X8" s="1569"/>
      <c r="Y8" s="3760" t="s">
        <v>533</v>
      </c>
      <c r="Z8" s="3761"/>
      <c r="AA8" s="1570">
        <f t="shared" ref="AA8:AA46" si="3">D8/F8</f>
        <v>1</v>
      </c>
      <c r="AB8" s="1570">
        <f t="shared" ref="AB8:AB46" si="4">D8/H8</f>
        <v>1</v>
      </c>
      <c r="AC8" s="1570">
        <f t="shared" ref="AC8:AC46" si="5">D8/J8</f>
        <v>1</v>
      </c>
    </row>
    <row r="9" spans="1:29" s="1218" customFormat="1" ht="15">
      <c r="A9" s="2938"/>
      <c r="B9" s="2945" t="s">
        <v>2754</v>
      </c>
      <c r="C9" s="3580" t="s">
        <v>3356</v>
      </c>
      <c r="D9" s="253">
        <v>100</v>
      </c>
      <c r="E9" s="857" t="s">
        <v>922</v>
      </c>
      <c r="F9" s="858">
        <f>SUMIF(63:63,E9,64:64)-SUMIF(63:63,C9,64:64)+100</f>
        <v>100</v>
      </c>
      <c r="G9" s="857" t="s">
        <v>922</v>
      </c>
      <c r="H9" s="253">
        <f>SUMIF(63:63,G9,64:64)-SUMIF(63:63,C9,64:64)+100</f>
        <v>100</v>
      </c>
      <c r="I9" s="857" t="s">
        <v>922</v>
      </c>
      <c r="J9" s="253">
        <f>SUMIF(63:63,I9,64:64)-SUMIF(63:63,C9,64:64)+100</f>
        <v>100</v>
      </c>
      <c r="K9" s="854"/>
      <c r="L9" s="2135"/>
      <c r="M9" s="2136"/>
      <c r="N9" s="2136"/>
      <c r="O9" s="2137"/>
      <c r="P9" s="3768" t="s">
        <v>535</v>
      </c>
      <c r="Q9" s="1149" t="str">
        <f t="shared" ref="Q9:Q15" si="6">B9</f>
        <v>用途</v>
      </c>
      <c r="R9" s="1567" t="s">
        <v>8</v>
      </c>
      <c r="S9" s="1568">
        <f t="shared" si="0"/>
        <v>100</v>
      </c>
      <c r="T9" s="1567" t="s">
        <v>8</v>
      </c>
      <c r="U9" s="1568">
        <f t="shared" si="1"/>
        <v>100</v>
      </c>
      <c r="V9" s="1567" t="s">
        <v>8</v>
      </c>
      <c r="W9" s="1568">
        <f t="shared" si="2"/>
        <v>100</v>
      </c>
      <c r="X9" s="1569"/>
      <c r="Y9" s="3725" t="s">
        <v>536</v>
      </c>
      <c r="Z9" s="1148" t="str">
        <f t="shared" ref="Z9:Z15" si="7">Q9</f>
        <v>用途</v>
      </c>
      <c r="AA9" s="1570">
        <f t="shared" si="3"/>
        <v>1</v>
      </c>
      <c r="AB9" s="1570">
        <f t="shared" si="4"/>
        <v>1</v>
      </c>
      <c r="AC9" s="1570">
        <f t="shared" si="5"/>
        <v>1</v>
      </c>
    </row>
    <row r="10" spans="1:29" s="1336" customFormat="1" ht="27">
      <c r="A10" s="2939"/>
      <c r="B10" s="2944" t="s">
        <v>2755</v>
      </c>
      <c r="C10" s="860" t="s">
        <v>3358</v>
      </c>
      <c r="D10" s="254">
        <v>100</v>
      </c>
      <c r="E10" s="861" t="s">
        <v>3358</v>
      </c>
      <c r="F10" s="862">
        <f>SUMIF(65:65,E10,66:66)-SUMIF(65:65,C10,66:66)+100</f>
        <v>100</v>
      </c>
      <c r="G10" s="861" t="s">
        <v>3358</v>
      </c>
      <c r="H10" s="254">
        <f>SUMIF(65:65,G10,66:66)-SUMIF(65:65,C10,66:66)+100</f>
        <v>100</v>
      </c>
      <c r="I10" s="861" t="s">
        <v>3358</v>
      </c>
      <c r="J10" s="254">
        <f>SUMIF(65:65,I10,66:66)-SUMIF(65:65,C10,66:66)+100</f>
        <v>100</v>
      </c>
      <c r="K10" s="863">
        <v>1</v>
      </c>
      <c r="L10" s="2138"/>
      <c r="M10" s="2178"/>
      <c r="N10" s="2178"/>
      <c r="O10" s="2139"/>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75" thickBot="1">
      <c r="A11" s="2940"/>
      <c r="B11" s="2944" t="s">
        <v>2756</v>
      </c>
      <c r="C11" s="532">
        <f>'比较法-住宅、综合'!C13</f>
        <v>3</v>
      </c>
      <c r="D11" s="254">
        <v>100</v>
      </c>
      <c r="E11" s="533"/>
      <c r="F11" s="862">
        <f>LOOKUP(E11,68:68,69:69)-LOOKUP(C11,68:68,69:69)+100</f>
        <v>100</v>
      </c>
      <c r="G11" s="532"/>
      <c r="H11" s="254">
        <f>LOOKUP(G11,68:68,69:69)-LOOKUP(C11,68:68,69:69)+100</f>
        <v>100</v>
      </c>
      <c r="I11" s="532"/>
      <c r="J11" s="254">
        <f>LOOKUP(I11,68:68,69:69)-LOOKUP(C11,68:68,69:69)+100</f>
        <v>100</v>
      </c>
      <c r="K11" s="863"/>
      <c r="L11" s="2140"/>
      <c r="M11" s="2134"/>
      <c r="N11" s="2134"/>
      <c r="O11" s="2141"/>
      <c r="P11" s="3768"/>
      <c r="Q11" s="1149" t="str">
        <f t="shared" si="6"/>
        <v>容积率</v>
      </c>
      <c r="R11" s="1567" t="s">
        <v>11</v>
      </c>
      <c r="S11" s="1568">
        <f t="shared" si="0"/>
        <v>100</v>
      </c>
      <c r="T11" s="1567" t="s">
        <v>11</v>
      </c>
      <c r="U11" s="1568">
        <f t="shared" si="1"/>
        <v>100</v>
      </c>
      <c r="V11" s="1567" t="s">
        <v>11</v>
      </c>
      <c r="W11" s="1568">
        <f t="shared" si="2"/>
        <v>100</v>
      </c>
      <c r="X11" s="1569"/>
      <c r="Y11" s="3725"/>
      <c r="Z11" s="1148" t="str">
        <f t="shared" si="7"/>
        <v>容积率</v>
      </c>
      <c r="AA11" s="1570">
        <f t="shared" si="3"/>
        <v>1</v>
      </c>
      <c r="AB11" s="1570">
        <f t="shared" si="4"/>
        <v>1</v>
      </c>
      <c r="AC11" s="1570">
        <f t="shared" si="5"/>
        <v>1</v>
      </c>
    </row>
    <row r="12" spans="1:29" s="1218" customFormat="1" ht="15" hidden="1">
      <c r="A12" s="2941"/>
      <c r="B12" s="2947"/>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768"/>
      <c r="Q12" s="1149">
        <f t="shared" si="6"/>
        <v>0</v>
      </c>
      <c r="R12" s="1567" t="s">
        <v>11</v>
      </c>
      <c r="S12" s="1568">
        <f t="shared" si="0"/>
        <v>100</v>
      </c>
      <c r="T12" s="1567" t="s">
        <v>11</v>
      </c>
      <c r="U12" s="1568">
        <f t="shared" si="1"/>
        <v>100</v>
      </c>
      <c r="V12" s="1567" t="s">
        <v>11</v>
      </c>
      <c r="W12" s="1568">
        <f t="shared" si="2"/>
        <v>100</v>
      </c>
      <c r="X12" s="1569"/>
      <c r="Y12" s="3725"/>
      <c r="Z12" s="1148">
        <f t="shared" si="7"/>
        <v>0</v>
      </c>
      <c r="AA12" s="1570">
        <f>D12/F12</f>
        <v>1</v>
      </c>
      <c r="AB12" s="1570">
        <f>D12/H12</f>
        <v>1</v>
      </c>
      <c r="AC12" s="1570">
        <f>D12/J12</f>
        <v>1</v>
      </c>
    </row>
    <row r="13" spans="1:29" ht="15" hidden="1">
      <c r="A13" s="2941"/>
      <c r="B13" s="2947"/>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768"/>
      <c r="Q13" s="1149">
        <f t="shared" si="6"/>
        <v>0</v>
      </c>
      <c r="R13" s="1567" t="s">
        <v>11</v>
      </c>
      <c r="S13" s="1568">
        <f t="shared" si="0"/>
        <v>100</v>
      </c>
      <c r="T13" s="1567" t="s">
        <v>11</v>
      </c>
      <c r="U13" s="1568">
        <f t="shared" si="1"/>
        <v>100</v>
      </c>
      <c r="V13" s="1567" t="s">
        <v>11</v>
      </c>
      <c r="W13" s="1568">
        <f t="shared" si="2"/>
        <v>100</v>
      </c>
      <c r="X13" s="1569"/>
      <c r="Y13" s="3725"/>
      <c r="Z13" s="1148">
        <f t="shared" si="7"/>
        <v>0</v>
      </c>
      <c r="AA13" s="1570">
        <f t="shared" si="3"/>
        <v>1</v>
      </c>
      <c r="AB13" s="1570">
        <f t="shared" si="4"/>
        <v>1</v>
      </c>
      <c r="AC13" s="1570">
        <f t="shared" si="5"/>
        <v>1</v>
      </c>
    </row>
    <row r="14" spans="1:29" ht="15.75" hidden="1" thickBot="1">
      <c r="A14" s="2942"/>
      <c r="B14" s="2948"/>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768"/>
      <c r="Q14" s="1149">
        <f t="shared" si="6"/>
        <v>0</v>
      </c>
      <c r="R14" s="1567" t="s">
        <v>11</v>
      </c>
      <c r="S14" s="1568">
        <f t="shared" si="0"/>
        <v>100</v>
      </c>
      <c r="T14" s="1567" t="s">
        <v>11</v>
      </c>
      <c r="U14" s="1568">
        <f t="shared" si="1"/>
        <v>100</v>
      </c>
      <c r="V14" s="1567" t="s">
        <v>11</v>
      </c>
      <c r="W14" s="1568">
        <f t="shared" si="2"/>
        <v>100</v>
      </c>
      <c r="X14" s="1569"/>
      <c r="Y14" s="3725"/>
      <c r="Z14" s="1148">
        <f t="shared" si="7"/>
        <v>0</v>
      </c>
      <c r="AA14" s="1570">
        <f t="shared" si="3"/>
        <v>1</v>
      </c>
      <c r="AB14" s="1570">
        <f t="shared" si="4"/>
        <v>1</v>
      </c>
      <c r="AC14" s="1570">
        <f t="shared" si="5"/>
        <v>1</v>
      </c>
    </row>
    <row r="15" spans="1:29" ht="99.75">
      <c r="A15" s="2934" t="s">
        <v>2752</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105</v>
      </c>
      <c r="G15" s="551"/>
      <c r="H15" s="548">
        <f>SUMIF(76:76,G16,77:77)-SUMIF(76:76,C16,77:77)+100</f>
        <v>110</v>
      </c>
      <c r="I15" s="549"/>
      <c r="J15" s="548">
        <f>SUMIF(76:76,I16,77:77)-SUMIF(76:76,C16,77:77)+100</f>
        <v>110</v>
      </c>
      <c r="K15" s="867">
        <v>5</v>
      </c>
      <c r="L15" s="2142"/>
      <c r="M15" s="2134"/>
      <c r="N15" s="2134"/>
      <c r="O15" s="2141"/>
      <c r="P15" s="3770" t="s">
        <v>540</v>
      </c>
      <c r="Q15" s="1571" t="str">
        <f t="shared" si="6"/>
        <v>居住社区成熟度</v>
      </c>
      <c r="R15" s="1572" t="s">
        <v>11</v>
      </c>
      <c r="S15" s="1573">
        <f t="shared" si="0"/>
        <v>105</v>
      </c>
      <c r="T15" s="1572" t="s">
        <v>11</v>
      </c>
      <c r="U15" s="1573">
        <f t="shared" si="1"/>
        <v>110</v>
      </c>
      <c r="V15" s="1572" t="s">
        <v>11</v>
      </c>
      <c r="W15" s="1573">
        <f t="shared" si="2"/>
        <v>110</v>
      </c>
      <c r="X15" s="1566"/>
      <c r="Y15" s="3770" t="s">
        <v>540</v>
      </c>
      <c r="Z15" s="1574" t="str">
        <f t="shared" si="7"/>
        <v>居住社区成熟度</v>
      </c>
      <c r="AA15" s="1575">
        <f t="shared" si="3"/>
        <v>0.95238095238095233</v>
      </c>
      <c r="AB15" s="1575">
        <f t="shared" si="4"/>
        <v>0.90909090909090906</v>
      </c>
      <c r="AC15" s="1575">
        <f t="shared" si="5"/>
        <v>0.90909090909090906</v>
      </c>
    </row>
    <row r="16" spans="1:29" ht="15">
      <c r="A16" s="531"/>
      <c r="B16" s="868"/>
      <c r="C16" s="575" t="s">
        <v>3030</v>
      </c>
      <c r="D16" s="554"/>
      <c r="E16" s="555" t="s">
        <v>3031</v>
      </c>
      <c r="F16" s="556"/>
      <c r="G16" s="557" t="s">
        <v>3035</v>
      </c>
      <c r="H16" s="558"/>
      <c r="I16" s="555" t="s">
        <v>3035</v>
      </c>
      <c r="J16" s="554"/>
      <c r="K16" s="869"/>
      <c r="L16" s="2142"/>
      <c r="M16" s="2134"/>
      <c r="N16" s="2134"/>
      <c r="O16" s="2141"/>
      <c r="P16" s="3771"/>
      <c r="Q16" s="1571"/>
      <c r="R16" s="1572"/>
      <c r="S16" s="1573"/>
      <c r="T16" s="1572"/>
      <c r="U16" s="1573"/>
      <c r="V16" s="1572"/>
      <c r="W16" s="1573"/>
      <c r="X16" s="1566"/>
      <c r="Y16" s="3771"/>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v>3</v>
      </c>
      <c r="L17" s="2142"/>
      <c r="M17" s="2134"/>
      <c r="N17" s="2134"/>
      <c r="O17" s="2141"/>
      <c r="P17" s="3771"/>
      <c r="Q17" s="1571" t="str">
        <f>B17</f>
        <v>交通便捷度</v>
      </c>
      <c r="R17" s="1572" t="s">
        <v>11</v>
      </c>
      <c r="S17" s="1573">
        <f>F17</f>
        <v>100</v>
      </c>
      <c r="T17" s="1572" t="s">
        <v>11</v>
      </c>
      <c r="U17" s="1573">
        <f>H17</f>
        <v>100</v>
      </c>
      <c r="V17" s="1572" t="s">
        <v>11</v>
      </c>
      <c r="W17" s="1573">
        <f>J17</f>
        <v>100</v>
      </c>
      <c r="X17" s="1566"/>
      <c r="Y17" s="3771"/>
      <c r="Z17" s="1574" t="str">
        <f>Q17</f>
        <v>交通便捷度</v>
      </c>
      <c r="AA17" s="1575">
        <f t="shared" si="3"/>
        <v>1</v>
      </c>
      <c r="AB17" s="1575">
        <f t="shared" si="4"/>
        <v>1</v>
      </c>
      <c r="AC17" s="1575">
        <f t="shared" si="5"/>
        <v>1</v>
      </c>
    </row>
    <row r="18" spans="1:29" ht="15">
      <c r="A18" s="531"/>
      <c r="B18" s="594"/>
      <c r="C18" s="872" t="s">
        <v>3031</v>
      </c>
      <c r="D18" s="558"/>
      <c r="E18" s="872" t="s">
        <v>3031</v>
      </c>
      <c r="F18" s="562"/>
      <c r="G18" s="872" t="s">
        <v>3031</v>
      </c>
      <c r="H18" s="554"/>
      <c r="I18" s="872" t="s">
        <v>3031</v>
      </c>
      <c r="J18" s="554"/>
      <c r="K18" s="869"/>
      <c r="L18" s="2142"/>
      <c r="M18" s="2134"/>
      <c r="N18" s="2134"/>
      <c r="O18" s="2141"/>
      <c r="P18" s="3771"/>
      <c r="Q18" s="1571"/>
      <c r="R18" s="1572"/>
      <c r="S18" s="1573"/>
      <c r="T18" s="1572"/>
      <c r="U18" s="1573"/>
      <c r="V18" s="1572"/>
      <c r="W18" s="1573"/>
      <c r="X18" s="1566"/>
      <c r="Y18" s="3771"/>
      <c r="Z18" s="1574"/>
      <c r="AA18" s="1575">
        <v>1</v>
      </c>
      <c r="AB18" s="1575">
        <v>1</v>
      </c>
      <c r="AC18" s="1575">
        <v>1</v>
      </c>
    </row>
    <row r="19" spans="1:29" ht="42.75">
      <c r="A19" s="531"/>
      <c r="B19" s="2624" t="s">
        <v>2544</v>
      </c>
      <c r="C19" s="871" t="str">
        <f>估价对象房地状况!C7</f>
        <v>估价对象所在区域公共配套设施齐备情况</v>
      </c>
      <c r="D19" s="564">
        <v>100</v>
      </c>
      <c r="E19" s="569"/>
      <c r="F19" s="570">
        <f>SUMIF(80:80,E20,81:81)-SUMIF(80:80,C20,81:81)+100</f>
        <v>105</v>
      </c>
      <c r="G19" s="571"/>
      <c r="H19" s="558">
        <f>SUMIF(80:80,G20,81:81)-SUMIF(80:80,C20,81:81)+100</f>
        <v>110</v>
      </c>
      <c r="I19" s="569"/>
      <c r="J19" s="558">
        <f>SUMIF(80:80,I20,81:81)-SUMIF(80:80,C20,81:81)+100</f>
        <v>110</v>
      </c>
      <c r="K19" s="867">
        <v>5</v>
      </c>
      <c r="L19" s="2142"/>
      <c r="M19" s="2134"/>
      <c r="N19" s="2134"/>
      <c r="O19" s="2141"/>
      <c r="P19" s="3771"/>
      <c r="Q19" s="1571" t="str">
        <f>B19</f>
        <v>公共配套设施</v>
      </c>
      <c r="R19" s="1572" t="s">
        <v>11</v>
      </c>
      <c r="S19" s="1573">
        <f>F19</f>
        <v>105</v>
      </c>
      <c r="T19" s="1572" t="s">
        <v>11</v>
      </c>
      <c r="U19" s="1573">
        <f>H19</f>
        <v>110</v>
      </c>
      <c r="V19" s="1572" t="s">
        <v>11</v>
      </c>
      <c r="W19" s="1573">
        <f>J19</f>
        <v>110</v>
      </c>
      <c r="X19" s="1566"/>
      <c r="Y19" s="3771"/>
      <c r="Z19" s="1574" t="str">
        <f>Q19</f>
        <v>公共配套设施</v>
      </c>
      <c r="AA19" s="1575">
        <f t="shared" si="3"/>
        <v>0.95238095238095233</v>
      </c>
      <c r="AB19" s="1575">
        <f t="shared" si="4"/>
        <v>0.90909090909090906</v>
      </c>
      <c r="AC19" s="1575">
        <f t="shared" si="5"/>
        <v>0.90909090909090906</v>
      </c>
    </row>
    <row r="20" spans="1:29" ht="15">
      <c r="A20" s="531"/>
      <c r="B20" s="594"/>
      <c r="C20" s="575" t="s">
        <v>3030</v>
      </c>
      <c r="D20" s="554"/>
      <c r="E20" s="555" t="s">
        <v>3031</v>
      </c>
      <c r="F20" s="556"/>
      <c r="G20" s="557" t="s">
        <v>3035</v>
      </c>
      <c r="H20" s="554"/>
      <c r="I20" s="555" t="s">
        <v>3035</v>
      </c>
      <c r="J20" s="554"/>
      <c r="K20" s="869"/>
      <c r="L20" s="2142"/>
      <c r="M20" s="2134"/>
      <c r="N20" s="2134"/>
      <c r="O20" s="2141"/>
      <c r="P20" s="3771"/>
      <c r="Q20" s="1571"/>
      <c r="R20" s="1572"/>
      <c r="S20" s="1573"/>
      <c r="T20" s="1572"/>
      <c r="U20" s="1573"/>
      <c r="V20" s="1572"/>
      <c r="W20" s="1573"/>
      <c r="X20" s="1566"/>
      <c r="Y20" s="3771"/>
      <c r="Z20" s="1574"/>
      <c r="AA20" s="1575">
        <v>1</v>
      </c>
      <c r="AB20" s="1575">
        <v>1</v>
      </c>
      <c r="AC20" s="1575">
        <v>1</v>
      </c>
    </row>
    <row r="21" spans="1:29" ht="28.5">
      <c r="A21" s="531"/>
      <c r="B21" s="2617"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42"/>
      <c r="M21" s="2134"/>
      <c r="N21" s="2134"/>
      <c r="O21" s="2141"/>
      <c r="P21" s="3771"/>
      <c r="Q21" s="2603" t="str">
        <f>B21</f>
        <v>基础设施水平</v>
      </c>
      <c r="R21" s="1572" t="s">
        <v>11</v>
      </c>
      <c r="S21" s="1573">
        <f>F21</f>
        <v>100</v>
      </c>
      <c r="T21" s="1572" t="s">
        <v>11</v>
      </c>
      <c r="U21" s="1573">
        <f>H21</f>
        <v>100</v>
      </c>
      <c r="V21" s="1572" t="s">
        <v>11</v>
      </c>
      <c r="W21" s="1573">
        <f>J21</f>
        <v>100</v>
      </c>
      <c r="X21" s="2605"/>
      <c r="Y21" s="3771"/>
      <c r="Z21" s="2604" t="str">
        <f>Q21</f>
        <v>基础设施水平</v>
      </c>
      <c r="AA21" s="1575">
        <f t="shared" ref="AA21" si="8">D21/F21</f>
        <v>1</v>
      </c>
      <c r="AB21" s="1575">
        <f t="shared" ref="AB21" si="9">D21/H21</f>
        <v>1</v>
      </c>
      <c r="AC21" s="1575">
        <f t="shared" ref="AC21" si="10">D21/J21</f>
        <v>1</v>
      </c>
    </row>
    <row r="22" spans="1:29" ht="15">
      <c r="A22" s="531"/>
      <c r="B22" s="920"/>
      <c r="C22" s="872" t="s">
        <v>3039</v>
      </c>
      <c r="D22" s="554"/>
      <c r="E22" s="872" t="s">
        <v>3039</v>
      </c>
      <c r="F22" s="556"/>
      <c r="G22" s="872" t="s">
        <v>3039</v>
      </c>
      <c r="H22" s="554"/>
      <c r="I22" s="872" t="s">
        <v>3039</v>
      </c>
      <c r="J22" s="554"/>
      <c r="K22" s="2623"/>
      <c r="L22" s="2142"/>
      <c r="M22" s="2134"/>
      <c r="N22" s="2134"/>
      <c r="O22" s="2141"/>
      <c r="P22" s="3771"/>
      <c r="Q22" s="2603"/>
      <c r="R22" s="1572"/>
      <c r="S22" s="1573"/>
      <c r="T22" s="1572"/>
      <c r="U22" s="1573"/>
      <c r="V22" s="1572"/>
      <c r="W22" s="1573"/>
      <c r="X22" s="2605"/>
      <c r="Y22" s="3771"/>
      <c r="Z22" s="2604"/>
      <c r="AA22" s="1575">
        <v>1</v>
      </c>
      <c r="AB22" s="1575">
        <v>1</v>
      </c>
      <c r="AC22" s="1575">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v>3</v>
      </c>
      <c r="L23" s="2142"/>
      <c r="M23" s="2134"/>
      <c r="N23" s="2134"/>
      <c r="O23" s="2141"/>
      <c r="P23" s="3771"/>
      <c r="Q23" s="1571" t="str">
        <f>B23</f>
        <v>自然及人文环境</v>
      </c>
      <c r="R23" s="1572" t="s">
        <v>11</v>
      </c>
      <c r="S23" s="1573">
        <f>F23</f>
        <v>100</v>
      </c>
      <c r="T23" s="1572" t="s">
        <v>11</v>
      </c>
      <c r="U23" s="1573">
        <f>H23</f>
        <v>100</v>
      </c>
      <c r="V23" s="1572" t="s">
        <v>11</v>
      </c>
      <c r="W23" s="1573">
        <f>J23</f>
        <v>100</v>
      </c>
      <c r="X23" s="1566"/>
      <c r="Y23" s="3771"/>
      <c r="Z23" s="1574" t="str">
        <f>Q23</f>
        <v>自然及人文环境</v>
      </c>
      <c r="AA23" s="1575">
        <f t="shared" si="3"/>
        <v>1</v>
      </c>
      <c r="AB23" s="1575">
        <f t="shared" si="4"/>
        <v>1</v>
      </c>
      <c r="AC23" s="1575">
        <f t="shared" si="5"/>
        <v>1</v>
      </c>
    </row>
    <row r="24" spans="1:29" ht="15.75" thickBot="1">
      <c r="A24" s="531"/>
      <c r="B24" s="594"/>
      <c r="C24" s="575" t="s">
        <v>3031</v>
      </c>
      <c r="D24" s="554"/>
      <c r="E24" s="575" t="s">
        <v>3031</v>
      </c>
      <c r="F24" s="556"/>
      <c r="G24" s="575" t="s">
        <v>3031</v>
      </c>
      <c r="H24" s="554"/>
      <c r="I24" s="575" t="s">
        <v>3031</v>
      </c>
      <c r="J24" s="554"/>
      <c r="K24" s="869"/>
      <c r="L24" s="2142"/>
      <c r="M24" s="2134"/>
      <c r="N24" s="2134"/>
      <c r="O24" s="2141"/>
      <c r="P24" s="3771"/>
      <c r="Q24" s="1571"/>
      <c r="R24" s="1572"/>
      <c r="S24" s="1573"/>
      <c r="T24" s="1572"/>
      <c r="U24" s="1573"/>
      <c r="V24" s="1572"/>
      <c r="W24" s="1573"/>
      <c r="X24" s="1566"/>
      <c r="Y24" s="3771"/>
      <c r="Z24" s="1574"/>
      <c r="AA24" s="1575">
        <v>1</v>
      </c>
      <c r="AB24" s="1575">
        <v>1</v>
      </c>
      <c r="AC24" s="1575">
        <v>1</v>
      </c>
    </row>
    <row r="25" spans="1:29" ht="15" hidden="1">
      <c r="A25" s="531"/>
      <c r="B25" s="1895" t="s">
        <v>2255</v>
      </c>
      <c r="C25" s="573"/>
      <c r="D25" s="539">
        <v>100</v>
      </c>
      <c r="E25" s="873"/>
      <c r="F25" s="574">
        <f>SUMIF(86:86,E25,87:87)-SUMIF(86:86,C25,87:87)+100</f>
        <v>100</v>
      </c>
      <c r="G25" s="598"/>
      <c r="H25" s="539">
        <f>SUMIF(86:86,G25,87:87)-SUMIF(86:86,C25,87:87)+100</f>
        <v>100</v>
      </c>
      <c r="I25" s="873"/>
      <c r="J25" s="539">
        <f>SUMIF(86:86,I25,87:87)-SUMIF(86:86,C25,87:87)+100</f>
        <v>100</v>
      </c>
      <c r="K25" s="863"/>
      <c r="L25" s="2142"/>
      <c r="M25" s="2134"/>
      <c r="N25" s="2134"/>
      <c r="O25" s="2141"/>
      <c r="P25" s="3771"/>
      <c r="Q25" s="1571" t="str">
        <f t="shared" ref="Q25:Q46" si="11">B25</f>
        <v>楼层-1</v>
      </c>
      <c r="R25" s="1572" t="s">
        <v>11</v>
      </c>
      <c r="S25" s="1573">
        <f>F25</f>
        <v>100</v>
      </c>
      <c r="T25" s="1572" t="s">
        <v>11</v>
      </c>
      <c r="U25" s="1573">
        <f>H25</f>
        <v>100</v>
      </c>
      <c r="V25" s="1572" t="s">
        <v>11</v>
      </c>
      <c r="W25" s="1573">
        <f>J25</f>
        <v>100</v>
      </c>
      <c r="X25" s="1566"/>
      <c r="Y25" s="3771"/>
      <c r="Z25" s="1574" t="str">
        <f>Q25</f>
        <v>楼层-1</v>
      </c>
      <c r="AA25" s="1575">
        <f t="shared" si="3"/>
        <v>1</v>
      </c>
      <c r="AB25" s="1575">
        <f t="shared" si="4"/>
        <v>1</v>
      </c>
      <c r="AC25" s="1575">
        <f t="shared" si="5"/>
        <v>1</v>
      </c>
    </row>
    <row r="26" spans="1:29" ht="15.75" hidden="1" thickBot="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2"/>
      <c r="M26" s="2134"/>
      <c r="N26" s="2134"/>
      <c r="O26" s="2141"/>
      <c r="P26" s="3771"/>
      <c r="Q26" s="1571" t="str">
        <f t="shared" si="11"/>
        <v>朝向</v>
      </c>
      <c r="R26" s="1572" t="s">
        <v>11</v>
      </c>
      <c r="S26" s="1573">
        <f>F26</f>
        <v>100</v>
      </c>
      <c r="T26" s="1572" t="s">
        <v>11</v>
      </c>
      <c r="U26" s="1573">
        <f>H26</f>
        <v>100</v>
      </c>
      <c r="V26" s="1572" t="s">
        <v>11</v>
      </c>
      <c r="W26" s="1573">
        <f>J26</f>
        <v>100</v>
      </c>
      <c r="X26" s="1566"/>
      <c r="Y26" s="3771"/>
      <c r="Z26" s="1574" t="str">
        <f>Q26</f>
        <v>朝向</v>
      </c>
      <c r="AA26" s="1575">
        <f t="shared" si="3"/>
        <v>1</v>
      </c>
      <c r="AB26" s="1575">
        <f t="shared" si="4"/>
        <v>1</v>
      </c>
      <c r="AC26" s="1575">
        <f t="shared" si="5"/>
        <v>1</v>
      </c>
    </row>
    <row r="27" spans="1:29" s="1218" customFormat="1" ht="15" hidden="1">
      <c r="A27" s="535"/>
      <c r="B27" s="536"/>
      <c r="C27" s="527"/>
      <c r="D27" s="874">
        <v>100</v>
      </c>
      <c r="E27" s="529"/>
      <c r="F27" s="875">
        <f>SUMIF(90:90,E27,91:91)-SUMIF(90:90,C27,91:91)+100</f>
        <v>100</v>
      </c>
      <c r="G27" s="528"/>
      <c r="H27" s="874">
        <f>SUMIF(90:90,G27,91:91)-SUMIF(90:90,C27,91:91)+100</f>
        <v>100</v>
      </c>
      <c r="I27" s="529"/>
      <c r="J27" s="874">
        <f>SUMIF(90:90,I27,91:91)-SUMIF(90:90,C27,91:91)+100</f>
        <v>100</v>
      </c>
      <c r="K27" s="864"/>
      <c r="L27" s="2135"/>
      <c r="M27" s="2136"/>
      <c r="N27" s="2136"/>
      <c r="O27" s="2137"/>
      <c r="P27" s="3771"/>
      <c r="Q27" s="1149">
        <f t="shared" si="11"/>
        <v>0</v>
      </c>
      <c r="R27" s="1567" t="s">
        <v>11</v>
      </c>
      <c r="S27" s="1568">
        <f>F27</f>
        <v>100</v>
      </c>
      <c r="T27" s="1567" t="s">
        <v>11</v>
      </c>
      <c r="U27" s="1568">
        <f>H27</f>
        <v>100</v>
      </c>
      <c r="V27" s="1567" t="s">
        <v>11</v>
      </c>
      <c r="W27" s="1568">
        <f>J27</f>
        <v>100</v>
      </c>
      <c r="X27" s="1569"/>
      <c r="Y27" s="3771"/>
      <c r="Z27" s="1148">
        <f>Q27</f>
        <v>0</v>
      </c>
      <c r="AA27" s="1575">
        <f>D27/F27</f>
        <v>1</v>
      </c>
      <c r="AB27" s="1575">
        <f>D27/H27</f>
        <v>1</v>
      </c>
      <c r="AC27" s="1575">
        <f>D27/J27</f>
        <v>1</v>
      </c>
    </row>
    <row r="28" spans="1:29" ht="15" hidden="1">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771"/>
      <c r="Q28" s="1571">
        <f t="shared" si="11"/>
        <v>0</v>
      </c>
      <c r="R28" s="1572" t="s">
        <v>11</v>
      </c>
      <c r="S28" s="1573">
        <f t="shared" ref="S28:S46" si="12">F28</f>
        <v>100</v>
      </c>
      <c r="T28" s="1572" t="s">
        <v>11</v>
      </c>
      <c r="U28" s="1573">
        <f t="shared" ref="U28:U46" si="13">H28</f>
        <v>100</v>
      </c>
      <c r="V28" s="1572" t="s">
        <v>11</v>
      </c>
      <c r="W28" s="1573">
        <f t="shared" ref="W28:W46" si="14">J28</f>
        <v>100</v>
      </c>
      <c r="X28" s="1566"/>
      <c r="Y28" s="3771"/>
      <c r="Z28" s="1574">
        <f t="shared" ref="Z28:Z46" si="15">Q28</f>
        <v>0</v>
      </c>
      <c r="AA28" s="1575">
        <f t="shared" si="3"/>
        <v>1</v>
      </c>
      <c r="AB28" s="1575">
        <f t="shared" si="4"/>
        <v>1</v>
      </c>
      <c r="AC28" s="1575">
        <f t="shared" si="5"/>
        <v>1</v>
      </c>
    </row>
    <row r="29" spans="1:29" ht="15" hidden="1">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771"/>
      <c r="Q29" s="1571">
        <f t="shared" si="11"/>
        <v>0</v>
      </c>
      <c r="R29" s="1572" t="s">
        <v>11</v>
      </c>
      <c r="S29" s="1573">
        <f t="shared" si="12"/>
        <v>100</v>
      </c>
      <c r="T29" s="1572" t="s">
        <v>11</v>
      </c>
      <c r="U29" s="1573">
        <f t="shared" si="13"/>
        <v>100</v>
      </c>
      <c r="V29" s="1572" t="s">
        <v>11</v>
      </c>
      <c r="W29" s="1573">
        <f t="shared" si="14"/>
        <v>100</v>
      </c>
      <c r="X29" s="1566"/>
      <c r="Y29" s="3771"/>
      <c r="Z29" s="1574">
        <f t="shared" si="15"/>
        <v>0</v>
      </c>
      <c r="AA29" s="1575">
        <f t="shared" si="3"/>
        <v>1</v>
      </c>
      <c r="AB29" s="1575">
        <f t="shared" si="4"/>
        <v>1</v>
      </c>
      <c r="AC29" s="1575">
        <f t="shared" si="5"/>
        <v>1</v>
      </c>
    </row>
    <row r="30" spans="1:29" ht="15" hidden="1">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771"/>
      <c r="Q30" s="1571">
        <f t="shared" si="11"/>
        <v>0</v>
      </c>
      <c r="R30" s="1572" t="s">
        <v>11</v>
      </c>
      <c r="S30" s="1573">
        <f t="shared" si="12"/>
        <v>100</v>
      </c>
      <c r="T30" s="1572" t="s">
        <v>11</v>
      </c>
      <c r="U30" s="1573">
        <f t="shared" si="13"/>
        <v>100</v>
      </c>
      <c r="V30" s="1572" t="s">
        <v>11</v>
      </c>
      <c r="W30" s="1573">
        <f t="shared" si="14"/>
        <v>100</v>
      </c>
      <c r="X30" s="1566"/>
      <c r="Y30" s="3771"/>
      <c r="Z30" s="1574">
        <f t="shared" si="15"/>
        <v>0</v>
      </c>
      <c r="AA30" s="1575">
        <f t="shared" si="3"/>
        <v>1</v>
      </c>
      <c r="AB30" s="1575">
        <f t="shared" si="4"/>
        <v>1</v>
      </c>
      <c r="AC30" s="1575">
        <f t="shared" si="5"/>
        <v>1</v>
      </c>
    </row>
    <row r="31" spans="1:29" ht="15.75" hidden="1"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771"/>
      <c r="Q31" s="1571">
        <f t="shared" si="11"/>
        <v>0</v>
      </c>
      <c r="R31" s="1572" t="s">
        <v>11</v>
      </c>
      <c r="S31" s="1573">
        <f t="shared" si="12"/>
        <v>100</v>
      </c>
      <c r="T31" s="1572" t="s">
        <v>11</v>
      </c>
      <c r="U31" s="1573">
        <f t="shared" si="13"/>
        <v>100</v>
      </c>
      <c r="V31" s="1572" t="s">
        <v>11</v>
      </c>
      <c r="W31" s="1573">
        <f t="shared" si="14"/>
        <v>100</v>
      </c>
      <c r="X31" s="1566"/>
      <c r="Y31" s="3771"/>
      <c r="Z31" s="1574">
        <f t="shared" si="15"/>
        <v>0</v>
      </c>
      <c r="AA31" s="1575">
        <f t="shared" si="3"/>
        <v>1</v>
      </c>
      <c r="AB31" s="1575">
        <f t="shared" si="4"/>
        <v>1</v>
      </c>
      <c r="AC31" s="1575">
        <f t="shared" si="5"/>
        <v>1</v>
      </c>
    </row>
    <row r="32" spans="1:29" ht="15">
      <c r="A32" s="2931" t="s">
        <v>2753</v>
      </c>
      <c r="B32" s="172" t="s">
        <v>724</v>
      </c>
      <c r="C32" s="877" t="s">
        <v>3359</v>
      </c>
      <c r="D32" s="596">
        <v>100</v>
      </c>
      <c r="E32" s="877" t="s">
        <v>3359</v>
      </c>
      <c r="F32" s="574">
        <f>SUMIF(100:100,E32,101:101)-SUMIF(100:100,C32,101:101)+100</f>
        <v>100</v>
      </c>
      <c r="G32" s="877" t="s">
        <v>3359</v>
      </c>
      <c r="H32" s="596">
        <f>SUMIF(100:100,G32,101:101)-SUMIF(100:100,C32,101:101)+100</f>
        <v>100</v>
      </c>
      <c r="I32" s="877" t="s">
        <v>3359</v>
      </c>
      <c r="J32" s="539">
        <f>SUMIF(100:100,I32,101:101)-SUMIF(100:100,C32,101:101)+100</f>
        <v>100</v>
      </c>
      <c r="K32" s="863">
        <v>10</v>
      </c>
      <c r="L32" s="2142"/>
      <c r="M32" s="2134"/>
      <c r="N32" s="2134"/>
      <c r="O32" s="2141"/>
      <c r="P32" s="3772" t="s">
        <v>550</v>
      </c>
      <c r="Q32" s="1571" t="str">
        <f t="shared" si="11"/>
        <v>建筑类型</v>
      </c>
      <c r="R32" s="1572" t="s">
        <v>11</v>
      </c>
      <c r="S32" s="1573">
        <f t="shared" si="12"/>
        <v>100</v>
      </c>
      <c r="T32" s="1572" t="s">
        <v>11</v>
      </c>
      <c r="U32" s="1573">
        <f t="shared" si="13"/>
        <v>100</v>
      </c>
      <c r="V32" s="1572" t="s">
        <v>11</v>
      </c>
      <c r="W32" s="1573">
        <f t="shared" si="14"/>
        <v>100</v>
      </c>
      <c r="X32" s="1566"/>
      <c r="Y32" s="3773" t="s">
        <v>550</v>
      </c>
      <c r="Z32" s="1574" t="str">
        <f t="shared" si="15"/>
        <v>建筑类型</v>
      </c>
      <c r="AA32" s="1575">
        <f t="shared" si="3"/>
        <v>1</v>
      </c>
      <c r="AB32" s="1575">
        <f t="shared" si="4"/>
        <v>1</v>
      </c>
      <c r="AC32" s="1575">
        <f t="shared" si="5"/>
        <v>1</v>
      </c>
    </row>
    <row r="33" spans="1:29" s="1337" customFormat="1" ht="15">
      <c r="A33" s="602"/>
      <c r="B33" s="526" t="s">
        <v>725</v>
      </c>
      <c r="C33" s="878">
        <f>'数据-汇总表'!E3</f>
        <v>114432</v>
      </c>
      <c r="D33" s="254">
        <v>100</v>
      </c>
      <c r="E33" s="878"/>
      <c r="F33" s="862">
        <f>LOOKUP(E33,103:103,104:104)-LOOKUP(C33,103:103,104:104)+100</f>
        <v>100</v>
      </c>
      <c r="G33" s="878"/>
      <c r="H33" s="254">
        <f>LOOKUP(G33,103:103,104:104)-LOOKUP(C33,103:103,104:104)+100</f>
        <v>100</v>
      </c>
      <c r="I33" s="878"/>
      <c r="J33" s="254">
        <f>LOOKUP(I33,103:103,104:104)-LOOKUP(C33,103:103,104:104)+100</f>
        <v>100</v>
      </c>
      <c r="K33" s="864"/>
      <c r="L33" s="2140"/>
      <c r="M33" s="2171"/>
      <c r="N33" s="2171"/>
      <c r="O33" s="2143"/>
      <c r="P33" s="3773"/>
      <c r="Q33" s="1604" t="str">
        <f t="shared" si="11"/>
        <v>项目建筑规模</v>
      </c>
      <c r="R33" s="1576" t="s">
        <v>11</v>
      </c>
      <c r="S33" s="1577">
        <f t="shared" si="12"/>
        <v>100</v>
      </c>
      <c r="T33" s="1576" t="s">
        <v>11</v>
      </c>
      <c r="U33" s="1577">
        <f t="shared" si="13"/>
        <v>100</v>
      </c>
      <c r="V33" s="1576" t="s">
        <v>11</v>
      </c>
      <c r="W33" s="1577">
        <f t="shared" si="14"/>
        <v>100</v>
      </c>
      <c r="X33" s="1578"/>
      <c r="Y33" s="3773"/>
      <c r="Z33" s="1579" t="str">
        <f t="shared" si="15"/>
        <v>项目建筑规模</v>
      </c>
      <c r="AA33" s="1575">
        <f t="shared" si="3"/>
        <v>1</v>
      </c>
      <c r="AB33" s="1575">
        <f t="shared" si="4"/>
        <v>1</v>
      </c>
      <c r="AC33" s="1575">
        <f t="shared" si="5"/>
        <v>1</v>
      </c>
    </row>
    <row r="34" spans="1:29" ht="15">
      <c r="A34" s="593"/>
      <c r="B34" s="526" t="s">
        <v>726</v>
      </c>
      <c r="C34" s="879" t="s">
        <v>2983</v>
      </c>
      <c r="D34" s="539">
        <v>100</v>
      </c>
      <c r="E34" s="879" t="s">
        <v>2983</v>
      </c>
      <c r="F34" s="574">
        <f>SUMIF(105:105,E34,106:106)-SUMIF(105:105,C34,106:106)+100</f>
        <v>100</v>
      </c>
      <c r="G34" s="879" t="s">
        <v>2983</v>
      </c>
      <c r="H34" s="539">
        <f>SUMIF(105:105,G34,106:106)-SUMIF(105:105,C34,106:106)+100</f>
        <v>100</v>
      </c>
      <c r="I34" s="879" t="s">
        <v>2983</v>
      </c>
      <c r="J34" s="539">
        <f>SUMIF(105:105,I34,106:106)-SUMIF(105:105,C34,106:106)+100</f>
        <v>100</v>
      </c>
      <c r="K34" s="863">
        <v>2</v>
      </c>
      <c r="L34" s="2142"/>
      <c r="M34" s="2134"/>
      <c r="N34" s="2134"/>
      <c r="O34" s="2141"/>
      <c r="P34" s="3773"/>
      <c r="Q34" s="1571" t="str">
        <f t="shared" si="11"/>
        <v>建筑结构</v>
      </c>
      <c r="R34" s="1572" t="s">
        <v>11</v>
      </c>
      <c r="S34" s="1573">
        <f t="shared" si="12"/>
        <v>100</v>
      </c>
      <c r="T34" s="1572" t="s">
        <v>11</v>
      </c>
      <c r="U34" s="1573">
        <f t="shared" si="13"/>
        <v>100</v>
      </c>
      <c r="V34" s="1572" t="s">
        <v>11</v>
      </c>
      <c r="W34" s="1573">
        <f t="shared" si="14"/>
        <v>100</v>
      </c>
      <c r="X34" s="1566"/>
      <c r="Y34" s="3773"/>
      <c r="Z34" s="1574" t="str">
        <f t="shared" si="15"/>
        <v>建筑结构</v>
      </c>
      <c r="AA34" s="1575">
        <f t="shared" si="3"/>
        <v>1</v>
      </c>
      <c r="AB34" s="1575">
        <f t="shared" si="4"/>
        <v>1</v>
      </c>
      <c r="AC34" s="1575">
        <f t="shared" si="5"/>
        <v>1</v>
      </c>
    </row>
    <row r="35" spans="1:29" ht="15">
      <c r="A35" s="593"/>
      <c r="B35" s="526" t="s">
        <v>727</v>
      </c>
      <c r="C35" s="598" t="s">
        <v>3362</v>
      </c>
      <c r="D35" s="539">
        <v>100</v>
      </c>
      <c r="E35" s="598" t="s">
        <v>3362</v>
      </c>
      <c r="F35" s="574">
        <f>SUMIF(107:107,E35,108:108)-SUMIF(107:107,C35,108:108)+100</f>
        <v>100</v>
      </c>
      <c r="G35" s="598" t="s">
        <v>3362</v>
      </c>
      <c r="H35" s="539">
        <f>SUMIF(107:107,G35,108:108)-SUMIF(107:107,C35,108:108)+100</f>
        <v>100</v>
      </c>
      <c r="I35" s="598" t="s">
        <v>3362</v>
      </c>
      <c r="J35" s="539">
        <f>SUMIF(107:107,I35,108:108)-SUMIF(107:107,C35,108:108)+100</f>
        <v>100</v>
      </c>
      <c r="K35" s="863">
        <v>2</v>
      </c>
      <c r="L35" s="2142"/>
      <c r="M35" s="2134"/>
      <c r="N35" s="2134"/>
      <c r="O35" s="2141"/>
      <c r="P35" s="3773"/>
      <c r="Q35" s="1571" t="str">
        <f t="shared" si="11"/>
        <v>建筑品质</v>
      </c>
      <c r="R35" s="1572" t="s">
        <v>11</v>
      </c>
      <c r="S35" s="1573">
        <f t="shared" si="12"/>
        <v>100</v>
      </c>
      <c r="T35" s="1572" t="s">
        <v>11</v>
      </c>
      <c r="U35" s="1573">
        <f t="shared" si="13"/>
        <v>100</v>
      </c>
      <c r="V35" s="1572" t="s">
        <v>11</v>
      </c>
      <c r="W35" s="1573">
        <f t="shared" si="14"/>
        <v>100</v>
      </c>
      <c r="X35" s="1566"/>
      <c r="Y35" s="3773"/>
      <c r="Z35" s="1574" t="str">
        <f t="shared" si="15"/>
        <v>建筑品质</v>
      </c>
      <c r="AA35" s="1575">
        <f t="shared" si="3"/>
        <v>1</v>
      </c>
      <c r="AB35" s="1575">
        <f t="shared" si="4"/>
        <v>1</v>
      </c>
      <c r="AC35" s="1575">
        <f t="shared" si="5"/>
        <v>1</v>
      </c>
    </row>
    <row r="36" spans="1:29" ht="15">
      <c r="A36" s="593"/>
      <c r="B36" s="526" t="s">
        <v>728</v>
      </c>
      <c r="C36" s="598" t="s">
        <v>3364</v>
      </c>
      <c r="D36" s="539">
        <v>100</v>
      </c>
      <c r="E36" s="598" t="s">
        <v>3364</v>
      </c>
      <c r="F36" s="574">
        <f>SUMIF(109:109,E36,110:110)-SUMIF(109:109,C36,110:110)+100</f>
        <v>100</v>
      </c>
      <c r="G36" s="598" t="s">
        <v>3364</v>
      </c>
      <c r="H36" s="539">
        <f>SUMIF(109:109,G36,110:110)-SUMIF(109:109,C36,110:110)+100</f>
        <v>100</v>
      </c>
      <c r="I36" s="598" t="s">
        <v>3364</v>
      </c>
      <c r="J36" s="539">
        <f>SUMIF(109:109,I36,110:110)-SUMIF(109:109,C36,110:110)+100</f>
        <v>100</v>
      </c>
      <c r="K36" s="863">
        <v>2</v>
      </c>
      <c r="L36" s="2142"/>
      <c r="M36" s="2134"/>
      <c r="N36" s="2134"/>
      <c r="O36" s="2141"/>
      <c r="P36" s="3773"/>
      <c r="Q36" s="1571" t="str">
        <f t="shared" si="11"/>
        <v>公共部分装修</v>
      </c>
      <c r="R36" s="1572" t="s">
        <v>11</v>
      </c>
      <c r="S36" s="1573">
        <f t="shared" si="12"/>
        <v>100</v>
      </c>
      <c r="T36" s="1572" t="s">
        <v>11</v>
      </c>
      <c r="U36" s="1573">
        <f t="shared" si="13"/>
        <v>100</v>
      </c>
      <c r="V36" s="1572" t="s">
        <v>11</v>
      </c>
      <c r="W36" s="1573">
        <f t="shared" si="14"/>
        <v>100</v>
      </c>
      <c r="X36" s="1566"/>
      <c r="Y36" s="3773"/>
      <c r="Z36" s="1574" t="str">
        <f t="shared" si="15"/>
        <v>公共部分装修</v>
      </c>
      <c r="AA36" s="1575">
        <f t="shared" si="3"/>
        <v>1</v>
      </c>
      <c r="AB36" s="1575">
        <f t="shared" si="4"/>
        <v>1</v>
      </c>
      <c r="AC36" s="1575">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5"/>
      <c r="M37" s="2136"/>
      <c r="N37" s="2136"/>
      <c r="O37" s="2137"/>
      <c r="P37" s="3773"/>
      <c r="Q37" s="1149" t="str">
        <f t="shared" si="11"/>
        <v>成新度</v>
      </c>
      <c r="R37" s="1567" t="s">
        <v>11</v>
      </c>
      <c r="S37" s="1568">
        <f t="shared" si="12"/>
        <v>100</v>
      </c>
      <c r="T37" s="1567" t="s">
        <v>11</v>
      </c>
      <c r="U37" s="1568">
        <f t="shared" si="13"/>
        <v>100</v>
      </c>
      <c r="V37" s="1567" t="s">
        <v>11</v>
      </c>
      <c r="W37" s="1568">
        <f t="shared" si="14"/>
        <v>100</v>
      </c>
      <c r="X37" s="1569"/>
      <c r="Y37" s="3773"/>
      <c r="Z37" s="1148" t="str">
        <f t="shared" si="15"/>
        <v>成新度</v>
      </c>
      <c r="AA37" s="1570">
        <f t="shared" si="3"/>
        <v>1</v>
      </c>
      <c r="AB37" s="1570">
        <f t="shared" si="4"/>
        <v>1</v>
      </c>
      <c r="AC37" s="1570">
        <f t="shared" si="5"/>
        <v>1</v>
      </c>
    </row>
    <row r="38" spans="1:29" ht="15">
      <c r="A38" s="593"/>
      <c r="B38" s="526" t="s">
        <v>730</v>
      </c>
      <c r="C38" s="598" t="s">
        <v>3366</v>
      </c>
      <c r="D38" s="539">
        <v>100</v>
      </c>
      <c r="E38" s="598" t="s">
        <v>3366</v>
      </c>
      <c r="F38" s="574">
        <f>SUMIF(114:114,E38,115:115)-SUMIF(114:114,C38,115:115)+100</f>
        <v>100</v>
      </c>
      <c r="G38" s="598" t="s">
        <v>3366</v>
      </c>
      <c r="H38" s="539">
        <f>SUMIF(114:114,G38,115:115)-SUMIF(114:114,C38,115:115)+100</f>
        <v>100</v>
      </c>
      <c r="I38" s="598" t="s">
        <v>3366</v>
      </c>
      <c r="J38" s="539">
        <f>SUMIF(114:114,I38,115:115)-SUMIF(114:114,C38,115:115)+100</f>
        <v>100</v>
      </c>
      <c r="K38" s="863">
        <v>2</v>
      </c>
      <c r="L38" s="2142"/>
      <c r="M38" s="2134"/>
      <c r="N38" s="2134"/>
      <c r="O38" s="2141"/>
      <c r="P38" s="3773" t="s">
        <v>550</v>
      </c>
      <c r="Q38" s="1571" t="str">
        <f t="shared" si="11"/>
        <v>物业管理</v>
      </c>
      <c r="R38" s="1572" t="s">
        <v>11</v>
      </c>
      <c r="S38" s="1573">
        <f t="shared" si="12"/>
        <v>100</v>
      </c>
      <c r="T38" s="1572" t="s">
        <v>11</v>
      </c>
      <c r="U38" s="1573">
        <f t="shared" si="13"/>
        <v>100</v>
      </c>
      <c r="V38" s="1572" t="s">
        <v>11</v>
      </c>
      <c r="W38" s="1573">
        <f t="shared" si="14"/>
        <v>100</v>
      </c>
      <c r="X38" s="1566"/>
      <c r="Y38" s="3773" t="s">
        <v>550</v>
      </c>
      <c r="Z38" s="1574" t="str">
        <f t="shared" si="15"/>
        <v>物业管理</v>
      </c>
      <c r="AA38" s="1575">
        <f t="shared" si="3"/>
        <v>1</v>
      </c>
      <c r="AB38" s="1575">
        <f t="shared" si="4"/>
        <v>1</v>
      </c>
      <c r="AC38" s="1575">
        <f t="shared" si="5"/>
        <v>1</v>
      </c>
    </row>
    <row r="39" spans="1:29" ht="15">
      <c r="A39" s="593"/>
      <c r="B39" s="1895" t="s">
        <v>2562</v>
      </c>
      <c r="C39" s="598" t="s">
        <v>3039</v>
      </c>
      <c r="D39" s="539">
        <v>100</v>
      </c>
      <c r="E39" s="598" t="s">
        <v>3039</v>
      </c>
      <c r="F39" s="574">
        <f>SUMIF(116:116,E39,117:117)-SUMIF(116:116,C39,117:117)+100</f>
        <v>100</v>
      </c>
      <c r="G39" s="598" t="s">
        <v>3039</v>
      </c>
      <c r="H39" s="539">
        <f>SUMIF(116:116,G39,117:117)-SUMIF(116:116,C39,117:117)+100</f>
        <v>100</v>
      </c>
      <c r="I39" s="598" t="s">
        <v>3039</v>
      </c>
      <c r="J39" s="539">
        <f>SUMIF(116:116,I39,117:117)-SUMIF(116:116,C39,117:117)+100</f>
        <v>100</v>
      </c>
      <c r="K39" s="863">
        <v>2</v>
      </c>
      <c r="L39" s="2142"/>
      <c r="M39" s="2134"/>
      <c r="N39" s="2134"/>
      <c r="O39" s="2141"/>
      <c r="P39" s="3773"/>
      <c r="Q39" s="1571" t="str">
        <f t="shared" si="11"/>
        <v>市政基础设施</v>
      </c>
      <c r="R39" s="1572" t="s">
        <v>11</v>
      </c>
      <c r="S39" s="1573">
        <f t="shared" si="12"/>
        <v>100</v>
      </c>
      <c r="T39" s="1572" t="s">
        <v>11</v>
      </c>
      <c r="U39" s="1573">
        <f t="shared" si="13"/>
        <v>100</v>
      </c>
      <c r="V39" s="1572" t="s">
        <v>11</v>
      </c>
      <c r="W39" s="1573">
        <f t="shared" si="14"/>
        <v>100</v>
      </c>
      <c r="X39" s="1566"/>
      <c r="Y39" s="3773"/>
      <c r="Z39" s="1574" t="str">
        <f t="shared" si="15"/>
        <v>市政基础设施</v>
      </c>
      <c r="AA39" s="1575">
        <f t="shared" si="3"/>
        <v>1</v>
      </c>
      <c r="AB39" s="1575">
        <f t="shared" si="4"/>
        <v>1</v>
      </c>
      <c r="AC39" s="1575">
        <f t="shared" si="5"/>
        <v>1</v>
      </c>
    </row>
    <row r="40" spans="1:29" ht="15">
      <c r="A40" s="593"/>
      <c r="B40" s="526" t="s">
        <v>731</v>
      </c>
      <c r="C40" s="598" t="s">
        <v>3369</v>
      </c>
      <c r="D40" s="539">
        <v>100</v>
      </c>
      <c r="E40" s="598" t="s">
        <v>3369</v>
      </c>
      <c r="F40" s="574">
        <f>SUMIF(118:118,E40,119:119)-SUMIF(118:118,C40,119:119)+100</f>
        <v>100</v>
      </c>
      <c r="G40" s="598" t="s">
        <v>3369</v>
      </c>
      <c r="H40" s="539">
        <f>SUMIF(118:118,G40,119:119)-SUMIF(118:118,C40,119:119)+100</f>
        <v>100</v>
      </c>
      <c r="I40" s="598" t="s">
        <v>3369</v>
      </c>
      <c r="J40" s="539">
        <f>SUMIF(118:118,I40,119:119)-SUMIF(118:118,C40,119:119)+100</f>
        <v>100</v>
      </c>
      <c r="K40" s="863">
        <v>2</v>
      </c>
      <c r="L40" s="2142"/>
      <c r="M40" s="2134"/>
      <c r="N40" s="2134"/>
      <c r="O40" s="2141"/>
      <c r="P40" s="3773"/>
      <c r="Q40" s="1571" t="str">
        <f t="shared" si="11"/>
        <v>房型</v>
      </c>
      <c r="R40" s="1572" t="s">
        <v>11</v>
      </c>
      <c r="S40" s="1573">
        <f t="shared" si="12"/>
        <v>100</v>
      </c>
      <c r="T40" s="1572" t="s">
        <v>11</v>
      </c>
      <c r="U40" s="1573">
        <f t="shared" si="13"/>
        <v>100</v>
      </c>
      <c r="V40" s="1572" t="s">
        <v>11</v>
      </c>
      <c r="W40" s="1573">
        <f t="shared" si="14"/>
        <v>100</v>
      </c>
      <c r="X40" s="1566"/>
      <c r="Y40" s="3773"/>
      <c r="Z40" s="1574" t="str">
        <f t="shared" si="15"/>
        <v>房型</v>
      </c>
      <c r="AA40" s="1575">
        <f t="shared" si="3"/>
        <v>1</v>
      </c>
      <c r="AB40" s="1575">
        <f t="shared" si="4"/>
        <v>1</v>
      </c>
      <c r="AC40" s="1575">
        <f t="shared" si="5"/>
        <v>1</v>
      </c>
    </row>
    <row r="41" spans="1:29" s="1337" customFormat="1" ht="28.5">
      <c r="A41" s="602"/>
      <c r="B41" s="526" t="s">
        <v>732</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40"/>
      <c r="M41" s="2171"/>
      <c r="N41" s="2171"/>
      <c r="O41" s="2143"/>
      <c r="P41" s="3773"/>
      <c r="Q41" s="1604" t="str">
        <f t="shared" si="11"/>
        <v>单套/主力户型建筑面积</v>
      </c>
      <c r="R41" s="1576" t="s">
        <v>11</v>
      </c>
      <c r="S41" s="1577">
        <f t="shared" si="12"/>
        <v>100</v>
      </c>
      <c r="T41" s="1576" t="s">
        <v>11</v>
      </c>
      <c r="U41" s="1577">
        <f t="shared" si="13"/>
        <v>100</v>
      </c>
      <c r="V41" s="1576" t="s">
        <v>11</v>
      </c>
      <c r="W41" s="1577">
        <f t="shared" si="14"/>
        <v>100</v>
      </c>
      <c r="X41" s="1578"/>
      <c r="Y41" s="3773"/>
      <c r="Z41" s="1579" t="str">
        <f t="shared" si="15"/>
        <v>单套/主力户型建筑面积</v>
      </c>
      <c r="AA41" s="1575">
        <f t="shared" si="3"/>
        <v>1</v>
      </c>
      <c r="AB41" s="1575">
        <f t="shared" si="4"/>
        <v>1</v>
      </c>
      <c r="AC41" s="1575">
        <f t="shared" si="5"/>
        <v>1</v>
      </c>
    </row>
    <row r="42" spans="1:29" ht="15">
      <c r="A42" s="593"/>
      <c r="B42" s="526" t="s">
        <v>733</v>
      </c>
      <c r="C42" s="598" t="s">
        <v>3374</v>
      </c>
      <c r="D42" s="539">
        <v>100</v>
      </c>
      <c r="E42" s="598" t="s">
        <v>3371</v>
      </c>
      <c r="F42" s="574">
        <f>SUMIF(122:122,E42,123:123)-SUMIF(122:122,C42,123:123)+100</f>
        <v>106</v>
      </c>
      <c r="G42" s="598" t="s">
        <v>3374</v>
      </c>
      <c r="H42" s="539">
        <f>SUMIF(122:122,G42,123:123)-SUMIF(122:122,C42,123:123)+100</f>
        <v>100</v>
      </c>
      <c r="I42" s="598" t="s">
        <v>3374</v>
      </c>
      <c r="J42" s="539">
        <f>SUMIF(122:122,I42,123:123)-SUMIF(122:122,C42,123:123)+100</f>
        <v>100</v>
      </c>
      <c r="K42" s="863">
        <v>3</v>
      </c>
      <c r="L42" s="2142"/>
      <c r="M42" s="2134"/>
      <c r="N42" s="2134"/>
      <c r="O42" s="2141"/>
      <c r="P42" s="3773"/>
      <c r="Q42" s="1571" t="str">
        <f t="shared" si="11"/>
        <v>内部装修</v>
      </c>
      <c r="R42" s="1572" t="s">
        <v>11</v>
      </c>
      <c r="S42" s="1573">
        <f t="shared" si="12"/>
        <v>106</v>
      </c>
      <c r="T42" s="1572" t="s">
        <v>11</v>
      </c>
      <c r="U42" s="1573">
        <f t="shared" si="13"/>
        <v>100</v>
      </c>
      <c r="V42" s="1572" t="s">
        <v>11</v>
      </c>
      <c r="W42" s="1573">
        <f t="shared" si="14"/>
        <v>100</v>
      </c>
      <c r="X42" s="1566"/>
      <c r="Y42" s="3773"/>
      <c r="Z42" s="1574" t="str">
        <f t="shared" si="15"/>
        <v>内部装修</v>
      </c>
      <c r="AA42" s="1575">
        <f t="shared" si="3"/>
        <v>0.94339622641509435</v>
      </c>
      <c r="AB42" s="1575">
        <f t="shared" si="4"/>
        <v>1</v>
      </c>
      <c r="AC42" s="1575">
        <f t="shared" si="5"/>
        <v>1</v>
      </c>
    </row>
    <row r="43" spans="1:29" ht="27.75" thickBot="1">
      <c r="A43" s="593"/>
      <c r="B43" s="526" t="s">
        <v>734</v>
      </c>
      <c r="C43" s="598" t="s">
        <v>3035</v>
      </c>
      <c r="D43" s="539">
        <v>100</v>
      </c>
      <c r="E43" s="598" t="s">
        <v>3035</v>
      </c>
      <c r="F43" s="574">
        <f>SUMIF(124:124,E43,125:125)-SUMIF(124:124,C43,125:125)+100</f>
        <v>100</v>
      </c>
      <c r="G43" s="598" t="s">
        <v>3035</v>
      </c>
      <c r="H43" s="539">
        <f>SUMIF(124:124,G43,125:125)-SUMIF(124:124,C43,125:125)+100</f>
        <v>100</v>
      </c>
      <c r="I43" s="598" t="s">
        <v>3035</v>
      </c>
      <c r="J43" s="539">
        <f>SUMIF(124:124,I43,125:125)-SUMIF(124:124,C43,125:125)+100</f>
        <v>100</v>
      </c>
      <c r="K43" s="863">
        <v>2</v>
      </c>
      <c r="L43" s="2142"/>
      <c r="M43" s="2134"/>
      <c r="N43" s="2134"/>
      <c r="O43" s="2141"/>
      <c r="P43" s="3773"/>
      <c r="Q43" s="1571" t="str">
        <f t="shared" si="11"/>
        <v>内部装修维护情况</v>
      </c>
      <c r="R43" s="1572" t="s">
        <v>11</v>
      </c>
      <c r="S43" s="1573">
        <f t="shared" si="12"/>
        <v>100</v>
      </c>
      <c r="T43" s="1572" t="s">
        <v>11</v>
      </c>
      <c r="U43" s="1573">
        <f t="shared" si="13"/>
        <v>100</v>
      </c>
      <c r="V43" s="1572" t="s">
        <v>11</v>
      </c>
      <c r="W43" s="1573">
        <f t="shared" si="14"/>
        <v>100</v>
      </c>
      <c r="X43" s="1566"/>
      <c r="Y43" s="3773"/>
      <c r="Z43" s="1574" t="str">
        <f t="shared" si="15"/>
        <v>内部装修维护情况</v>
      </c>
      <c r="AA43" s="1575">
        <f t="shared" si="3"/>
        <v>1</v>
      </c>
      <c r="AB43" s="1575">
        <f t="shared" si="4"/>
        <v>1</v>
      </c>
      <c r="AC43" s="1575">
        <f t="shared" si="5"/>
        <v>1</v>
      </c>
    </row>
    <row r="44" spans="1:29" s="1218" customFormat="1" ht="15" hidden="1">
      <c r="A44" s="599"/>
      <c r="B44" s="876"/>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5"/>
      <c r="M44" s="2136"/>
      <c r="N44" s="2136"/>
      <c r="O44" s="2137"/>
      <c r="P44" s="3773"/>
      <c r="Q44" s="1149">
        <f t="shared" si="11"/>
        <v>0</v>
      </c>
      <c r="R44" s="1567" t="s">
        <v>11</v>
      </c>
      <c r="S44" s="1568">
        <f t="shared" si="12"/>
        <v>100</v>
      </c>
      <c r="T44" s="1567" t="s">
        <v>11</v>
      </c>
      <c r="U44" s="1568">
        <f t="shared" si="13"/>
        <v>100</v>
      </c>
      <c r="V44" s="1567" t="s">
        <v>11</v>
      </c>
      <c r="W44" s="1568">
        <f t="shared" si="14"/>
        <v>100</v>
      </c>
      <c r="X44" s="1569"/>
      <c r="Y44" s="3773"/>
      <c r="Z44" s="1148">
        <f t="shared" si="15"/>
        <v>0</v>
      </c>
      <c r="AA44" s="1570">
        <f t="shared" si="3"/>
        <v>1</v>
      </c>
      <c r="AB44" s="1570">
        <f t="shared" si="4"/>
        <v>1</v>
      </c>
      <c r="AC44" s="1570">
        <f t="shared" si="5"/>
        <v>1</v>
      </c>
    </row>
    <row r="45" spans="1:29" ht="15" hidden="1">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773"/>
      <c r="Q45" s="1571">
        <f t="shared" si="11"/>
        <v>0</v>
      </c>
      <c r="R45" s="1572" t="s">
        <v>11</v>
      </c>
      <c r="S45" s="1573">
        <f t="shared" si="12"/>
        <v>100</v>
      </c>
      <c r="T45" s="1572" t="s">
        <v>11</v>
      </c>
      <c r="U45" s="1573">
        <f t="shared" si="13"/>
        <v>100</v>
      </c>
      <c r="V45" s="1572" t="s">
        <v>11</v>
      </c>
      <c r="W45" s="1573">
        <f t="shared" si="14"/>
        <v>100</v>
      </c>
      <c r="X45" s="1566"/>
      <c r="Y45" s="3773"/>
      <c r="Z45" s="1574">
        <f t="shared" si="15"/>
        <v>0</v>
      </c>
      <c r="AA45" s="1575">
        <f t="shared" si="3"/>
        <v>1</v>
      </c>
      <c r="AB45" s="1575">
        <f t="shared" si="4"/>
        <v>1</v>
      </c>
      <c r="AC45" s="1575">
        <f t="shared" si="5"/>
        <v>1</v>
      </c>
    </row>
    <row r="46" spans="1:29" ht="15.75" hidden="1" thickBot="1">
      <c r="A46" s="884"/>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912"/>
      <c r="Q46" s="1571">
        <f t="shared" si="11"/>
        <v>0</v>
      </c>
      <c r="R46" s="1572" t="s">
        <v>10</v>
      </c>
      <c r="S46" s="1573">
        <f t="shared" si="12"/>
        <v>100</v>
      </c>
      <c r="T46" s="1572" t="s">
        <v>10</v>
      </c>
      <c r="U46" s="1573">
        <f t="shared" si="13"/>
        <v>100</v>
      </c>
      <c r="V46" s="1572" t="s">
        <v>10</v>
      </c>
      <c r="W46" s="1573">
        <f t="shared" si="14"/>
        <v>100</v>
      </c>
      <c r="X46" s="1566"/>
      <c r="Y46" s="3912"/>
      <c r="Z46" s="1574">
        <f t="shared" si="15"/>
        <v>0</v>
      </c>
      <c r="AA46" s="1575">
        <f t="shared" si="3"/>
        <v>1</v>
      </c>
      <c r="AB46" s="1575">
        <f t="shared" si="4"/>
        <v>1</v>
      </c>
      <c r="AC46" s="1575">
        <f t="shared" si="5"/>
        <v>1</v>
      </c>
    </row>
    <row r="47" spans="1:29" ht="15">
      <c r="A47" s="606" t="s">
        <v>735</v>
      </c>
      <c r="B47" s="885"/>
      <c r="C47" s="2651" t="s">
        <v>9</v>
      </c>
      <c r="D47" s="2652"/>
      <c r="E47" s="2653">
        <v>8500</v>
      </c>
      <c r="F47" s="2654"/>
      <c r="G47" s="2655">
        <v>8300</v>
      </c>
      <c r="H47" s="2656"/>
      <c r="I47" s="2653">
        <v>9000</v>
      </c>
      <c r="J47" s="2656"/>
      <c r="K47" s="1605"/>
      <c r="L47" s="2144"/>
      <c r="M47" s="2145"/>
      <c r="N47" s="2134"/>
      <c r="O47" s="2145"/>
      <c r="P47" s="3768" t="str">
        <f>A47</f>
        <v>成交单价（元/平方米）</v>
      </c>
      <c r="Q47" s="3768"/>
      <c r="R47" s="3911">
        <f>E47</f>
        <v>8500</v>
      </c>
      <c r="S47" s="3911"/>
      <c r="T47" s="3911">
        <f>G47</f>
        <v>8300</v>
      </c>
      <c r="U47" s="3911"/>
      <c r="V47" s="3911">
        <f>I47</f>
        <v>9000</v>
      </c>
      <c r="W47" s="3911"/>
      <c r="X47" s="1558"/>
      <c r="Y47" s="1580"/>
      <c r="Z47" s="1558"/>
      <c r="AA47" s="1558"/>
      <c r="AB47" s="1558"/>
      <c r="AC47" s="1558"/>
    </row>
    <row r="48" spans="1:29" ht="15.75" thickBot="1">
      <c r="A48" s="614" t="s">
        <v>2758</v>
      </c>
      <c r="B48" s="886"/>
      <c r="C48" s="2657">
        <f>R49</f>
        <v>7190</v>
      </c>
      <c r="D48" s="2658"/>
      <c r="E48" s="2659">
        <f>R48</f>
        <v>7273</v>
      </c>
      <c r="F48" s="2659"/>
      <c r="G48" s="2657">
        <f>T48</f>
        <v>6860</v>
      </c>
      <c r="H48" s="2658"/>
      <c r="I48" s="2659">
        <f>V48</f>
        <v>7438</v>
      </c>
      <c r="J48" s="2658"/>
      <c r="K48" s="1606"/>
      <c r="L48" s="2144"/>
      <c r="M48" s="2145"/>
      <c r="N48" s="2145"/>
      <c r="O48" s="2145"/>
      <c r="P48" s="3768" t="str">
        <f>A48</f>
        <v>比较价格（元/平方米）</v>
      </c>
      <c r="Q48" s="3768"/>
      <c r="R48" s="3911">
        <f>IF(F1="售价",ROUND(PRODUCT(R47,AA7:AA46),0),ROUND(PRODUCT(R47,AA7:AA46),1))</f>
        <v>7273</v>
      </c>
      <c r="S48" s="3911"/>
      <c r="T48" s="3911">
        <f>IF(F1="售价",ROUND(PRODUCT(T47,AB7:AB46),0),ROUND(PRODUCT(T47,AB7:AB46),1))</f>
        <v>6860</v>
      </c>
      <c r="U48" s="3911"/>
      <c r="V48" s="3911">
        <f>IF(F1="售价",ROUND(PRODUCT(V47,AC7:AC46),0),ROUND(PRODUCT(V47,AC7:AC46),1))</f>
        <v>7438</v>
      </c>
      <c r="W48" s="3911"/>
      <c r="X48" s="1558"/>
      <c r="Y48" s="1558"/>
      <c r="Z48" s="1558"/>
      <c r="AA48" s="1558"/>
      <c r="AB48" s="1558"/>
      <c r="AC48" s="1558"/>
    </row>
    <row r="49" spans="1:29" ht="15.75" thickBot="1">
      <c r="A49" s="620" t="s">
        <v>2931</v>
      </c>
      <c r="B49" s="621"/>
      <c r="C49" s="2660">
        <f>R49</f>
        <v>7190</v>
      </c>
      <c r="D49" s="2660"/>
      <c r="E49" s="2660"/>
      <c r="F49" s="2660"/>
      <c r="G49" s="2660"/>
      <c r="H49" s="2660"/>
      <c r="I49" s="2660"/>
      <c r="J49" s="2660"/>
      <c r="K49" s="1607"/>
      <c r="L49" s="2144"/>
      <c r="M49" s="2145"/>
      <c r="N49" s="2145"/>
      <c r="O49" s="2145"/>
      <c r="P49" s="3789" t="str">
        <f>A49</f>
        <v>估价对象XX用房的比较价格（楼面单价，元/平方米）</v>
      </c>
      <c r="Q49" s="3790"/>
      <c r="R49" s="3910">
        <f>IF(F1="售价",ROUND(AVERAGE(R48:V48),0),ROUND(AVERAGE(R48:V48),1))</f>
        <v>7190</v>
      </c>
      <c r="S49" s="3910"/>
      <c r="T49" s="3910"/>
      <c r="U49" s="3910"/>
      <c r="V49" s="3910"/>
      <c r="W49" s="391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f>IF(E47&lt;E48,E48/E47-1,E47/E48-1)</f>
        <v>0.16870617351849315</v>
      </c>
      <c r="F52" s="626" t="str">
        <f>IF(OR(E52&gt;=0.3,E52&lt;=-0.3),"超过30%","")</f>
        <v/>
      </c>
      <c r="G52" s="625">
        <f>IF(G47&lt;G48,G48/G47-1,G47/G48-1)</f>
        <v>0.20991253644314867</v>
      </c>
      <c r="H52" s="626" t="str">
        <f>IF(OR(G52&gt;=0.3,G52&lt;=-0.3),"超过30%","")</f>
        <v/>
      </c>
      <c r="I52" s="625">
        <f>IF(I47&lt;I48,I48/I47-1,I47/I48-1)</f>
        <v>0.21000268889486429</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f>IF(E48&lt;G48,G48/E48-1,E48/G48-1)</f>
        <v>6.0204081632653006E-2</v>
      </c>
      <c r="F53" s="626" t="str">
        <f>IF(OR(E53&gt;=0.2,E53&lt;=-0.2),"超过20%","")</f>
        <v/>
      </c>
      <c r="G53" s="625">
        <f>IF(G48&lt;I48,I48/G48-1,G48/I48-1)</f>
        <v>8.4256559766763939E-2</v>
      </c>
      <c r="H53" s="626" t="str">
        <f>IF(OR(G53&gt;=0.2,G53&lt;=-0.2),"超过20%","")</f>
        <v/>
      </c>
      <c r="I53" s="625">
        <f>IF(I48&lt;E48,E48/I48-1,I48/E48-1)</f>
        <v>2.2686649250653002E-2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f>IF(E47&lt;G47,G47/E47-1,E47/G47-1)</f>
        <v>2.4096385542168752E-2</v>
      </c>
      <c r="F54" s="626" t="str">
        <f>IF(OR(E54&gt;=0.3,E54&lt;=-0.3),"超过30%","")</f>
        <v/>
      </c>
      <c r="G54" s="625">
        <f>IF(G47&lt;I47,I47/G47-1,G47/I47-1)</f>
        <v>8.43373493975903E-2</v>
      </c>
      <c r="H54" s="626" t="str">
        <f>IF(OR(G54&gt;=0.3,G54&lt;=-0.3),"超过30%","")</f>
        <v/>
      </c>
      <c r="I54" s="625">
        <f>IF(I47&lt;E47,E47/I47-1,I47/E47-1)</f>
        <v>5.8823529411764719E-2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28" t="str">
        <f>YEAR(C7)&amp;"-"&amp;MONTH(C7)</f>
        <v>2018-12</v>
      </c>
      <c r="D58" s="2828">
        <f>EDATE(C58,-1)</f>
        <v>43405</v>
      </c>
      <c r="E58" s="2828">
        <f t="shared" ref="E58:O58" si="16">EDATE(D58,-1)</f>
        <v>43374</v>
      </c>
      <c r="F58" s="2828">
        <f t="shared" si="16"/>
        <v>43344</v>
      </c>
      <c r="G58" s="2828">
        <f t="shared" si="16"/>
        <v>43313</v>
      </c>
      <c r="H58" s="2828">
        <f t="shared" si="16"/>
        <v>43282</v>
      </c>
      <c r="I58" s="2828">
        <f t="shared" si="16"/>
        <v>43252</v>
      </c>
      <c r="J58" s="2828">
        <f t="shared" si="16"/>
        <v>43221</v>
      </c>
      <c r="K58" s="2828">
        <f t="shared" si="16"/>
        <v>43191</v>
      </c>
      <c r="L58" s="2828">
        <f t="shared" si="16"/>
        <v>43160</v>
      </c>
      <c r="M58" s="2828">
        <f t="shared" si="16"/>
        <v>43132</v>
      </c>
      <c r="N58" s="2828">
        <f t="shared" si="16"/>
        <v>43101</v>
      </c>
      <c r="O58" s="2828">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v>100</v>
      </c>
      <c r="E59" s="649"/>
      <c r="F59" s="649"/>
      <c r="G59" s="649"/>
      <c r="H59" s="649"/>
      <c r="I59" s="649">
        <v>100</v>
      </c>
      <c r="J59" s="649"/>
      <c r="K59" s="649"/>
      <c r="L59" s="649"/>
      <c r="M59" s="649"/>
      <c r="N59" s="649"/>
      <c r="O59" s="649"/>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577</v>
      </c>
      <c r="B63" s="664" t="s">
        <v>534</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0（含）-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6"/>
      <c r="O69" s="2166"/>
      <c r="P69" s="2165"/>
      <c r="Q69" s="2158"/>
      <c r="R69" s="2145"/>
      <c r="S69" s="2145"/>
      <c r="T69" s="2145"/>
      <c r="U69" s="2145"/>
      <c r="V69" s="2145"/>
      <c r="W69" s="2145"/>
      <c r="X69" s="2145"/>
      <c r="Y69" s="2145"/>
      <c r="Z69" s="2145"/>
      <c r="AA69" s="2145"/>
      <c r="AB69" s="2145"/>
      <c r="AC69" s="2145"/>
    </row>
    <row r="70" spans="1:29" s="1337" customFormat="1" ht="15.75" hidden="1"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hidden="1"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hidden="1"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hidden="1"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hidden="1"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hidden="1"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95</v>
      </c>
      <c r="E77" s="678">
        <f>D77-$K15</f>
        <v>90</v>
      </c>
      <c r="F77" s="678">
        <f>E77-$K15</f>
        <v>85</v>
      </c>
      <c r="G77" s="678">
        <f>F77-$K15</f>
        <v>80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97</v>
      </c>
      <c r="E79" s="678">
        <f>D79-$K17</f>
        <v>94</v>
      </c>
      <c r="F79" s="678">
        <f>E79-$K17</f>
        <v>91</v>
      </c>
      <c r="G79" s="678">
        <f>F79-$K17</f>
        <v>88</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2555</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95</v>
      </c>
      <c r="E81" s="678">
        <f>D81-$K19</f>
        <v>90</v>
      </c>
      <c r="F81" s="678">
        <f>E81-$K19</f>
        <v>85</v>
      </c>
      <c r="G81" s="678">
        <f>F81-$K19</f>
        <v>80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2556</v>
      </c>
      <c r="C82" s="2622" t="s">
        <v>2557</v>
      </c>
      <c r="D82" s="2622" t="s">
        <v>2558</v>
      </c>
      <c r="E82" s="2622" t="s">
        <v>2559</v>
      </c>
      <c r="F82" s="2622" t="s">
        <v>2560</v>
      </c>
      <c r="G82" s="2622" t="s">
        <v>2561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98</v>
      </c>
      <c r="E83" s="678">
        <f>D83-$K21</f>
        <v>96</v>
      </c>
      <c r="F83" s="678">
        <f>E83-$K21</f>
        <v>94</v>
      </c>
      <c r="G83" s="678">
        <f>F83-$K21</f>
        <v>92</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97</v>
      </c>
      <c r="E85" s="678">
        <f>D85-$K23</f>
        <v>94</v>
      </c>
      <c r="F85" s="678">
        <f>E85-$K23</f>
        <v>91</v>
      </c>
      <c r="G85" s="678">
        <f>F85-$K23</f>
        <v>88</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hidden="1" thickTop="1">
      <c r="A86" s="708"/>
      <c r="B86" s="1896" t="s">
        <v>2256</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hidden="1"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6"/>
      <c r="O87" s="2166"/>
      <c r="P87" s="2165"/>
      <c r="Q87" s="2158"/>
      <c r="R87" s="1993"/>
      <c r="S87" s="1993"/>
      <c r="T87" s="1993"/>
      <c r="U87" s="1993"/>
      <c r="V87" s="1993"/>
      <c r="W87" s="1993"/>
      <c r="X87" s="1993"/>
      <c r="Y87" s="1993"/>
      <c r="Z87" s="1993"/>
      <c r="AA87" s="1993"/>
      <c r="AB87" s="1993"/>
      <c r="AC87" s="1993"/>
    </row>
    <row r="88" spans="1:29" s="1218" customFormat="1" ht="15.75" hidden="1" thickTop="1">
      <c r="A88" s="708"/>
      <c r="B88" s="672" t="s">
        <v>745</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hidden="1"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6"/>
      <c r="O89" s="2166"/>
      <c r="P89" s="2165"/>
      <c r="Q89" s="2158"/>
      <c r="R89" s="1993"/>
      <c r="S89" s="1993"/>
      <c r="T89" s="1993"/>
      <c r="U89" s="1993"/>
      <c r="V89" s="1993"/>
      <c r="W89" s="1993"/>
      <c r="X89" s="1993"/>
      <c r="Y89" s="1993"/>
      <c r="Z89" s="1993"/>
      <c r="AA89" s="1993"/>
      <c r="AB89" s="1993"/>
      <c r="AC89" s="1993"/>
    </row>
    <row r="90" spans="1:29" s="1337" customFormat="1" ht="15.75" hidden="1" thickTop="1">
      <c r="A90" s="686"/>
      <c r="B90" s="672">
        <f>B27</f>
        <v>0</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hidden="1" thickBot="1">
      <c r="A91" s="686"/>
      <c r="B91" s="677"/>
      <c r="C91" s="691"/>
      <c r="D91" s="691"/>
      <c r="E91" s="691"/>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hidden="1"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hidden="1"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hidden="1"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hidden="1"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hidden="1"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hidden="1"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hidden="1"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hidden="1" thickBot="1">
      <c r="A99" s="891"/>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ht="15" thickTop="1">
      <c r="A100" s="663" t="s">
        <v>551</v>
      </c>
      <c r="B100" s="664" t="s">
        <v>746</v>
      </c>
      <c r="C100" s="3579" t="s">
        <v>3360</v>
      </c>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90</v>
      </c>
      <c r="E101" s="678">
        <f t="shared" si="22"/>
        <v>80</v>
      </c>
      <c r="F101" s="678">
        <f t="shared" si="22"/>
        <v>70</v>
      </c>
      <c r="G101" s="678">
        <f t="shared" si="22"/>
        <v>60</v>
      </c>
      <c r="H101" s="678">
        <f t="shared" si="22"/>
        <v>50</v>
      </c>
      <c r="I101" s="678">
        <f t="shared" si="22"/>
        <v>40</v>
      </c>
      <c r="J101" s="678">
        <f t="shared" si="22"/>
        <v>30</v>
      </c>
      <c r="K101" s="678">
        <f t="shared" si="22"/>
        <v>20</v>
      </c>
      <c r="L101" s="678">
        <f t="shared" si="22"/>
        <v>10</v>
      </c>
      <c r="M101" s="678">
        <f t="shared" si="22"/>
        <v>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0(含)-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v>0</v>
      </c>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3574" t="s">
        <v>3361</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749</v>
      </c>
      <c r="C107" s="3575" t="s">
        <v>3363</v>
      </c>
      <c r="D107" s="717"/>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750</v>
      </c>
      <c r="C109" s="3574" t="s">
        <v>3365</v>
      </c>
      <c r="D109" s="687"/>
      <c r="E109" s="687"/>
      <c r="F109" s="717"/>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6"/>
      <c r="O110" s="2166"/>
      <c r="P110" s="2165"/>
      <c r="Q110" s="2158"/>
      <c r="R110" s="2145"/>
      <c r="S110" s="2145"/>
      <c r="T110" s="2145"/>
      <c r="U110" s="2145"/>
      <c r="V110" s="2145"/>
      <c r="W110" s="2145"/>
      <c r="X110" s="2145"/>
      <c r="Y110" s="2145"/>
      <c r="Z110" s="2145"/>
      <c r="AA110" s="2145"/>
      <c r="AB110" s="2145"/>
      <c r="AC110" s="2145"/>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7" customFormat="1">
      <c r="A112" s="727"/>
      <c r="B112" s="680"/>
      <c r="C112" s="892">
        <v>0.5</v>
      </c>
      <c r="D112" s="892">
        <v>0.6</v>
      </c>
      <c r="E112" s="892">
        <v>0.7</v>
      </c>
      <c r="F112" s="892">
        <v>0.8</v>
      </c>
      <c r="G112" s="892">
        <v>0.9</v>
      </c>
      <c r="H112" s="892">
        <v>1.0001</v>
      </c>
      <c r="I112" s="892"/>
      <c r="J112" s="893"/>
      <c r="K112" s="893"/>
      <c r="L112" s="894"/>
      <c r="M112" s="895"/>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752</v>
      </c>
      <c r="C114" s="3574" t="s">
        <v>3367</v>
      </c>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2554</v>
      </c>
      <c r="C116" s="3574" t="s">
        <v>3368</v>
      </c>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753</v>
      </c>
      <c r="C118" s="3575" t="s">
        <v>3370</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98</v>
      </c>
      <c r="E119" s="678">
        <f t="shared" si="28"/>
        <v>96</v>
      </c>
      <c r="F119" s="678">
        <f t="shared" si="28"/>
        <v>94</v>
      </c>
      <c r="G119" s="678">
        <f t="shared" si="28"/>
        <v>92</v>
      </c>
      <c r="H119" s="678">
        <f t="shared" si="28"/>
        <v>90</v>
      </c>
      <c r="I119" s="678">
        <f t="shared" si="28"/>
        <v>88</v>
      </c>
      <c r="J119" s="678">
        <f t="shared" si="28"/>
        <v>86</v>
      </c>
      <c r="K119" s="678">
        <f t="shared" si="28"/>
        <v>84</v>
      </c>
      <c r="L119" s="678">
        <f t="shared" si="28"/>
        <v>82</v>
      </c>
      <c r="M119" s="678">
        <f t="shared" si="28"/>
        <v>80</v>
      </c>
      <c r="N119" s="2166"/>
      <c r="O119" s="2166"/>
      <c r="P119" s="2165"/>
      <c r="Q119" s="2158"/>
      <c r="R119" s="2145"/>
      <c r="S119" s="2145"/>
      <c r="T119" s="2145"/>
      <c r="U119" s="2145"/>
      <c r="V119" s="2145"/>
      <c r="W119" s="2145"/>
      <c r="X119" s="2145"/>
      <c r="Y119" s="2145"/>
      <c r="Z119" s="2145"/>
      <c r="AA119" s="2145"/>
      <c r="AB119" s="2145"/>
      <c r="AC119" s="2145"/>
    </row>
    <row r="120" spans="1:29" s="1337" customFormat="1" ht="28.5" thickTop="1">
      <c r="A120" s="727"/>
      <c r="B120" s="672" t="s">
        <v>732</v>
      </c>
      <c r="C120" s="687"/>
      <c r="D120" s="687"/>
      <c r="E120" s="687"/>
      <c r="F120" s="687"/>
      <c r="G120" s="687"/>
      <c r="H120" s="687"/>
      <c r="I120" s="687"/>
      <c r="J120" s="687"/>
      <c r="K120" s="687"/>
      <c r="L120" s="888"/>
      <c r="M120" s="889"/>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3574" t="s">
        <v>3372</v>
      </c>
      <c r="D122" s="3574" t="s">
        <v>3373</v>
      </c>
      <c r="E122" s="3574" t="s">
        <v>3375</v>
      </c>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97</v>
      </c>
      <c r="E123" s="678">
        <f t="shared" si="29"/>
        <v>94</v>
      </c>
      <c r="F123" s="678">
        <f t="shared" si="29"/>
        <v>91</v>
      </c>
      <c r="G123" s="678">
        <f t="shared" si="29"/>
        <v>88</v>
      </c>
      <c r="H123" s="678">
        <f t="shared" si="29"/>
        <v>85</v>
      </c>
      <c r="I123" s="678">
        <f t="shared" si="29"/>
        <v>82</v>
      </c>
      <c r="J123" s="678">
        <f t="shared" si="29"/>
        <v>79</v>
      </c>
      <c r="K123" s="678">
        <f t="shared" si="29"/>
        <v>76</v>
      </c>
      <c r="L123" s="678">
        <f t="shared" si="29"/>
        <v>73</v>
      </c>
      <c r="M123" s="678">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hidden="1"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hidden="1"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hidden="1"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hidden="1"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hidden="1"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hidden="1"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ht="15" thickTop="1">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756</v>
      </c>
      <c r="C1" s="503" t="s">
        <v>720</v>
      </c>
      <c r="D1" s="2370"/>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519</v>
      </c>
      <c r="B3" s="509" t="e">
        <f>C49</f>
        <v>#DIV/0!</v>
      </c>
      <c r="C3" s="851" t="s">
        <v>722</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521</v>
      </c>
      <c r="B4" s="512"/>
      <c r="C4" s="3774" t="s">
        <v>522</v>
      </c>
      <c r="D4" s="3775"/>
      <c r="E4" s="3840" t="s">
        <v>523</v>
      </c>
      <c r="F4" s="3841"/>
      <c r="G4" s="3774" t="s">
        <v>524</v>
      </c>
      <c r="H4" s="3775"/>
      <c r="I4" s="3774" t="s">
        <v>525</v>
      </c>
      <c r="J4" s="3775"/>
      <c r="K4" s="513" t="s">
        <v>526</v>
      </c>
      <c r="L4" s="2133"/>
      <c r="M4" s="2134"/>
      <c r="N4" s="2134"/>
      <c r="O4" s="2134"/>
      <c r="P4" s="3776" t="s">
        <v>527</v>
      </c>
      <c r="Q4" s="3777"/>
      <c r="R4" s="3762" t="s">
        <v>523</v>
      </c>
      <c r="S4" s="3763"/>
      <c r="T4" s="3762" t="s">
        <v>524</v>
      </c>
      <c r="U4" s="3763"/>
      <c r="V4" s="3782" t="s">
        <v>525</v>
      </c>
      <c r="W4" s="3782"/>
      <c r="X4" s="1566"/>
      <c r="Y4" s="3762" t="s">
        <v>527</v>
      </c>
      <c r="Z4" s="3763"/>
      <c r="AA4" s="3757" t="s">
        <v>523</v>
      </c>
      <c r="AB4" s="3782" t="s">
        <v>524</v>
      </c>
      <c r="AC4" s="3757" t="s">
        <v>525</v>
      </c>
    </row>
    <row r="5" spans="1:29" ht="15">
      <c r="A5" s="514"/>
      <c r="B5" s="515"/>
      <c r="C5" s="3785" t="s">
        <v>2925</v>
      </c>
      <c r="D5" s="3786"/>
      <c r="E5" s="3842" t="s">
        <v>2926</v>
      </c>
      <c r="F5" s="3843"/>
      <c r="G5" s="3785" t="s">
        <v>2927</v>
      </c>
      <c r="H5" s="3786"/>
      <c r="I5" s="3785" t="s">
        <v>2928</v>
      </c>
      <c r="J5" s="3786"/>
      <c r="K5" s="513"/>
      <c r="L5" s="2133"/>
      <c r="M5" s="2134"/>
      <c r="N5" s="2134"/>
      <c r="O5" s="2134"/>
      <c r="P5" s="3778"/>
      <c r="Q5" s="3779"/>
      <c r="R5" s="3764"/>
      <c r="S5" s="3765"/>
      <c r="T5" s="3764"/>
      <c r="U5" s="3765"/>
      <c r="V5" s="3782"/>
      <c r="W5" s="3782"/>
      <c r="X5" s="1566"/>
      <c r="Y5" s="3764"/>
      <c r="Z5" s="3765"/>
      <c r="AA5" s="3758"/>
      <c r="AB5" s="3782"/>
      <c r="AC5" s="3758"/>
    </row>
    <row r="6" spans="1:29" ht="15.75" thickBot="1">
      <c r="A6" s="516"/>
      <c r="B6" s="517"/>
      <c r="C6" s="3783" t="s">
        <v>2929</v>
      </c>
      <c r="D6" s="3784"/>
      <c r="E6" s="3844" t="s">
        <v>2929</v>
      </c>
      <c r="F6" s="3845"/>
      <c r="G6" s="3783" t="s">
        <v>2929</v>
      </c>
      <c r="H6" s="3784"/>
      <c r="I6" s="3783" t="s">
        <v>2929</v>
      </c>
      <c r="J6" s="3784"/>
      <c r="K6" s="513" t="s">
        <v>528</v>
      </c>
      <c r="L6" s="2133"/>
      <c r="M6" s="2134"/>
      <c r="N6" s="2134"/>
      <c r="O6" s="2134"/>
      <c r="P6" s="3780"/>
      <c r="Q6" s="3781"/>
      <c r="R6" s="3764"/>
      <c r="S6" s="3765"/>
      <c r="T6" s="3766"/>
      <c r="U6" s="3767"/>
      <c r="V6" s="3782"/>
      <c r="W6" s="3782"/>
      <c r="X6" s="1566"/>
      <c r="Y6" s="3766"/>
      <c r="Z6" s="3767"/>
      <c r="AA6" s="3759"/>
      <c r="AB6" s="3782"/>
      <c r="AC6" s="3759"/>
    </row>
    <row r="7" spans="1:29" s="1218" customFormat="1" ht="15.75" thickBot="1">
      <c r="A7" s="2936"/>
      <c r="B7" s="2943" t="s">
        <v>529</v>
      </c>
      <c r="C7" s="518">
        <f>'数据-取费表'!B2</f>
        <v>43438</v>
      </c>
      <c r="D7" s="519">
        <v>100</v>
      </c>
      <c r="E7" s="520"/>
      <c r="F7" s="521">
        <f>SUMIF(58:58,YEAR(E7)&amp;"-"&amp;MONTH(E7),59:59)</f>
        <v>0</v>
      </c>
      <c r="G7" s="520"/>
      <c r="H7" s="519">
        <f>SUMIF(58:58,YEAR(G7)&amp;"-"&amp;MONTH(G7),59:59)</f>
        <v>0</v>
      </c>
      <c r="I7" s="520"/>
      <c r="J7" s="519">
        <f>SUMIF(58:58,YEAR(I7)&amp;"-"&amp;MONTH(I7),59:59)</f>
        <v>0</v>
      </c>
      <c r="K7" s="523"/>
      <c r="L7" s="2135"/>
      <c r="M7" s="2136"/>
      <c r="N7" s="2136"/>
      <c r="O7" s="2136"/>
      <c r="P7" s="3760" t="s">
        <v>530</v>
      </c>
      <c r="Q7" s="3769"/>
      <c r="R7" s="1567" t="s">
        <v>8</v>
      </c>
      <c r="S7" s="1568">
        <f t="shared" ref="S7:S15" si="0">F7</f>
        <v>0</v>
      </c>
      <c r="T7" s="1567" t="s">
        <v>8</v>
      </c>
      <c r="U7" s="1568">
        <f t="shared" ref="U7:U15" si="1">H7</f>
        <v>0</v>
      </c>
      <c r="V7" s="1567" t="s">
        <v>8</v>
      </c>
      <c r="W7" s="1568">
        <f t="shared" ref="W7:W15" si="2">J7</f>
        <v>0</v>
      </c>
      <c r="X7" s="1569"/>
      <c r="Y7" s="3760" t="s">
        <v>530</v>
      </c>
      <c r="Z7" s="3761"/>
      <c r="AA7" s="1570" t="e">
        <f>D7/F7</f>
        <v>#DIV/0!</v>
      </c>
      <c r="AB7" s="1570" t="e">
        <f>D7/H7</f>
        <v>#DIV/0!</v>
      </c>
      <c r="AC7" s="1570" t="e">
        <f>D7/J7</f>
        <v>#DIV/0!</v>
      </c>
    </row>
    <row r="8" spans="1:29" s="1218" customFormat="1" ht="15.75" thickBot="1">
      <c r="A8" s="2937"/>
      <c r="B8" s="2944" t="s">
        <v>531</v>
      </c>
      <c r="C8" s="524" t="s">
        <v>576</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760" t="s">
        <v>533</v>
      </c>
      <c r="Q8" s="3761"/>
      <c r="R8" s="1567" t="s">
        <v>8</v>
      </c>
      <c r="S8" s="1568">
        <f t="shared" si="0"/>
        <v>0</v>
      </c>
      <c r="T8" s="1567" t="s">
        <v>8</v>
      </c>
      <c r="U8" s="1568">
        <f t="shared" si="1"/>
        <v>0</v>
      </c>
      <c r="V8" s="1567" t="s">
        <v>8</v>
      </c>
      <c r="W8" s="1568">
        <f t="shared" si="2"/>
        <v>0</v>
      </c>
      <c r="X8" s="1569"/>
      <c r="Y8" s="3760" t="s">
        <v>533</v>
      </c>
      <c r="Z8" s="3761"/>
      <c r="AA8" s="1570" t="e">
        <f t="shared" ref="AA8:AA46" si="3">D8/F8</f>
        <v>#DIV/0!</v>
      </c>
      <c r="AB8" s="1570" t="e">
        <f t="shared" ref="AB8:AB46" si="4">D8/H8</f>
        <v>#DIV/0!</v>
      </c>
      <c r="AC8" s="1570" t="e">
        <f t="shared" ref="AC8:AC46" si="5">D8/J8</f>
        <v>#DIV/0!</v>
      </c>
    </row>
    <row r="9" spans="1:29" s="1218" customFormat="1" ht="15">
      <c r="A9" s="2938"/>
      <c r="B9" s="2945" t="s">
        <v>2754</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768" t="s">
        <v>535</v>
      </c>
      <c r="Q9" s="1149" t="str">
        <f t="shared" ref="Q9:Q15" si="6">B9</f>
        <v>用途</v>
      </c>
      <c r="R9" s="1567" t="s">
        <v>8</v>
      </c>
      <c r="S9" s="1568">
        <f t="shared" si="0"/>
        <v>100</v>
      </c>
      <c r="T9" s="1567" t="s">
        <v>8</v>
      </c>
      <c r="U9" s="1568">
        <f t="shared" si="1"/>
        <v>100</v>
      </c>
      <c r="V9" s="1567" t="s">
        <v>8</v>
      </c>
      <c r="W9" s="1568">
        <f t="shared" si="2"/>
        <v>100</v>
      </c>
      <c r="X9" s="1569"/>
      <c r="Y9" s="3725" t="s">
        <v>536</v>
      </c>
      <c r="Z9" s="1148" t="str">
        <f t="shared" ref="Z9:Z15" si="7">Q9</f>
        <v>用途</v>
      </c>
      <c r="AA9" s="1570">
        <f t="shared" si="3"/>
        <v>1</v>
      </c>
      <c r="AB9" s="1570">
        <f t="shared" si="4"/>
        <v>1</v>
      </c>
      <c r="AC9" s="1570">
        <f t="shared" si="5"/>
        <v>1</v>
      </c>
    </row>
    <row r="10" spans="1:29" s="1336" customFormat="1" ht="27">
      <c r="A10" s="2939"/>
      <c r="B10" s="2944" t="s">
        <v>2755</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
      <c r="A11" s="2940"/>
      <c r="B11" s="2944"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768"/>
      <c r="Q11" s="1149" t="str">
        <f t="shared" si="6"/>
        <v>容积率</v>
      </c>
      <c r="R11" s="1567" t="s">
        <v>8</v>
      </c>
      <c r="S11" s="1568" t="e">
        <f t="shared" si="0"/>
        <v>#N/A</v>
      </c>
      <c r="T11" s="1567" t="s">
        <v>8</v>
      </c>
      <c r="U11" s="1568" t="e">
        <f t="shared" si="1"/>
        <v>#N/A</v>
      </c>
      <c r="V11" s="1567" t="s">
        <v>8</v>
      </c>
      <c r="W11" s="1568" t="e">
        <f t="shared" si="2"/>
        <v>#N/A</v>
      </c>
      <c r="X11" s="1569"/>
      <c r="Y11" s="3725"/>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38"/>
      <c r="F12" s="254">
        <f>SUMIF(70:70,E12,71:71)-SUMIF(70:70,C12,71:71)+100</f>
        <v>100</v>
      </c>
      <c r="G12" s="910"/>
      <c r="H12" s="254">
        <f>SUMIF(70:70,G12,71:71)-SUMIF(70:70,C12,71:71)+100</f>
        <v>100</v>
      </c>
      <c r="I12" s="538"/>
      <c r="J12" s="254">
        <f>SUMIF(70:70,I12,71:71)-SUMIF(70:70,C12,71:71)+100</f>
        <v>100</v>
      </c>
      <c r="K12" s="580"/>
      <c r="L12" s="2135"/>
      <c r="M12" s="2136"/>
      <c r="N12" s="2136"/>
      <c r="O12" s="2137"/>
      <c r="P12" s="3768"/>
      <c r="Q12" s="1149">
        <f t="shared" si="6"/>
        <v>111</v>
      </c>
      <c r="R12" s="1567" t="s">
        <v>8</v>
      </c>
      <c r="S12" s="1568">
        <f t="shared" si="0"/>
        <v>100</v>
      </c>
      <c r="T12" s="1567" t="s">
        <v>8</v>
      </c>
      <c r="U12" s="1568">
        <f t="shared" si="1"/>
        <v>100</v>
      </c>
      <c r="V12" s="1567" t="s">
        <v>8</v>
      </c>
      <c r="W12" s="1568">
        <f t="shared" si="2"/>
        <v>100</v>
      </c>
      <c r="X12" s="1569"/>
      <c r="Y12" s="3725"/>
      <c r="Z12" s="1148">
        <f t="shared" si="7"/>
        <v>111</v>
      </c>
      <c r="AA12" s="1570">
        <f>D12/F12</f>
        <v>1</v>
      </c>
      <c r="AB12" s="1570">
        <f>D12/H12</f>
        <v>1</v>
      </c>
      <c r="AC12" s="1570">
        <f>D12/J12</f>
        <v>1</v>
      </c>
    </row>
    <row r="13" spans="1:29" ht="15">
      <c r="A13" s="2941"/>
      <c r="B13" s="2947">
        <v>111</v>
      </c>
      <c r="C13" s="538"/>
      <c r="D13" s="539">
        <v>100</v>
      </c>
      <c r="E13" s="538"/>
      <c r="F13" s="254">
        <f>SUMIF(72:72,E13,73:73)-SUMIF(72:72,C13,73:73)+100</f>
        <v>100</v>
      </c>
      <c r="G13" s="910"/>
      <c r="H13" s="539">
        <f>SUMIF(72:72,G13,73:73)-SUMIF(72:72,C13,73:73)+100</f>
        <v>100</v>
      </c>
      <c r="I13" s="538"/>
      <c r="J13" s="539">
        <f>SUMIF(72:72,I13,73:73)-SUMIF(72:72,C13,73:73)+100</f>
        <v>100</v>
      </c>
      <c r="K13" s="580"/>
      <c r="L13" s="2142"/>
      <c r="M13" s="2134"/>
      <c r="N13" s="2134"/>
      <c r="O13" s="2141"/>
      <c r="P13" s="3768"/>
      <c r="Q13" s="1149">
        <f t="shared" si="6"/>
        <v>111</v>
      </c>
      <c r="R13" s="1567" t="s">
        <v>8</v>
      </c>
      <c r="S13" s="1568">
        <f t="shared" si="0"/>
        <v>100</v>
      </c>
      <c r="T13" s="1567" t="s">
        <v>8</v>
      </c>
      <c r="U13" s="1568">
        <f t="shared" si="1"/>
        <v>100</v>
      </c>
      <c r="V13" s="1567" t="s">
        <v>8</v>
      </c>
      <c r="W13" s="1568">
        <f t="shared" si="2"/>
        <v>100</v>
      </c>
      <c r="X13" s="1569"/>
      <c r="Y13" s="3725"/>
      <c r="Z13" s="1148">
        <f t="shared" si="7"/>
        <v>111</v>
      </c>
      <c r="AA13" s="1570">
        <f t="shared" si="3"/>
        <v>1</v>
      </c>
      <c r="AB13" s="1570">
        <f t="shared" si="4"/>
        <v>1</v>
      </c>
      <c r="AC13" s="1570">
        <f t="shared" si="5"/>
        <v>1</v>
      </c>
    </row>
    <row r="14" spans="1:29" ht="15.75" thickBot="1">
      <c r="A14" s="2942"/>
      <c r="B14" s="2948">
        <v>111</v>
      </c>
      <c r="C14" s="544"/>
      <c r="D14" s="545">
        <v>100</v>
      </c>
      <c r="E14" s="544"/>
      <c r="F14" s="545">
        <f>SUMIF(74:74,E14,75:75)-SUMIF(74:74,C14,75:75)+100</f>
        <v>100</v>
      </c>
      <c r="G14" s="910"/>
      <c r="H14" s="545">
        <f>SUMIF(74:74,G14,75:75)-SUMIF(74:74,C14,75:75)+100</f>
        <v>100</v>
      </c>
      <c r="I14" s="538"/>
      <c r="J14" s="545">
        <f>SUMIF(74:74,I14,75:75)-SUMIF(74:74,C14,75:75)+100</f>
        <v>100</v>
      </c>
      <c r="K14" s="580"/>
      <c r="L14" s="2142"/>
      <c r="M14" s="2134"/>
      <c r="N14" s="2134"/>
      <c r="O14" s="2141"/>
      <c r="P14" s="3768"/>
      <c r="Q14" s="1149">
        <f t="shared" si="6"/>
        <v>111</v>
      </c>
      <c r="R14" s="1567" t="s">
        <v>8</v>
      </c>
      <c r="S14" s="1568">
        <f t="shared" si="0"/>
        <v>100</v>
      </c>
      <c r="T14" s="1567" t="s">
        <v>8</v>
      </c>
      <c r="U14" s="1568">
        <f t="shared" si="1"/>
        <v>100</v>
      </c>
      <c r="V14" s="1567" t="s">
        <v>8</v>
      </c>
      <c r="W14" s="1568">
        <f t="shared" si="2"/>
        <v>100</v>
      </c>
      <c r="X14" s="1569"/>
      <c r="Y14" s="3725"/>
      <c r="Z14" s="1148">
        <f t="shared" si="7"/>
        <v>111</v>
      </c>
      <c r="AA14" s="1570">
        <f t="shared" si="3"/>
        <v>1</v>
      </c>
      <c r="AB14" s="1570">
        <f t="shared" si="4"/>
        <v>1</v>
      </c>
      <c r="AC14" s="1570">
        <f t="shared" si="5"/>
        <v>1</v>
      </c>
    </row>
    <row r="15" spans="1:29" ht="71.25">
      <c r="A15" s="2934"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2"/>
      <c r="M15" s="2134"/>
      <c r="N15" s="2134"/>
      <c r="O15" s="2141"/>
      <c r="P15" s="3770" t="s">
        <v>540</v>
      </c>
      <c r="Q15" s="1571" t="str">
        <f t="shared" si="6"/>
        <v>商业繁华度</v>
      </c>
      <c r="R15" s="1572" t="s">
        <v>8</v>
      </c>
      <c r="S15" s="1573">
        <f t="shared" si="0"/>
        <v>100</v>
      </c>
      <c r="T15" s="1572" t="s">
        <v>8</v>
      </c>
      <c r="U15" s="1573">
        <f t="shared" si="1"/>
        <v>100</v>
      </c>
      <c r="V15" s="1572" t="s">
        <v>8</v>
      </c>
      <c r="W15" s="1573">
        <f t="shared" si="2"/>
        <v>100</v>
      </c>
      <c r="X15" s="1566"/>
      <c r="Y15" s="3770" t="s">
        <v>540</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771"/>
      <c r="Q16" s="1571"/>
      <c r="R16" s="1572"/>
      <c r="S16" s="1573"/>
      <c r="T16" s="1572"/>
      <c r="U16" s="1573"/>
      <c r="V16" s="1572"/>
      <c r="W16" s="1573"/>
      <c r="X16" s="1566"/>
      <c r="Y16" s="3771"/>
      <c r="Z16" s="1574"/>
      <c r="AA16" s="1575">
        <v>1</v>
      </c>
      <c r="AB16" s="1575">
        <v>1</v>
      </c>
      <c r="AC16" s="1575">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2"/>
      <c r="M17" s="2134"/>
      <c r="N17" s="2134"/>
      <c r="O17" s="2141"/>
      <c r="P17" s="3771"/>
      <c r="Q17" s="1571" t="str">
        <f>B17</f>
        <v>交通便捷度</v>
      </c>
      <c r="R17" s="1572" t="s">
        <v>8</v>
      </c>
      <c r="S17" s="1573">
        <f>F17</f>
        <v>100</v>
      </c>
      <c r="T17" s="1572" t="s">
        <v>8</v>
      </c>
      <c r="U17" s="1573">
        <f>H17</f>
        <v>100</v>
      </c>
      <c r="V17" s="1572" t="s">
        <v>8</v>
      </c>
      <c r="W17" s="1573">
        <f>J17</f>
        <v>100</v>
      </c>
      <c r="X17" s="1566"/>
      <c r="Y17" s="377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771"/>
      <c r="Q18" s="1571"/>
      <c r="R18" s="1572"/>
      <c r="S18" s="1573"/>
      <c r="T18" s="1572"/>
      <c r="U18" s="1573"/>
      <c r="V18" s="1572"/>
      <c r="W18" s="1573"/>
      <c r="X18" s="1566"/>
      <c r="Y18" s="3771"/>
      <c r="Z18" s="1574"/>
      <c r="AA18" s="1575">
        <v>1</v>
      </c>
      <c r="AB18" s="1575">
        <v>1</v>
      </c>
      <c r="AC18" s="1575">
        <v>1</v>
      </c>
    </row>
    <row r="19" spans="1:29" ht="42.75">
      <c r="A19" s="531"/>
      <c r="B19" s="2624" t="s">
        <v>2544</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2"/>
      <c r="M19" s="2134"/>
      <c r="N19" s="2134"/>
      <c r="O19" s="2141"/>
      <c r="P19" s="3771"/>
      <c r="Q19" s="1571" t="str">
        <f>B19</f>
        <v>公共配套设施</v>
      </c>
      <c r="R19" s="1572" t="s">
        <v>8</v>
      </c>
      <c r="S19" s="1573">
        <f>F19</f>
        <v>100</v>
      </c>
      <c r="T19" s="1572" t="s">
        <v>8</v>
      </c>
      <c r="U19" s="1573">
        <f>H19</f>
        <v>100</v>
      </c>
      <c r="V19" s="1572" t="s">
        <v>8</v>
      </c>
      <c r="W19" s="1573">
        <f>J19</f>
        <v>100</v>
      </c>
      <c r="X19" s="1566"/>
      <c r="Y19" s="3771"/>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7"/>
      <c r="L20" s="2142"/>
      <c r="M20" s="2134"/>
      <c r="N20" s="2134"/>
      <c r="O20" s="2141"/>
      <c r="P20" s="3771"/>
      <c r="Q20" s="1571"/>
      <c r="R20" s="1572"/>
      <c r="S20" s="1573"/>
      <c r="T20" s="1572"/>
      <c r="U20" s="1573"/>
      <c r="V20" s="1572"/>
      <c r="W20" s="1573"/>
      <c r="X20" s="1566"/>
      <c r="Y20" s="3771"/>
      <c r="Z20" s="1574"/>
      <c r="AA20" s="1575">
        <v>1</v>
      </c>
      <c r="AB20" s="1575">
        <v>1</v>
      </c>
      <c r="AC20" s="1575">
        <v>1</v>
      </c>
    </row>
    <row r="21" spans="1:29" ht="28.5">
      <c r="A21" s="531"/>
      <c r="B21" s="2617" t="s">
        <v>2556</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2"/>
      <c r="M21" s="2134"/>
      <c r="N21" s="2134"/>
      <c r="O21" s="2141"/>
      <c r="P21" s="3771"/>
      <c r="Q21" s="2603" t="str">
        <f>B21</f>
        <v>基础设施水平</v>
      </c>
      <c r="R21" s="1572" t="s">
        <v>8</v>
      </c>
      <c r="S21" s="1573">
        <f>F21</f>
        <v>100</v>
      </c>
      <c r="T21" s="1572" t="s">
        <v>8</v>
      </c>
      <c r="U21" s="1573">
        <f>H21</f>
        <v>100</v>
      </c>
      <c r="V21" s="1572" t="s">
        <v>8</v>
      </c>
      <c r="W21" s="1573">
        <f>J21</f>
        <v>100</v>
      </c>
      <c r="X21" s="2605"/>
      <c r="Y21" s="3771"/>
      <c r="Z21" s="2604" t="str">
        <f>Q21</f>
        <v>基础设施水平</v>
      </c>
      <c r="AA21" s="1575">
        <f t="shared" ref="AA21" si="8">D21/F21</f>
        <v>1</v>
      </c>
      <c r="AB21" s="1575">
        <f t="shared" ref="AB21" si="9">D21/H21</f>
        <v>1</v>
      </c>
      <c r="AC21" s="1575">
        <f t="shared" ref="AC21" si="10">D21/J21</f>
        <v>1</v>
      </c>
    </row>
    <row r="22" spans="1:29" ht="15">
      <c r="A22" s="531"/>
      <c r="B22" s="920"/>
      <c r="C22" s="872"/>
      <c r="D22" s="554"/>
      <c r="E22" s="575"/>
      <c r="F22" s="556"/>
      <c r="G22" s="575"/>
      <c r="H22" s="554"/>
      <c r="I22" s="575"/>
      <c r="J22" s="554"/>
      <c r="K22" s="2626"/>
      <c r="L22" s="2142"/>
      <c r="M22" s="2134"/>
      <c r="N22" s="2134"/>
      <c r="O22" s="2141"/>
      <c r="P22" s="3771"/>
      <c r="Q22" s="2603"/>
      <c r="R22" s="1572"/>
      <c r="S22" s="1573"/>
      <c r="T22" s="1572"/>
      <c r="U22" s="1573"/>
      <c r="V22" s="1572"/>
      <c r="W22" s="1573"/>
      <c r="X22" s="2605"/>
      <c r="Y22" s="3771"/>
      <c r="Z22" s="2604"/>
      <c r="AA22" s="1575">
        <v>1</v>
      </c>
      <c r="AB22" s="1575">
        <v>1</v>
      </c>
      <c r="AC22" s="1575">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2"/>
      <c r="M23" s="2134"/>
      <c r="N23" s="2134"/>
      <c r="O23" s="2141"/>
      <c r="P23" s="3771"/>
      <c r="Q23" s="1571" t="str">
        <f>B23</f>
        <v>自然及人文环境</v>
      </c>
      <c r="R23" s="1572" t="s">
        <v>8</v>
      </c>
      <c r="S23" s="1573">
        <f>F23</f>
        <v>100</v>
      </c>
      <c r="T23" s="1572" t="s">
        <v>8</v>
      </c>
      <c r="U23" s="1573">
        <f>H23</f>
        <v>100</v>
      </c>
      <c r="V23" s="1572" t="s">
        <v>8</v>
      </c>
      <c r="W23" s="1573">
        <f>J23</f>
        <v>100</v>
      </c>
      <c r="X23" s="1566"/>
      <c r="Y23" s="3771"/>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7"/>
      <c r="L24" s="2142"/>
      <c r="M24" s="2134"/>
      <c r="N24" s="2134"/>
      <c r="O24" s="2141"/>
      <c r="P24" s="3771"/>
      <c r="Q24" s="1571"/>
      <c r="R24" s="1572"/>
      <c r="S24" s="1573"/>
      <c r="T24" s="1572"/>
      <c r="U24" s="1573"/>
      <c r="V24" s="1572"/>
      <c r="W24" s="1573"/>
      <c r="X24" s="1566"/>
      <c r="Y24" s="3771"/>
      <c r="Z24" s="1574"/>
      <c r="AA24" s="1575">
        <v>1</v>
      </c>
      <c r="AB24" s="1575">
        <v>1</v>
      </c>
      <c r="AC24" s="1575">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771"/>
      <c r="Q25" s="1571" t="str">
        <f t="shared" ref="Q25:Q46" si="11">B25</f>
        <v>临街状况</v>
      </c>
      <c r="R25" s="1572" t="s">
        <v>8</v>
      </c>
      <c r="S25" s="1573">
        <f>F25</f>
        <v>100</v>
      </c>
      <c r="T25" s="1572" t="s">
        <v>8</v>
      </c>
      <c r="U25" s="1573">
        <f>H25</f>
        <v>100</v>
      </c>
      <c r="V25" s="1572" t="s">
        <v>8</v>
      </c>
      <c r="W25" s="1573">
        <f>J25</f>
        <v>100</v>
      </c>
      <c r="X25" s="1566"/>
      <c r="Y25" s="3771"/>
      <c r="Z25" s="1574" t="str">
        <f>Q25</f>
        <v>临街状况</v>
      </c>
      <c r="AA25" s="1575">
        <f t="shared" si="3"/>
        <v>1</v>
      </c>
      <c r="AB25" s="1575">
        <f t="shared" si="4"/>
        <v>1</v>
      </c>
      <c r="AC25" s="1575">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771"/>
      <c r="Q26" s="1571" t="str">
        <f t="shared" si="11"/>
        <v>平面位置/可视性</v>
      </c>
      <c r="R26" s="1572" t="s">
        <v>8</v>
      </c>
      <c r="S26" s="1573">
        <f>F26</f>
        <v>100</v>
      </c>
      <c r="T26" s="1572" t="s">
        <v>8</v>
      </c>
      <c r="U26" s="1573">
        <f>H26</f>
        <v>100</v>
      </c>
      <c r="V26" s="1572" t="s">
        <v>8</v>
      </c>
      <c r="W26" s="1573">
        <f>J26</f>
        <v>100</v>
      </c>
      <c r="X26" s="1566"/>
      <c r="Y26" s="3771"/>
      <c r="Z26" s="1574" t="str">
        <f>Q26</f>
        <v>平面位置/可视性</v>
      </c>
      <c r="AA26" s="1575">
        <f t="shared" si="3"/>
        <v>1</v>
      </c>
      <c r="AB26" s="1575">
        <f t="shared" si="4"/>
        <v>1</v>
      </c>
      <c r="AC26" s="1575">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5"/>
      <c r="M27" s="2136"/>
      <c r="N27" s="2136"/>
      <c r="O27" s="2137"/>
      <c r="P27" s="3771"/>
      <c r="Q27" s="1149" t="str">
        <f t="shared" si="11"/>
        <v>人流量</v>
      </c>
      <c r="R27" s="1567" t="s">
        <v>8</v>
      </c>
      <c r="S27" s="1568">
        <f>F27</f>
        <v>100</v>
      </c>
      <c r="T27" s="1567" t="s">
        <v>8</v>
      </c>
      <c r="U27" s="1568">
        <f>H27</f>
        <v>100</v>
      </c>
      <c r="V27" s="1567" t="s">
        <v>8</v>
      </c>
      <c r="W27" s="1568">
        <f>J27</f>
        <v>100</v>
      </c>
      <c r="X27" s="1569"/>
      <c r="Y27" s="3771"/>
      <c r="Z27" s="1148" t="str">
        <f>Q27</f>
        <v>人流量</v>
      </c>
      <c r="AA27" s="1575">
        <f>D27/F27</f>
        <v>1</v>
      </c>
      <c r="AB27" s="1575">
        <f>D27/H27</f>
        <v>1</v>
      </c>
      <c r="AC27" s="1575">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7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771"/>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771"/>
      <c r="Q29" s="1571">
        <f t="shared" si="11"/>
        <v>111</v>
      </c>
      <c r="R29" s="1572" t="s">
        <v>8</v>
      </c>
      <c r="S29" s="1573">
        <f t="shared" si="12"/>
        <v>100</v>
      </c>
      <c r="T29" s="1572" t="s">
        <v>8</v>
      </c>
      <c r="U29" s="1573">
        <f t="shared" si="13"/>
        <v>100</v>
      </c>
      <c r="V29" s="1572" t="s">
        <v>8</v>
      </c>
      <c r="W29" s="1573">
        <f t="shared" si="14"/>
        <v>100</v>
      </c>
      <c r="X29" s="1566"/>
      <c r="Y29" s="3771"/>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771"/>
      <c r="Q30" s="1571">
        <f t="shared" si="11"/>
        <v>111</v>
      </c>
      <c r="R30" s="1572" t="s">
        <v>8</v>
      </c>
      <c r="S30" s="1573">
        <f t="shared" si="12"/>
        <v>100</v>
      </c>
      <c r="T30" s="1572" t="s">
        <v>8</v>
      </c>
      <c r="U30" s="1573">
        <f t="shared" si="13"/>
        <v>100</v>
      </c>
      <c r="V30" s="1572" t="s">
        <v>8</v>
      </c>
      <c r="W30" s="1573">
        <f t="shared" si="14"/>
        <v>100</v>
      </c>
      <c r="X30" s="1566"/>
      <c r="Y30" s="3771"/>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771"/>
      <c r="Q31" s="1571">
        <f t="shared" si="11"/>
        <v>111</v>
      </c>
      <c r="R31" s="1572" t="s">
        <v>8</v>
      </c>
      <c r="S31" s="1573">
        <f t="shared" si="12"/>
        <v>100</v>
      </c>
      <c r="T31" s="1572" t="s">
        <v>8</v>
      </c>
      <c r="U31" s="1573">
        <f t="shared" si="13"/>
        <v>100</v>
      </c>
      <c r="V31" s="1572" t="s">
        <v>8</v>
      </c>
      <c r="W31" s="1573">
        <f t="shared" si="14"/>
        <v>100</v>
      </c>
      <c r="X31" s="1566"/>
      <c r="Y31" s="3771"/>
      <c r="Z31" s="1574">
        <f t="shared" si="15"/>
        <v>111</v>
      </c>
      <c r="AA31" s="1575">
        <f t="shared" si="3"/>
        <v>1</v>
      </c>
      <c r="AB31" s="1575">
        <f t="shared" si="4"/>
        <v>1</v>
      </c>
      <c r="AC31" s="1575">
        <f t="shared" si="5"/>
        <v>1</v>
      </c>
    </row>
    <row r="32" spans="1:29" ht="15">
      <c r="A32" s="2931" t="s">
        <v>2753</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772" t="s">
        <v>550</v>
      </c>
      <c r="Q32" s="1571" t="str">
        <f t="shared" si="11"/>
        <v>商业类型</v>
      </c>
      <c r="R32" s="1572" t="s">
        <v>8</v>
      </c>
      <c r="S32" s="1573">
        <f t="shared" si="12"/>
        <v>100</v>
      </c>
      <c r="T32" s="1572" t="s">
        <v>8</v>
      </c>
      <c r="U32" s="1573">
        <f t="shared" si="13"/>
        <v>100</v>
      </c>
      <c r="V32" s="1572" t="s">
        <v>8</v>
      </c>
      <c r="W32" s="1573">
        <f t="shared" si="14"/>
        <v>100</v>
      </c>
      <c r="X32" s="1566"/>
      <c r="Y32" s="3773" t="s">
        <v>550</v>
      </c>
      <c r="Z32" s="1574" t="str">
        <f t="shared" si="15"/>
        <v>商业类型</v>
      </c>
      <c r="AA32" s="1575">
        <f t="shared" si="3"/>
        <v>1</v>
      </c>
      <c r="AB32" s="1575">
        <f t="shared" si="4"/>
        <v>1</v>
      </c>
      <c r="AC32" s="1575">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773"/>
      <c r="Q33" s="1604" t="str">
        <f t="shared" si="11"/>
        <v>项目建筑规模</v>
      </c>
      <c r="R33" s="1576" t="s">
        <v>8</v>
      </c>
      <c r="S33" s="1577" t="e">
        <f t="shared" si="12"/>
        <v>#N/A</v>
      </c>
      <c r="T33" s="1576" t="s">
        <v>8</v>
      </c>
      <c r="U33" s="1577" t="e">
        <f t="shared" si="13"/>
        <v>#N/A</v>
      </c>
      <c r="V33" s="1576" t="s">
        <v>8</v>
      </c>
      <c r="W33" s="1577" t="e">
        <f t="shared" si="14"/>
        <v>#N/A</v>
      </c>
      <c r="X33" s="1578"/>
      <c r="Y33" s="3773"/>
      <c r="Z33" s="1579" t="str">
        <f t="shared" si="15"/>
        <v>项目建筑规模</v>
      </c>
      <c r="AA33" s="1575" t="e">
        <f t="shared" si="3"/>
        <v>#N/A</v>
      </c>
      <c r="AB33" s="1575" t="e">
        <f t="shared" si="4"/>
        <v>#N/A</v>
      </c>
      <c r="AC33" s="1575"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2"/>
      <c r="M34" s="2134"/>
      <c r="N34" s="2134"/>
      <c r="O34" s="2141"/>
      <c r="P34" s="3773"/>
      <c r="Q34" s="1571" t="str">
        <f t="shared" si="11"/>
        <v>建筑结构</v>
      </c>
      <c r="R34" s="1572" t="s">
        <v>8</v>
      </c>
      <c r="S34" s="1573">
        <f t="shared" si="12"/>
        <v>100</v>
      </c>
      <c r="T34" s="1572" t="s">
        <v>8</v>
      </c>
      <c r="U34" s="1573">
        <f t="shared" si="13"/>
        <v>100</v>
      </c>
      <c r="V34" s="1572" t="s">
        <v>8</v>
      </c>
      <c r="W34" s="1573">
        <f t="shared" si="14"/>
        <v>100</v>
      </c>
      <c r="X34" s="1566"/>
      <c r="Y34" s="3773"/>
      <c r="Z34" s="1574" t="str">
        <f t="shared" si="15"/>
        <v>建筑结构</v>
      </c>
      <c r="AA34" s="1575">
        <f t="shared" si="3"/>
        <v>1</v>
      </c>
      <c r="AB34" s="1575">
        <f t="shared" si="4"/>
        <v>1</v>
      </c>
      <c r="AC34" s="1575">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773"/>
      <c r="Q35" s="1571" t="str">
        <f t="shared" si="11"/>
        <v>公共部分装修</v>
      </c>
      <c r="R35" s="1572" t="s">
        <v>8</v>
      </c>
      <c r="S35" s="1573">
        <f t="shared" si="12"/>
        <v>100</v>
      </c>
      <c r="T35" s="1572" t="s">
        <v>8</v>
      </c>
      <c r="U35" s="1573">
        <f t="shared" si="13"/>
        <v>100</v>
      </c>
      <c r="V35" s="1572" t="s">
        <v>8</v>
      </c>
      <c r="W35" s="1573">
        <f t="shared" si="14"/>
        <v>100</v>
      </c>
      <c r="X35" s="1566"/>
      <c r="Y35" s="3773"/>
      <c r="Z35" s="1574" t="str">
        <f t="shared" si="15"/>
        <v>公共部分装修</v>
      </c>
      <c r="AA35" s="1575">
        <f t="shared" si="3"/>
        <v>1</v>
      </c>
      <c r="AB35" s="1575">
        <f t="shared" si="4"/>
        <v>1</v>
      </c>
      <c r="AC35" s="1575">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2"/>
      <c r="M36" s="2134"/>
      <c r="N36" s="2134"/>
      <c r="O36" s="2141"/>
      <c r="P36" s="3773"/>
      <c r="Q36" s="1571" t="str">
        <f t="shared" si="11"/>
        <v>成新度</v>
      </c>
      <c r="R36" s="1572" t="s">
        <v>8</v>
      </c>
      <c r="S36" s="1573" t="e">
        <f t="shared" si="12"/>
        <v>#N/A</v>
      </c>
      <c r="T36" s="1572" t="s">
        <v>8</v>
      </c>
      <c r="U36" s="1573" t="e">
        <f t="shared" si="13"/>
        <v>#N/A</v>
      </c>
      <c r="V36" s="1572" t="s">
        <v>8</v>
      </c>
      <c r="W36" s="1573" t="e">
        <f t="shared" si="14"/>
        <v>#N/A</v>
      </c>
      <c r="X36" s="1566"/>
      <c r="Y36" s="3773"/>
      <c r="Z36" s="1574" t="str">
        <f t="shared" si="15"/>
        <v>成新度</v>
      </c>
      <c r="AA36" s="1575" t="e">
        <f t="shared" si="3"/>
        <v>#N/A</v>
      </c>
      <c r="AB36" s="1575" t="e">
        <f t="shared" si="4"/>
        <v>#N/A</v>
      </c>
      <c r="AC36" s="1575" t="e">
        <f t="shared" si="5"/>
        <v>#N/A</v>
      </c>
    </row>
    <row r="37" spans="1:29" s="1218" customFormat="1" ht="15">
      <c r="A37" s="599"/>
      <c r="B37" s="1895" t="s">
        <v>2563</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773"/>
      <c r="Q37" s="1149" t="str">
        <f t="shared" si="11"/>
        <v>市政基础设施</v>
      </c>
      <c r="R37" s="1567" t="s">
        <v>8</v>
      </c>
      <c r="S37" s="1568">
        <f t="shared" si="12"/>
        <v>100</v>
      </c>
      <c r="T37" s="1567" t="s">
        <v>8</v>
      </c>
      <c r="U37" s="1568">
        <f t="shared" si="13"/>
        <v>100</v>
      </c>
      <c r="V37" s="1567" t="s">
        <v>8</v>
      </c>
      <c r="W37" s="1568">
        <f t="shared" si="14"/>
        <v>100</v>
      </c>
      <c r="X37" s="1569"/>
      <c r="Y37" s="3773"/>
      <c r="Z37" s="1148" t="str">
        <f t="shared" si="15"/>
        <v>市政基础设施</v>
      </c>
      <c r="AA37" s="1570">
        <f t="shared" si="3"/>
        <v>1</v>
      </c>
      <c r="AB37" s="1570">
        <f t="shared" si="4"/>
        <v>1</v>
      </c>
      <c r="AC37" s="1570">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773" t="s">
        <v>765</v>
      </c>
      <c r="Q38" s="1571" t="str">
        <f t="shared" si="11"/>
        <v>业态</v>
      </c>
      <c r="R38" s="1572" t="s">
        <v>8</v>
      </c>
      <c r="S38" s="1573">
        <f t="shared" si="12"/>
        <v>100</v>
      </c>
      <c r="T38" s="1572" t="s">
        <v>8</v>
      </c>
      <c r="U38" s="1573">
        <f t="shared" si="13"/>
        <v>100</v>
      </c>
      <c r="V38" s="1572" t="s">
        <v>8</v>
      </c>
      <c r="W38" s="1573">
        <f t="shared" si="14"/>
        <v>100</v>
      </c>
      <c r="X38" s="1566"/>
      <c r="Y38" s="3773" t="s">
        <v>765</v>
      </c>
      <c r="Z38" s="1574" t="str">
        <f t="shared" si="15"/>
        <v>业态</v>
      </c>
      <c r="AA38" s="1575">
        <f t="shared" si="3"/>
        <v>1</v>
      </c>
      <c r="AB38" s="1575">
        <f t="shared" si="4"/>
        <v>1</v>
      </c>
      <c r="AC38" s="1575">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773"/>
      <c r="Q39" s="1571" t="str">
        <f t="shared" si="11"/>
        <v>层高</v>
      </c>
      <c r="R39" s="1572" t="s">
        <v>8</v>
      </c>
      <c r="S39" s="1573">
        <f t="shared" si="12"/>
        <v>100</v>
      </c>
      <c r="T39" s="1572" t="s">
        <v>8</v>
      </c>
      <c r="U39" s="1573">
        <f t="shared" si="13"/>
        <v>100</v>
      </c>
      <c r="V39" s="1572" t="s">
        <v>8</v>
      </c>
      <c r="W39" s="1573">
        <f t="shared" si="14"/>
        <v>100</v>
      </c>
      <c r="X39" s="1566"/>
      <c r="Y39" s="3773"/>
      <c r="Z39" s="1574" t="str">
        <f t="shared" si="15"/>
        <v>层高</v>
      </c>
      <c r="AA39" s="1575">
        <f t="shared" si="3"/>
        <v>1</v>
      </c>
      <c r="AB39" s="1575">
        <f t="shared" si="4"/>
        <v>1</v>
      </c>
      <c r="AC39" s="1575">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2"/>
      <c r="M40" s="2134"/>
      <c r="N40" s="2134"/>
      <c r="O40" s="2141"/>
      <c r="P40" s="3773"/>
      <c r="Q40" s="1571" t="str">
        <f t="shared" si="11"/>
        <v>单套建筑面积</v>
      </c>
      <c r="R40" s="1572" t="s">
        <v>8</v>
      </c>
      <c r="S40" s="1573">
        <f t="shared" si="12"/>
        <v>100</v>
      </c>
      <c r="T40" s="1572" t="s">
        <v>8</v>
      </c>
      <c r="U40" s="1573">
        <f t="shared" si="13"/>
        <v>100</v>
      </c>
      <c r="V40" s="1572" t="s">
        <v>8</v>
      </c>
      <c r="W40" s="1573">
        <f t="shared" si="14"/>
        <v>100</v>
      </c>
      <c r="X40" s="1566"/>
      <c r="Y40" s="3773"/>
      <c r="Z40" s="1574" t="str">
        <f t="shared" si="15"/>
        <v>单套建筑面积</v>
      </c>
      <c r="AA40" s="1575">
        <f t="shared" si="3"/>
        <v>1</v>
      </c>
      <c r="AB40" s="1575">
        <f t="shared" si="4"/>
        <v>1</v>
      </c>
      <c r="AC40" s="1575">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773"/>
      <c r="Q41" s="1604" t="str">
        <f t="shared" si="11"/>
        <v>进深比</v>
      </c>
      <c r="R41" s="1576" t="s">
        <v>8</v>
      </c>
      <c r="S41" s="1577">
        <f t="shared" si="12"/>
        <v>100</v>
      </c>
      <c r="T41" s="1576" t="s">
        <v>8</v>
      </c>
      <c r="U41" s="1577">
        <f t="shared" si="13"/>
        <v>100</v>
      </c>
      <c r="V41" s="1576" t="s">
        <v>8</v>
      </c>
      <c r="W41" s="1577">
        <f t="shared" si="14"/>
        <v>100</v>
      </c>
      <c r="X41" s="1578"/>
      <c r="Y41" s="3773"/>
      <c r="Z41" s="1579" t="str">
        <f t="shared" si="15"/>
        <v>进深比</v>
      </c>
      <c r="AA41" s="1575">
        <f t="shared" si="3"/>
        <v>1</v>
      </c>
      <c r="AB41" s="1575">
        <f t="shared" si="4"/>
        <v>1</v>
      </c>
      <c r="AC41" s="1575">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773"/>
      <c r="Q42" s="1571" t="str">
        <f t="shared" si="11"/>
        <v>内部装修</v>
      </c>
      <c r="R42" s="1572" t="s">
        <v>8</v>
      </c>
      <c r="S42" s="1573">
        <f t="shared" si="12"/>
        <v>100</v>
      </c>
      <c r="T42" s="1572" t="s">
        <v>8</v>
      </c>
      <c r="U42" s="1573">
        <f t="shared" si="13"/>
        <v>100</v>
      </c>
      <c r="V42" s="1572" t="s">
        <v>8</v>
      </c>
      <c r="W42" s="1573">
        <f t="shared" si="14"/>
        <v>100</v>
      </c>
      <c r="X42" s="1566"/>
      <c r="Y42" s="3773"/>
      <c r="Z42" s="1574" t="str">
        <f t="shared" si="15"/>
        <v>内部装修</v>
      </c>
      <c r="AA42" s="1575">
        <f t="shared" si="3"/>
        <v>1</v>
      </c>
      <c r="AB42" s="1575">
        <f t="shared" si="4"/>
        <v>1</v>
      </c>
      <c r="AC42" s="1575">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773"/>
      <c r="Q43" s="1571" t="str">
        <f t="shared" si="11"/>
        <v>内部装修维护情况</v>
      </c>
      <c r="R43" s="1572" t="s">
        <v>8</v>
      </c>
      <c r="S43" s="1573">
        <f t="shared" si="12"/>
        <v>100</v>
      </c>
      <c r="T43" s="1572" t="s">
        <v>8</v>
      </c>
      <c r="U43" s="1573">
        <f t="shared" si="13"/>
        <v>100</v>
      </c>
      <c r="V43" s="1572" t="s">
        <v>8</v>
      </c>
      <c r="W43" s="1573">
        <f t="shared" si="14"/>
        <v>100</v>
      </c>
      <c r="X43" s="1566"/>
      <c r="Y43" s="3773"/>
      <c r="Z43" s="1574" t="str">
        <f t="shared" si="15"/>
        <v>内部装修维护情况</v>
      </c>
      <c r="AA43" s="1575">
        <f t="shared" si="3"/>
        <v>1</v>
      </c>
      <c r="AB43" s="1575">
        <f t="shared" si="4"/>
        <v>1</v>
      </c>
      <c r="AC43" s="1575">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773"/>
      <c r="Q44" s="1149">
        <f t="shared" si="11"/>
        <v>111</v>
      </c>
      <c r="R44" s="1567" t="s">
        <v>8</v>
      </c>
      <c r="S44" s="1568">
        <f t="shared" si="12"/>
        <v>100</v>
      </c>
      <c r="T44" s="1567" t="s">
        <v>8</v>
      </c>
      <c r="U44" s="1568">
        <f t="shared" si="13"/>
        <v>100</v>
      </c>
      <c r="V44" s="1567" t="s">
        <v>8</v>
      </c>
      <c r="W44" s="1568">
        <f t="shared" si="14"/>
        <v>100</v>
      </c>
      <c r="X44" s="1569"/>
      <c r="Y44" s="3773"/>
      <c r="Z44" s="1148">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773"/>
      <c r="Q45" s="1571">
        <f t="shared" si="11"/>
        <v>111</v>
      </c>
      <c r="R45" s="1572" t="s">
        <v>8</v>
      </c>
      <c r="S45" s="1573">
        <f t="shared" si="12"/>
        <v>100</v>
      </c>
      <c r="T45" s="1572" t="s">
        <v>8</v>
      </c>
      <c r="U45" s="1573">
        <f t="shared" si="13"/>
        <v>100</v>
      </c>
      <c r="V45" s="1572" t="s">
        <v>8</v>
      </c>
      <c r="W45" s="1573">
        <f t="shared" si="14"/>
        <v>100</v>
      </c>
      <c r="X45" s="1566"/>
      <c r="Y45" s="3773"/>
      <c r="Z45" s="1574">
        <f t="shared" si="15"/>
        <v>111</v>
      </c>
      <c r="AA45" s="1575">
        <f t="shared" si="3"/>
        <v>1</v>
      </c>
      <c r="AB45" s="1575">
        <f t="shared" si="4"/>
        <v>1</v>
      </c>
      <c r="AC45" s="1575">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912"/>
      <c r="Q46" s="1571">
        <f t="shared" si="11"/>
        <v>111</v>
      </c>
      <c r="R46" s="1572" t="s">
        <v>8</v>
      </c>
      <c r="S46" s="1573">
        <f t="shared" si="12"/>
        <v>100</v>
      </c>
      <c r="T46" s="1572" t="s">
        <v>8</v>
      </c>
      <c r="U46" s="1573">
        <f t="shared" si="13"/>
        <v>100</v>
      </c>
      <c r="V46" s="1572" t="s">
        <v>8</v>
      </c>
      <c r="W46" s="1573">
        <f t="shared" si="14"/>
        <v>100</v>
      </c>
      <c r="X46" s="1566"/>
      <c r="Y46" s="3912"/>
      <c r="Z46" s="1574">
        <f t="shared" si="15"/>
        <v>111</v>
      </c>
      <c r="AA46" s="1575">
        <f t="shared" si="3"/>
        <v>1</v>
      </c>
      <c r="AB46" s="1575">
        <f t="shared" si="4"/>
        <v>1</v>
      </c>
      <c r="AC46" s="1575">
        <f t="shared" si="5"/>
        <v>1</v>
      </c>
    </row>
    <row r="47" spans="1:29" ht="15">
      <c r="A47" s="606" t="s">
        <v>735</v>
      </c>
      <c r="B47" s="885"/>
      <c r="C47" s="2651" t="s">
        <v>1</v>
      </c>
      <c r="D47" s="2652"/>
      <c r="E47" s="2653"/>
      <c r="F47" s="2654"/>
      <c r="G47" s="2655"/>
      <c r="H47" s="2656"/>
      <c r="I47" s="2653"/>
      <c r="J47" s="2656"/>
      <c r="K47" s="1610"/>
      <c r="L47" s="2144"/>
      <c r="M47" s="2145"/>
      <c r="N47" s="2134"/>
      <c r="O47" s="2145"/>
      <c r="P47" s="3768" t="str">
        <f>A47</f>
        <v>成交单价（元/平方米）</v>
      </c>
      <c r="Q47" s="3768"/>
      <c r="R47" s="3911">
        <f>E47</f>
        <v>0</v>
      </c>
      <c r="S47" s="3911"/>
      <c r="T47" s="3911">
        <f>G47</f>
        <v>0</v>
      </c>
      <c r="U47" s="3911"/>
      <c r="V47" s="3911">
        <f>I47</f>
        <v>0</v>
      </c>
      <c r="W47" s="3911"/>
      <c r="X47" s="1558"/>
      <c r="Y47" s="1580"/>
      <c r="Z47" s="1558"/>
      <c r="AA47" s="1558"/>
      <c r="AB47" s="1558"/>
      <c r="AC47" s="1558"/>
    </row>
    <row r="48" spans="1:29" ht="15.75" thickBot="1">
      <c r="A48" s="614" t="s">
        <v>2758</v>
      </c>
      <c r="B48" s="886"/>
      <c r="C48" s="2657" t="e">
        <f>R49</f>
        <v>#DIV/0!</v>
      </c>
      <c r="D48" s="2658"/>
      <c r="E48" s="2659" t="e">
        <f>R48</f>
        <v>#DIV/0!</v>
      </c>
      <c r="F48" s="2659"/>
      <c r="G48" s="2657" t="e">
        <f>T48</f>
        <v>#DIV/0!</v>
      </c>
      <c r="H48" s="2658"/>
      <c r="I48" s="2659" t="e">
        <f>V48</f>
        <v>#DIV/0!</v>
      </c>
      <c r="J48" s="2658"/>
      <c r="K48" s="1611"/>
      <c r="L48" s="2144"/>
      <c r="M48" s="2145"/>
      <c r="N48" s="2134"/>
      <c r="O48" s="2145"/>
      <c r="P48" s="3768" t="str">
        <f>A48</f>
        <v>比较价格（元/平方米）</v>
      </c>
      <c r="Q48" s="3768"/>
      <c r="R48" s="3911" t="e">
        <f>IF(F1="售价",ROUND(PRODUCT(R47,AA7:AA46),0),ROUND(PRODUCT(R47,AA7:AA46),1))</f>
        <v>#DIV/0!</v>
      </c>
      <c r="S48" s="3911"/>
      <c r="T48" s="3911" t="e">
        <f>IF(F1="售价",ROUND(PRODUCT(T47,AB7:AB46),0),ROUND(PRODUCT(T47,AB7:AB46),1))</f>
        <v>#DIV/0!</v>
      </c>
      <c r="U48" s="3911"/>
      <c r="V48" s="3911" t="e">
        <f>IF(F1="售价",ROUND(PRODUCT(V47,AC7:AC46),0),ROUND(PRODUCT(V47,AC7:AC46),1))</f>
        <v>#DIV/0!</v>
      </c>
      <c r="W48" s="3911"/>
      <c r="X48" s="1558"/>
      <c r="Y48" s="1558"/>
      <c r="Z48" s="1558"/>
      <c r="AA48" s="1558"/>
      <c r="AB48" s="1558"/>
      <c r="AC48" s="1558"/>
    </row>
    <row r="49" spans="1:29" ht="15.75" thickBot="1">
      <c r="A49" s="620" t="s">
        <v>2931</v>
      </c>
      <c r="B49" s="621"/>
      <c r="C49" s="2660" t="e">
        <f>R49</f>
        <v>#DIV/0!</v>
      </c>
      <c r="D49" s="2660"/>
      <c r="E49" s="2660"/>
      <c r="F49" s="2660"/>
      <c r="G49" s="2660"/>
      <c r="H49" s="2660"/>
      <c r="I49" s="2660"/>
      <c r="J49" s="2660"/>
      <c r="K49" s="1612"/>
      <c r="L49" s="2144"/>
      <c r="M49" s="2145"/>
      <c r="N49" s="2134"/>
      <c r="O49" s="2145"/>
      <c r="P49" s="3789" t="str">
        <f>A49</f>
        <v>估价对象XX用房的比较价格（楼面单价，元/平方米）</v>
      </c>
      <c r="Q49" s="3790"/>
      <c r="R49" s="3910" t="e">
        <f>IF(F1="售价",ROUND(AVERAGE(R48:V48),0),ROUND(AVERAGE(R48:V48),1))</f>
        <v>#DIV/0!</v>
      </c>
      <c r="S49" s="3910"/>
      <c r="T49" s="3910"/>
      <c r="U49" s="3910"/>
      <c r="V49" s="3910"/>
      <c r="W49" s="3910"/>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3" customFormat="1" ht="13.5" customHeight="1">
      <c r="A54" s="2146"/>
      <c r="B54" s="2146"/>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3"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5" customFormat="1" ht="15">
      <c r="A58" s="644" t="s">
        <v>529</v>
      </c>
      <c r="B58" s="645"/>
      <c r="C58" s="2826" t="str">
        <f>YEAR(C7)&amp;"-"&amp;MONTH(C7)</f>
        <v>2018-12</v>
      </c>
      <c r="D58" s="2828">
        <f>EDATE(C58,-1)</f>
        <v>43405</v>
      </c>
      <c r="E58" s="2828">
        <f t="shared" ref="E58:O58" si="16">EDATE(D58,-1)</f>
        <v>43374</v>
      </c>
      <c r="F58" s="2828">
        <f t="shared" si="16"/>
        <v>43344</v>
      </c>
      <c r="G58" s="2828">
        <f t="shared" si="16"/>
        <v>43313</v>
      </c>
      <c r="H58" s="2828">
        <f t="shared" si="16"/>
        <v>43282</v>
      </c>
      <c r="I58" s="2828">
        <f t="shared" si="16"/>
        <v>43252</v>
      </c>
      <c r="J58" s="2828">
        <f t="shared" si="16"/>
        <v>43221</v>
      </c>
      <c r="K58" s="2828">
        <f t="shared" si="16"/>
        <v>43191</v>
      </c>
      <c r="L58" s="2828">
        <f t="shared" si="16"/>
        <v>43160</v>
      </c>
      <c r="M58" s="2828">
        <f t="shared" si="16"/>
        <v>43132</v>
      </c>
      <c r="N58" s="2828">
        <f t="shared" si="16"/>
        <v>43101</v>
      </c>
      <c r="O58" s="2828">
        <f t="shared" si="16"/>
        <v>43070</v>
      </c>
      <c r="P58" s="2160"/>
      <c r="Q58" s="2161"/>
      <c r="R58" s="2161"/>
      <c r="S58" s="2161"/>
      <c r="T58" s="2161"/>
      <c r="U58" s="2161"/>
      <c r="V58" s="2161"/>
      <c r="W58" s="2161"/>
      <c r="X58" s="2161"/>
      <c r="Y58" s="2161"/>
      <c r="Z58" s="2161"/>
      <c r="AA58" s="2161"/>
      <c r="AB58" s="2161"/>
      <c r="AC58" s="2161"/>
    </row>
    <row r="59" spans="1:29" s="1218"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8" customFormat="1" ht="15.75" thickBot="1">
      <c r="A60" s="652" t="s">
        <v>575</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8" customFormat="1" ht="15">
      <c r="A61" s="658" t="s">
        <v>531</v>
      </c>
      <c r="B61" s="647"/>
      <c r="C61" s="659" t="s">
        <v>576</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8" customFormat="1" ht="15.75" thickBot="1">
      <c r="A62" s="658"/>
      <c r="B62" s="647"/>
      <c r="C62" s="887">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3"/>
    </row>
    <row r="63" spans="1:29">
      <c r="A63" s="663" t="s">
        <v>577</v>
      </c>
      <c r="B63" s="664" t="s">
        <v>534</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537</v>
      </c>
      <c r="C65" s="673" t="s">
        <v>736</v>
      </c>
      <c r="D65" s="673" t="s">
        <v>737</v>
      </c>
      <c r="E65" s="673" t="s">
        <v>738</v>
      </c>
      <c r="F65" s="673" t="s">
        <v>739</v>
      </c>
      <c r="G65" s="673" t="s">
        <v>740</v>
      </c>
      <c r="H65" s="673" t="s">
        <v>741</v>
      </c>
      <c r="I65" s="673" t="s">
        <v>742</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7"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7"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7"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7"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7"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7"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539</v>
      </c>
      <c r="B76" s="664" t="s">
        <v>578</v>
      </c>
      <c r="C76" s="702" t="s">
        <v>579</v>
      </c>
      <c r="D76" s="702" t="s">
        <v>580</v>
      </c>
      <c r="E76" s="702" t="s">
        <v>581</v>
      </c>
      <c r="F76" s="702" t="s">
        <v>582</v>
      </c>
      <c r="G76" s="702" t="s">
        <v>583</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586</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2555</v>
      </c>
      <c r="C80" s="707" t="s">
        <v>579</v>
      </c>
      <c r="D80" s="707" t="s">
        <v>580</v>
      </c>
      <c r="E80" s="707" t="s">
        <v>581</v>
      </c>
      <c r="F80" s="707" t="s">
        <v>582</v>
      </c>
      <c r="G80" s="707" t="s">
        <v>583</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2556</v>
      </c>
      <c r="C82" s="2622" t="s">
        <v>2557</v>
      </c>
      <c r="D82" s="2622" t="s">
        <v>2558</v>
      </c>
      <c r="E82" s="2622" t="s">
        <v>2559</v>
      </c>
      <c r="F82" s="2622" t="s">
        <v>2560</v>
      </c>
      <c r="G82" s="2622" t="s">
        <v>2561</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743</v>
      </c>
      <c r="C84" s="707" t="s">
        <v>579</v>
      </c>
      <c r="D84" s="707" t="s">
        <v>580</v>
      </c>
      <c r="E84" s="707" t="s">
        <v>581</v>
      </c>
      <c r="F84" s="707" t="s">
        <v>582</v>
      </c>
      <c r="G84" s="707" t="s">
        <v>583</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8" customFormat="1" ht="15.75" thickTop="1">
      <c r="A86" s="708"/>
      <c r="B86" s="672" t="s">
        <v>770</v>
      </c>
      <c r="C86" s="687"/>
      <c r="D86" s="687"/>
      <c r="E86" s="687"/>
      <c r="F86" s="687"/>
      <c r="G86" s="687"/>
      <c r="H86" s="687"/>
      <c r="I86" s="687"/>
      <c r="J86" s="687"/>
      <c r="K86" s="687"/>
      <c r="L86" s="888"/>
      <c r="M86" s="889"/>
      <c r="N86" s="2162"/>
      <c r="O86" s="2162"/>
      <c r="P86" s="2165"/>
      <c r="Q86" s="2158"/>
      <c r="R86" s="1993"/>
      <c r="S86" s="1993"/>
      <c r="T86" s="1993"/>
      <c r="U86" s="1993"/>
      <c r="V86" s="1993"/>
      <c r="W86" s="1993"/>
      <c r="X86" s="1993"/>
      <c r="Y86" s="1993"/>
      <c r="Z86" s="1993"/>
      <c r="AA86" s="1993"/>
      <c r="AB86" s="1993"/>
      <c r="AC86" s="1993"/>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8" customFormat="1" ht="15.75" thickTop="1">
      <c r="A88" s="708"/>
      <c r="B88" s="672" t="str">
        <f>B26</f>
        <v>平面位置/可视性</v>
      </c>
      <c r="C88" s="687"/>
      <c r="D88" s="687"/>
      <c r="E88" s="687"/>
      <c r="F88" s="890"/>
      <c r="G88" s="687"/>
      <c r="H88" s="687"/>
      <c r="I88" s="687"/>
      <c r="J88" s="687"/>
      <c r="K88" s="687"/>
      <c r="L88" s="687"/>
      <c r="M88" s="889"/>
      <c r="N88" s="2162"/>
      <c r="O88" s="2162"/>
      <c r="P88" s="2165"/>
      <c r="Q88" s="2158"/>
      <c r="R88" s="1993"/>
      <c r="S88" s="1993"/>
      <c r="T88" s="1993"/>
      <c r="U88" s="1993"/>
      <c r="V88" s="1993"/>
      <c r="W88" s="1993"/>
      <c r="X88" s="1993"/>
      <c r="Y88" s="1993"/>
      <c r="Z88" s="1993"/>
      <c r="AA88" s="1993"/>
      <c r="AB88" s="1993"/>
      <c r="AC88" s="1993"/>
    </row>
    <row r="89" spans="1:29" s="1218"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7"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8"/>
      <c r="M92" s="889"/>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1"/>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551</v>
      </c>
      <c r="B100" s="664" t="s">
        <v>771</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7"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7"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748</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750</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2">
        <v>0.5</v>
      </c>
      <c r="D110" s="892">
        <v>0.6</v>
      </c>
      <c r="E110" s="892">
        <v>0.7</v>
      </c>
      <c r="F110" s="892">
        <v>0.8</v>
      </c>
      <c r="G110" s="892">
        <v>0.9</v>
      </c>
      <c r="H110" s="892">
        <v>1.0001</v>
      </c>
      <c r="I110" s="903"/>
      <c r="J110" s="903"/>
      <c r="K110" s="904"/>
      <c r="L110" s="905"/>
      <c r="M110" s="906"/>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7" customFormat="1" ht="15" thickTop="1">
      <c r="A112" s="727"/>
      <c r="B112" s="1896" t="s">
        <v>2554</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772</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773</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774</v>
      </c>
      <c r="C118" s="907"/>
      <c r="D118" s="907"/>
      <c r="E118" s="907"/>
      <c r="F118" s="907"/>
      <c r="G118" s="907"/>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7" customFormat="1" ht="15" thickTop="1">
      <c r="A120" s="727"/>
      <c r="B120" s="672" t="s">
        <v>775</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754</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755</v>
      </c>
      <c r="C124" s="707" t="s">
        <v>579</v>
      </c>
      <c r="D124" s="707" t="s">
        <v>580</v>
      </c>
      <c r="E124" s="707" t="s">
        <v>581</v>
      </c>
      <c r="F124" s="707" t="s">
        <v>582</v>
      </c>
      <c r="G124" s="707" t="s">
        <v>583</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7"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7"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1"/>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2221"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776</v>
      </c>
      <c r="C1" s="503" t="s">
        <v>720</v>
      </c>
      <c r="D1" s="848"/>
      <c r="E1" s="505"/>
      <c r="F1" s="2831"/>
      <c r="G1" s="1600" t="s">
        <v>721</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4" customFormat="1" ht="28.5" customHeight="1">
      <c r="A2" s="422" t="s">
        <v>467</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4" customFormat="1" ht="28.5" customHeight="1" thickBot="1">
      <c r="A3" s="508" t="s">
        <v>519</v>
      </c>
      <c r="B3" s="509" t="e">
        <f>C50</f>
        <v>#DIV/0!</v>
      </c>
      <c r="C3" s="851" t="s">
        <v>722</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521</v>
      </c>
      <c r="B4" s="512"/>
      <c r="C4" s="3774" t="s">
        <v>522</v>
      </c>
      <c r="D4" s="3775"/>
      <c r="E4" s="3840" t="s">
        <v>523</v>
      </c>
      <c r="F4" s="3841"/>
      <c r="G4" s="3774" t="s">
        <v>524</v>
      </c>
      <c r="H4" s="3775"/>
      <c r="I4" s="3774" t="s">
        <v>525</v>
      </c>
      <c r="J4" s="3775"/>
      <c r="K4" s="513" t="s">
        <v>526</v>
      </c>
      <c r="L4" s="2133"/>
      <c r="M4" s="2134"/>
      <c r="N4" s="2134"/>
      <c r="O4" s="2134"/>
      <c r="P4" s="3913" t="s">
        <v>527</v>
      </c>
      <c r="Q4" s="3777"/>
      <c r="R4" s="3762" t="s">
        <v>523</v>
      </c>
      <c r="S4" s="3763"/>
      <c r="T4" s="3762" t="s">
        <v>524</v>
      </c>
      <c r="U4" s="3763"/>
      <c r="V4" s="3782" t="s">
        <v>525</v>
      </c>
      <c r="W4" s="3782"/>
      <c r="X4" s="1566"/>
      <c r="Y4" s="3762" t="s">
        <v>527</v>
      </c>
      <c r="Z4" s="3763"/>
      <c r="AA4" s="3757" t="s">
        <v>523</v>
      </c>
      <c r="AB4" s="3757" t="s">
        <v>524</v>
      </c>
      <c r="AC4" s="3757" t="s">
        <v>525</v>
      </c>
    </row>
    <row r="5" spans="1:29" ht="15">
      <c r="A5" s="514"/>
      <c r="B5" s="515"/>
      <c r="C5" s="3785" t="s">
        <v>2925</v>
      </c>
      <c r="D5" s="3786"/>
      <c r="E5" s="3842" t="s">
        <v>2926</v>
      </c>
      <c r="F5" s="3843"/>
      <c r="G5" s="3785" t="s">
        <v>2927</v>
      </c>
      <c r="H5" s="3786"/>
      <c r="I5" s="3785" t="s">
        <v>2928</v>
      </c>
      <c r="J5" s="3786"/>
      <c r="K5" s="513"/>
      <c r="L5" s="2133"/>
      <c r="M5" s="2134"/>
      <c r="N5" s="2134"/>
      <c r="O5" s="2134"/>
      <c r="P5" s="3914"/>
      <c r="Q5" s="3779"/>
      <c r="R5" s="3764"/>
      <c r="S5" s="3765"/>
      <c r="T5" s="3764"/>
      <c r="U5" s="3765"/>
      <c r="V5" s="3782"/>
      <c r="W5" s="3782"/>
      <c r="X5" s="1566"/>
      <c r="Y5" s="3764"/>
      <c r="Z5" s="3765"/>
      <c r="AA5" s="3758"/>
      <c r="AB5" s="3758"/>
      <c r="AC5" s="3758"/>
    </row>
    <row r="6" spans="1:29" ht="15.75" thickBot="1">
      <c r="A6" s="516"/>
      <c r="B6" s="517"/>
      <c r="C6" s="3783" t="s">
        <v>2929</v>
      </c>
      <c r="D6" s="3784"/>
      <c r="E6" s="3844" t="s">
        <v>2929</v>
      </c>
      <c r="F6" s="3845"/>
      <c r="G6" s="3783" t="s">
        <v>2929</v>
      </c>
      <c r="H6" s="3784"/>
      <c r="I6" s="3783" t="s">
        <v>2929</v>
      </c>
      <c r="J6" s="3784"/>
      <c r="K6" s="513" t="s">
        <v>528</v>
      </c>
      <c r="L6" s="2133"/>
      <c r="M6" s="2134"/>
      <c r="N6" s="2134"/>
      <c r="O6" s="2134"/>
      <c r="P6" s="3915"/>
      <c r="Q6" s="3781"/>
      <c r="R6" s="3764"/>
      <c r="S6" s="3765"/>
      <c r="T6" s="3766"/>
      <c r="U6" s="3767"/>
      <c r="V6" s="3782"/>
      <c r="W6" s="3782"/>
      <c r="X6" s="1566"/>
      <c r="Y6" s="3766"/>
      <c r="Z6" s="3767"/>
      <c r="AA6" s="3759"/>
      <c r="AB6" s="3759"/>
      <c r="AC6" s="3759"/>
    </row>
    <row r="7" spans="1:29" s="1218" customFormat="1" ht="15.75" thickBot="1">
      <c r="A7" s="2936"/>
      <c r="B7" s="2943" t="s">
        <v>529</v>
      </c>
      <c r="C7" s="518">
        <f>'数据-取费表'!B2</f>
        <v>43438</v>
      </c>
      <c r="D7" s="519">
        <v>100</v>
      </c>
      <c r="E7" s="520"/>
      <c r="F7" s="521">
        <f>SUMIF(59:59,YEAR(E7)&amp;"-"&amp;MONTH(E7),60:60)</f>
        <v>0</v>
      </c>
      <c r="G7" s="520"/>
      <c r="H7" s="519">
        <f>SUMIF(59:59,YEAR(G7)&amp;"-"&amp;MONTH(G7),60:60)</f>
        <v>0</v>
      </c>
      <c r="I7" s="520"/>
      <c r="J7" s="519">
        <f>SUMIF(59:59,YEAR(I7)&amp;"-"&amp;MONTH(I7),60:60)</f>
        <v>0</v>
      </c>
      <c r="K7" s="523"/>
      <c r="L7" s="2135"/>
      <c r="M7" s="2136"/>
      <c r="N7" s="2136"/>
      <c r="O7" s="2136"/>
      <c r="P7" s="3769" t="s">
        <v>530</v>
      </c>
      <c r="Q7" s="3769"/>
      <c r="R7" s="1567" t="s">
        <v>8</v>
      </c>
      <c r="S7" s="1568">
        <f t="shared" ref="S7:S15" si="0">F7</f>
        <v>0</v>
      </c>
      <c r="T7" s="1567" t="s">
        <v>8</v>
      </c>
      <c r="U7" s="1568">
        <f t="shared" ref="U7:U15" si="1">H7</f>
        <v>0</v>
      </c>
      <c r="V7" s="1567" t="s">
        <v>8</v>
      </c>
      <c r="W7" s="1568">
        <f t="shared" ref="W7:W15" si="2">J7</f>
        <v>0</v>
      </c>
      <c r="X7" s="1569"/>
      <c r="Y7" s="3760" t="s">
        <v>530</v>
      </c>
      <c r="Z7" s="3761"/>
      <c r="AA7" s="1570" t="e">
        <f>D7/F7</f>
        <v>#DIV/0!</v>
      </c>
      <c r="AB7" s="1570" t="e">
        <f>D7/H7</f>
        <v>#DIV/0!</v>
      </c>
      <c r="AC7" s="1570" t="e">
        <f>D7/J7</f>
        <v>#DIV/0!</v>
      </c>
    </row>
    <row r="8" spans="1:29" s="1218" customFormat="1" ht="15.75" thickBot="1">
      <c r="A8" s="2937"/>
      <c r="B8" s="2944" t="s">
        <v>531</v>
      </c>
      <c r="C8" s="524" t="s">
        <v>576</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769" t="s">
        <v>533</v>
      </c>
      <c r="Q8" s="3761"/>
      <c r="R8" s="1567" t="s">
        <v>8</v>
      </c>
      <c r="S8" s="1568">
        <f t="shared" si="0"/>
        <v>0</v>
      </c>
      <c r="T8" s="1567" t="s">
        <v>8</v>
      </c>
      <c r="U8" s="1568">
        <f t="shared" si="1"/>
        <v>0</v>
      </c>
      <c r="V8" s="1567" t="s">
        <v>8</v>
      </c>
      <c r="W8" s="1568">
        <f t="shared" si="2"/>
        <v>0</v>
      </c>
      <c r="X8" s="1569"/>
      <c r="Y8" s="3760" t="s">
        <v>533</v>
      </c>
      <c r="Z8" s="3761"/>
      <c r="AA8" s="1570" t="e">
        <f t="shared" ref="AA8:AA47" si="3">D8/F8</f>
        <v>#DIV/0!</v>
      </c>
      <c r="AB8" s="1570" t="e">
        <f t="shared" ref="AB8:AB47" si="4">D8/H8</f>
        <v>#DIV/0!</v>
      </c>
      <c r="AC8" s="1570" t="e">
        <f t="shared" ref="AC8:AC47" si="5">D8/J8</f>
        <v>#DIV/0!</v>
      </c>
    </row>
    <row r="9" spans="1:29" s="1218" customFormat="1" ht="15">
      <c r="A9" s="2938"/>
      <c r="B9" s="2945" t="s">
        <v>2754</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768" t="s">
        <v>535</v>
      </c>
      <c r="Q9" s="1149" t="str">
        <f t="shared" ref="Q9:Q15" si="6">B9</f>
        <v>用途</v>
      </c>
      <c r="R9" s="1567" t="s">
        <v>8</v>
      </c>
      <c r="S9" s="1568">
        <f t="shared" si="0"/>
        <v>100</v>
      </c>
      <c r="T9" s="1567" t="s">
        <v>8</v>
      </c>
      <c r="U9" s="1568">
        <f t="shared" si="1"/>
        <v>100</v>
      </c>
      <c r="V9" s="1567" t="s">
        <v>8</v>
      </c>
      <c r="W9" s="1568">
        <f t="shared" si="2"/>
        <v>100</v>
      </c>
      <c r="X9" s="1569"/>
      <c r="Y9" s="3725" t="s">
        <v>536</v>
      </c>
      <c r="Z9" s="1148" t="str">
        <f t="shared" ref="Z9:Z15" si="7">Q9</f>
        <v>用途</v>
      </c>
      <c r="AA9" s="1570">
        <f t="shared" si="3"/>
        <v>1</v>
      </c>
      <c r="AB9" s="1570">
        <f t="shared" si="4"/>
        <v>1</v>
      </c>
      <c r="AC9" s="1570">
        <f t="shared" si="5"/>
        <v>1</v>
      </c>
    </row>
    <row r="10" spans="1:29" s="1336" customFormat="1" ht="27">
      <c r="A10" s="2939"/>
      <c r="B10" s="2944" t="s">
        <v>2755</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
      <c r="A11" s="2940"/>
      <c r="B11" s="2944"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768"/>
      <c r="Q11" s="1149" t="str">
        <f t="shared" si="6"/>
        <v>容积率</v>
      </c>
      <c r="R11" s="1567" t="s">
        <v>8</v>
      </c>
      <c r="S11" s="1568" t="e">
        <f t="shared" si="0"/>
        <v>#N/A</v>
      </c>
      <c r="T11" s="1567" t="s">
        <v>8</v>
      </c>
      <c r="U11" s="1568" t="e">
        <f t="shared" si="1"/>
        <v>#N/A</v>
      </c>
      <c r="V11" s="1567" t="s">
        <v>8</v>
      </c>
      <c r="W11" s="1568" t="e">
        <f t="shared" si="2"/>
        <v>#N/A</v>
      </c>
      <c r="X11" s="1569"/>
      <c r="Y11" s="3725"/>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27"/>
      <c r="F12" s="254">
        <f>SUMIF(71:71,E12,72:72)-SUMIF(71:71,C12,72:72)+100</f>
        <v>100</v>
      </c>
      <c r="G12" s="908"/>
      <c r="H12" s="254">
        <f>SUMIF(71:71,G12,72:72)-SUMIF(71:71,C12,72:72)+100</f>
        <v>100</v>
      </c>
      <c r="I12" s="527"/>
      <c r="J12" s="254">
        <f>SUMIF(71:71,I12,72:72)-SUMIF(71:71,C12,72:72)+100</f>
        <v>100</v>
      </c>
      <c r="K12" s="580"/>
      <c r="L12" s="2135"/>
      <c r="M12" s="2136"/>
      <c r="N12" s="2136"/>
      <c r="O12" s="2136"/>
      <c r="P12" s="3768"/>
      <c r="Q12" s="1149">
        <f t="shared" si="6"/>
        <v>111</v>
      </c>
      <c r="R12" s="1567" t="s">
        <v>8</v>
      </c>
      <c r="S12" s="1568">
        <f t="shared" si="0"/>
        <v>100</v>
      </c>
      <c r="T12" s="1567" t="s">
        <v>8</v>
      </c>
      <c r="U12" s="1568">
        <f t="shared" si="1"/>
        <v>100</v>
      </c>
      <c r="V12" s="1567" t="s">
        <v>8</v>
      </c>
      <c r="W12" s="1568">
        <f t="shared" si="2"/>
        <v>100</v>
      </c>
      <c r="X12" s="1569"/>
      <c r="Y12" s="3725"/>
      <c r="Z12" s="1148">
        <f t="shared" si="7"/>
        <v>111</v>
      </c>
      <c r="AA12" s="1570">
        <f>D12/F12</f>
        <v>1</v>
      </c>
      <c r="AB12" s="1570">
        <f>D12/H12</f>
        <v>1</v>
      </c>
      <c r="AC12" s="1570">
        <f>D12/J12</f>
        <v>1</v>
      </c>
    </row>
    <row r="13" spans="1:29" ht="15">
      <c r="A13" s="2941"/>
      <c r="B13" s="2947">
        <v>111</v>
      </c>
      <c r="C13" s="538"/>
      <c r="D13" s="539">
        <v>100</v>
      </c>
      <c r="E13" s="527"/>
      <c r="F13" s="254">
        <f>SUMIF(73:73,E13,74:74)-SUMIF(73:73,C13,74:74)+100</f>
        <v>100</v>
      </c>
      <c r="G13" s="908"/>
      <c r="H13" s="539">
        <f>SUMIF(73:73,G13,74:74)-SUMIF(73:73,C13,74:74)+100</f>
        <v>100</v>
      </c>
      <c r="I13" s="527"/>
      <c r="J13" s="539">
        <f>SUMIF(73:73,I13,74:74)-SUMIF(73:73,C13,74:74)+100</f>
        <v>100</v>
      </c>
      <c r="K13" s="580"/>
      <c r="L13" s="2142"/>
      <c r="M13" s="2134"/>
      <c r="N13" s="2134"/>
      <c r="O13" s="2134"/>
      <c r="P13" s="3768"/>
      <c r="Q13" s="1149">
        <f t="shared" si="6"/>
        <v>111</v>
      </c>
      <c r="R13" s="1567" t="s">
        <v>8</v>
      </c>
      <c r="S13" s="1568">
        <f t="shared" si="0"/>
        <v>100</v>
      </c>
      <c r="T13" s="1567" t="s">
        <v>8</v>
      </c>
      <c r="U13" s="1568">
        <f t="shared" si="1"/>
        <v>100</v>
      </c>
      <c r="V13" s="1567" t="s">
        <v>8</v>
      </c>
      <c r="W13" s="1568">
        <f t="shared" si="2"/>
        <v>100</v>
      </c>
      <c r="X13" s="1569"/>
      <c r="Y13" s="3725"/>
      <c r="Z13" s="1148">
        <f t="shared" si="7"/>
        <v>111</v>
      </c>
      <c r="AA13" s="1570">
        <f t="shared" si="3"/>
        <v>1</v>
      </c>
      <c r="AB13" s="1570">
        <f t="shared" si="4"/>
        <v>1</v>
      </c>
      <c r="AC13" s="1570">
        <f t="shared" si="5"/>
        <v>1</v>
      </c>
    </row>
    <row r="14" spans="1:29" ht="15.75" thickBot="1">
      <c r="A14" s="2942"/>
      <c r="B14" s="2948">
        <v>111</v>
      </c>
      <c r="C14" s="544"/>
      <c r="D14" s="545">
        <v>100</v>
      </c>
      <c r="E14" s="909"/>
      <c r="F14" s="545">
        <f>SUMIF(75:75,E14,76:76)-SUMIF(75:75,C14,76:76)+100</f>
        <v>100</v>
      </c>
      <c r="G14" s="908"/>
      <c r="H14" s="545">
        <f>SUMIF(75:75,G14,76:76)-SUMIF(75:75,C14,76:76)+100</f>
        <v>100</v>
      </c>
      <c r="I14" s="527"/>
      <c r="J14" s="545">
        <f>SUMIF(75:75,I14,76:76)-SUMIF(75:75,C14,76:76)+100</f>
        <v>100</v>
      </c>
      <c r="K14" s="580"/>
      <c r="L14" s="2142"/>
      <c r="M14" s="2134"/>
      <c r="N14" s="2134"/>
      <c r="O14" s="2134"/>
      <c r="P14" s="3768"/>
      <c r="Q14" s="1149">
        <f t="shared" si="6"/>
        <v>111</v>
      </c>
      <c r="R14" s="1567" t="s">
        <v>8</v>
      </c>
      <c r="S14" s="1568">
        <f t="shared" si="0"/>
        <v>100</v>
      </c>
      <c r="T14" s="1567" t="s">
        <v>8</v>
      </c>
      <c r="U14" s="1568">
        <f t="shared" si="1"/>
        <v>100</v>
      </c>
      <c r="V14" s="1567" t="s">
        <v>8</v>
      </c>
      <c r="W14" s="1568">
        <f t="shared" si="2"/>
        <v>100</v>
      </c>
      <c r="X14" s="1569"/>
      <c r="Y14" s="3725"/>
      <c r="Z14" s="1148">
        <f t="shared" si="7"/>
        <v>111</v>
      </c>
      <c r="AA14" s="1570">
        <f t="shared" si="3"/>
        <v>1</v>
      </c>
      <c r="AB14" s="1570">
        <f t="shared" si="4"/>
        <v>1</v>
      </c>
      <c r="AC14" s="1570">
        <f t="shared" si="5"/>
        <v>1</v>
      </c>
    </row>
    <row r="15" spans="1:29" ht="71.25">
      <c r="A15" s="2934"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2"/>
      <c r="M15" s="2134"/>
      <c r="N15" s="2134"/>
      <c r="O15" s="2134"/>
      <c r="P15" s="3770" t="s">
        <v>540</v>
      </c>
      <c r="Q15" s="1571" t="str">
        <f t="shared" si="6"/>
        <v>办公集聚程度</v>
      </c>
      <c r="R15" s="1572" t="s">
        <v>8</v>
      </c>
      <c r="S15" s="1573">
        <f t="shared" si="0"/>
        <v>100</v>
      </c>
      <c r="T15" s="1572" t="s">
        <v>8</v>
      </c>
      <c r="U15" s="1573">
        <f t="shared" si="1"/>
        <v>100</v>
      </c>
      <c r="V15" s="1572" t="s">
        <v>8</v>
      </c>
      <c r="W15" s="1573">
        <f t="shared" si="2"/>
        <v>100</v>
      </c>
      <c r="X15" s="1566"/>
      <c r="Y15" s="3770" t="s">
        <v>540</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7"/>
      <c r="L16" s="2142"/>
      <c r="M16" s="2134"/>
      <c r="N16" s="2134"/>
      <c r="O16" s="2134"/>
      <c r="P16" s="3771"/>
      <c r="Q16" s="1571"/>
      <c r="R16" s="1572"/>
      <c r="S16" s="1573"/>
      <c r="T16" s="1572"/>
      <c r="U16" s="1573"/>
      <c r="V16" s="1572"/>
      <c r="W16" s="1573"/>
      <c r="X16" s="1566"/>
      <c r="Y16" s="3771"/>
      <c r="Z16" s="1574"/>
      <c r="AA16" s="1575">
        <v>1</v>
      </c>
      <c r="AB16" s="1575">
        <v>1</v>
      </c>
      <c r="AC16" s="1575">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2"/>
      <c r="M17" s="2134"/>
      <c r="N17" s="2134"/>
      <c r="O17" s="2134"/>
      <c r="P17" s="3771"/>
      <c r="Q17" s="1571" t="str">
        <f>B17</f>
        <v>交通便捷度</v>
      </c>
      <c r="R17" s="1572" t="s">
        <v>8</v>
      </c>
      <c r="S17" s="1573">
        <f>F17</f>
        <v>100</v>
      </c>
      <c r="T17" s="1572" t="s">
        <v>8</v>
      </c>
      <c r="U17" s="1573">
        <f>H17</f>
        <v>100</v>
      </c>
      <c r="V17" s="1572" t="s">
        <v>8</v>
      </c>
      <c r="W17" s="1573">
        <f>J17</f>
        <v>100</v>
      </c>
      <c r="X17" s="1566"/>
      <c r="Y17" s="3771"/>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7"/>
      <c r="L18" s="2142"/>
      <c r="M18" s="2134"/>
      <c r="N18" s="2134"/>
      <c r="O18" s="2134"/>
      <c r="P18" s="3771"/>
      <c r="Q18" s="1571"/>
      <c r="R18" s="1572"/>
      <c r="S18" s="1573"/>
      <c r="T18" s="1572"/>
      <c r="U18" s="1573"/>
      <c r="V18" s="1572"/>
      <c r="W18" s="1573"/>
      <c r="X18" s="1566"/>
      <c r="Y18" s="3771"/>
      <c r="Z18" s="1574"/>
      <c r="AA18" s="1575">
        <v>1</v>
      </c>
      <c r="AB18" s="1575">
        <v>1</v>
      </c>
      <c r="AC18" s="1575">
        <v>1</v>
      </c>
    </row>
    <row r="19" spans="1:29" ht="42.75">
      <c r="A19" s="531"/>
      <c r="B19" s="2627" t="s">
        <v>2544</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2"/>
      <c r="M19" s="2134"/>
      <c r="N19" s="2134"/>
      <c r="O19" s="2134"/>
      <c r="P19" s="3771"/>
      <c r="Q19" s="1571" t="str">
        <f>B19</f>
        <v>公共配套设施</v>
      </c>
      <c r="R19" s="1572" t="s">
        <v>8</v>
      </c>
      <c r="S19" s="1573">
        <f>F19</f>
        <v>100</v>
      </c>
      <c r="T19" s="1572" t="s">
        <v>8</v>
      </c>
      <c r="U19" s="1573">
        <f>H19</f>
        <v>100</v>
      </c>
      <c r="V19" s="1572" t="s">
        <v>8</v>
      </c>
      <c r="W19" s="1573">
        <f>J19</f>
        <v>100</v>
      </c>
      <c r="X19" s="1566"/>
      <c r="Y19" s="3771"/>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7"/>
      <c r="L20" s="2142"/>
      <c r="M20" s="2134"/>
      <c r="N20" s="2134"/>
      <c r="O20" s="2134"/>
      <c r="P20" s="3771"/>
      <c r="Q20" s="1571"/>
      <c r="R20" s="1572"/>
      <c r="S20" s="1573"/>
      <c r="T20" s="1572"/>
      <c r="U20" s="1573"/>
      <c r="V20" s="1572"/>
      <c r="W20" s="1573"/>
      <c r="X20" s="1566"/>
      <c r="Y20" s="3771"/>
      <c r="Z20" s="1574"/>
      <c r="AA20" s="1575">
        <v>1</v>
      </c>
      <c r="AB20" s="1575">
        <v>1</v>
      </c>
      <c r="AC20" s="1575">
        <v>1</v>
      </c>
    </row>
    <row r="21" spans="1:29" ht="28.5">
      <c r="A21" s="531"/>
      <c r="B21" s="2615" t="s">
        <v>2556</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2"/>
      <c r="M21" s="2134"/>
      <c r="N21" s="2134"/>
      <c r="O21" s="2134"/>
      <c r="P21" s="3771"/>
      <c r="Q21" s="2603" t="str">
        <f>B21</f>
        <v>基础设施水平</v>
      </c>
      <c r="R21" s="1572" t="s">
        <v>8</v>
      </c>
      <c r="S21" s="1573">
        <f>F21</f>
        <v>100</v>
      </c>
      <c r="T21" s="1572" t="s">
        <v>8</v>
      </c>
      <c r="U21" s="1573">
        <f>H21</f>
        <v>100</v>
      </c>
      <c r="V21" s="1572" t="s">
        <v>8</v>
      </c>
      <c r="W21" s="1573">
        <f>J21</f>
        <v>100</v>
      </c>
      <c r="X21" s="2605"/>
      <c r="Y21" s="3771"/>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771"/>
      <c r="Q22" s="2603"/>
      <c r="R22" s="1572"/>
      <c r="S22" s="1573"/>
      <c r="T22" s="1572"/>
      <c r="U22" s="1573"/>
      <c r="V22" s="1572"/>
      <c r="W22" s="1573"/>
      <c r="X22" s="2605"/>
      <c r="Y22" s="3771"/>
      <c r="Z22" s="2604"/>
      <c r="AA22" s="1575">
        <v>1</v>
      </c>
      <c r="AB22" s="1575">
        <v>1</v>
      </c>
      <c r="AC22" s="1575">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2"/>
      <c r="M23" s="2134"/>
      <c r="N23" s="2134"/>
      <c r="O23" s="2134"/>
      <c r="P23" s="3771"/>
      <c r="Q23" s="1571" t="str">
        <f>B23</f>
        <v>环境质量</v>
      </c>
      <c r="R23" s="1572" t="s">
        <v>8</v>
      </c>
      <c r="S23" s="1573">
        <f>F23</f>
        <v>100</v>
      </c>
      <c r="T23" s="1572" t="s">
        <v>8</v>
      </c>
      <c r="U23" s="1573">
        <f>H23</f>
        <v>100</v>
      </c>
      <c r="V23" s="1572" t="s">
        <v>8</v>
      </c>
      <c r="W23" s="1573">
        <f>J23</f>
        <v>100</v>
      </c>
      <c r="X23" s="1566"/>
      <c r="Y23" s="3771"/>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7"/>
      <c r="L24" s="2142"/>
      <c r="M24" s="2134"/>
      <c r="N24" s="2134"/>
      <c r="O24" s="2134"/>
      <c r="P24" s="3771"/>
      <c r="Q24" s="1571"/>
      <c r="R24" s="1572"/>
      <c r="S24" s="1573"/>
      <c r="T24" s="1572"/>
      <c r="U24" s="1573"/>
      <c r="V24" s="1572"/>
      <c r="W24" s="1573"/>
      <c r="X24" s="1566"/>
      <c r="Y24" s="3771"/>
      <c r="Z24" s="1574"/>
      <c r="AA24" s="1575">
        <v>1</v>
      </c>
      <c r="AB24" s="1575">
        <v>1</v>
      </c>
      <c r="AC24" s="1575">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42"/>
      <c r="M25" s="2134"/>
      <c r="N25" s="2134"/>
      <c r="O25" s="2134"/>
      <c r="P25" s="3771"/>
      <c r="Q25" s="1571" t="str">
        <f>B25</f>
        <v>毗邻道路的类型与等级</v>
      </c>
      <c r="R25" s="1572" t="s">
        <v>8</v>
      </c>
      <c r="S25" s="1573">
        <f>F25</f>
        <v>100</v>
      </c>
      <c r="T25" s="1572" t="s">
        <v>8</v>
      </c>
      <c r="U25" s="1573">
        <f>H25</f>
        <v>100</v>
      </c>
      <c r="V25" s="1572" t="s">
        <v>8</v>
      </c>
      <c r="W25" s="1573">
        <f>J25</f>
        <v>100</v>
      </c>
      <c r="X25" s="1566"/>
      <c r="Y25" s="3771"/>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7"/>
      <c r="L26" s="2142"/>
      <c r="M26" s="2134"/>
      <c r="N26" s="2134"/>
      <c r="O26" s="2134"/>
      <c r="P26" s="3771"/>
      <c r="Q26" s="1571"/>
      <c r="R26" s="1572"/>
      <c r="S26" s="1573"/>
      <c r="T26" s="1572"/>
      <c r="U26" s="1573"/>
      <c r="V26" s="1572"/>
      <c r="W26" s="1573"/>
      <c r="X26" s="1566"/>
      <c r="Y26" s="3771"/>
      <c r="Z26" s="1574"/>
      <c r="AA26" s="1575">
        <v>1</v>
      </c>
      <c r="AB26" s="1575">
        <v>1</v>
      </c>
      <c r="AC26" s="1575">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771"/>
      <c r="Q27" s="1571" t="str">
        <f t="shared" ref="Q27:Q47" si="11">B27</f>
        <v>楼层</v>
      </c>
      <c r="R27" s="1572" t="s">
        <v>8</v>
      </c>
      <c r="S27" s="1573">
        <f>F27</f>
        <v>100</v>
      </c>
      <c r="T27" s="1572" t="s">
        <v>8</v>
      </c>
      <c r="U27" s="1573">
        <f>H27</f>
        <v>100</v>
      </c>
      <c r="V27" s="1572" t="s">
        <v>8</v>
      </c>
      <c r="W27" s="1573">
        <f>J27</f>
        <v>100</v>
      </c>
      <c r="X27" s="1566"/>
      <c r="Y27" s="3771"/>
      <c r="Z27" s="1574" t="str">
        <f>Q27</f>
        <v>楼层</v>
      </c>
      <c r="AA27" s="1575">
        <f t="shared" si="3"/>
        <v>1</v>
      </c>
      <c r="AB27" s="1575">
        <f t="shared" si="4"/>
        <v>1</v>
      </c>
      <c r="AC27" s="1575">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5"/>
      <c r="M28" s="2136"/>
      <c r="N28" s="2136"/>
      <c r="O28" s="2136"/>
      <c r="P28" s="3771"/>
      <c r="Q28" s="1149" t="str">
        <f t="shared" si="11"/>
        <v>朝向</v>
      </c>
      <c r="R28" s="1567" t="s">
        <v>8</v>
      </c>
      <c r="S28" s="1568">
        <f>F28</f>
        <v>100</v>
      </c>
      <c r="T28" s="1567" t="s">
        <v>8</v>
      </c>
      <c r="U28" s="1568">
        <f>H28</f>
        <v>100</v>
      </c>
      <c r="V28" s="1567" t="s">
        <v>8</v>
      </c>
      <c r="W28" s="1568">
        <f>J28</f>
        <v>100</v>
      </c>
      <c r="X28" s="1569"/>
      <c r="Y28" s="3771"/>
      <c r="Z28" s="1148" t="str">
        <f>Q28</f>
        <v>朝向</v>
      </c>
      <c r="AA28" s="1575">
        <f>D28/F28</f>
        <v>1</v>
      </c>
      <c r="AB28" s="1575">
        <f>D28/H28</f>
        <v>1</v>
      </c>
      <c r="AC28" s="1575">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2"/>
      <c r="M29" s="2134"/>
      <c r="N29" s="2134"/>
      <c r="O29" s="2134"/>
      <c r="P29" s="3771"/>
      <c r="Q29" s="1571">
        <f t="shared" si="11"/>
        <v>111</v>
      </c>
      <c r="R29" s="1572" t="s">
        <v>8</v>
      </c>
      <c r="S29" s="1573">
        <f t="shared" ref="S29:S47" si="12">F29</f>
        <v>100</v>
      </c>
      <c r="T29" s="1572" t="s">
        <v>8</v>
      </c>
      <c r="U29" s="1573">
        <f t="shared" ref="U29:U47" si="13">H29</f>
        <v>100</v>
      </c>
      <c r="V29" s="1572" t="s">
        <v>8</v>
      </c>
      <c r="W29" s="1573">
        <f t="shared" ref="W29:W47" si="14">J29</f>
        <v>100</v>
      </c>
      <c r="X29" s="1566"/>
      <c r="Y29" s="3771"/>
      <c r="Z29" s="1574">
        <f t="shared" ref="Z29:Z47" si="15">Q29</f>
        <v>111</v>
      </c>
      <c r="AA29" s="1575">
        <f t="shared" si="3"/>
        <v>1</v>
      </c>
      <c r="AB29" s="1575">
        <f t="shared" si="4"/>
        <v>1</v>
      </c>
      <c r="AC29" s="1575">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2"/>
      <c r="M30" s="2134"/>
      <c r="N30" s="2134"/>
      <c r="O30" s="2134"/>
      <c r="P30" s="3771"/>
      <c r="Q30" s="1571">
        <f t="shared" si="11"/>
        <v>111</v>
      </c>
      <c r="R30" s="1572" t="s">
        <v>8</v>
      </c>
      <c r="S30" s="1573">
        <f t="shared" si="12"/>
        <v>100</v>
      </c>
      <c r="T30" s="1572" t="s">
        <v>8</v>
      </c>
      <c r="U30" s="1573">
        <f t="shared" si="13"/>
        <v>100</v>
      </c>
      <c r="V30" s="1572" t="s">
        <v>8</v>
      </c>
      <c r="W30" s="1573">
        <f t="shared" si="14"/>
        <v>100</v>
      </c>
      <c r="X30" s="1566"/>
      <c r="Y30" s="3771"/>
      <c r="Z30" s="1574">
        <f t="shared" si="15"/>
        <v>111</v>
      </c>
      <c r="AA30" s="1575">
        <f t="shared" si="3"/>
        <v>1</v>
      </c>
      <c r="AB30" s="1575">
        <f t="shared" si="4"/>
        <v>1</v>
      </c>
      <c r="AC30" s="1575">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2"/>
      <c r="M31" s="2134"/>
      <c r="N31" s="2134"/>
      <c r="O31" s="2134"/>
      <c r="P31" s="3771"/>
      <c r="Q31" s="1571">
        <f t="shared" si="11"/>
        <v>111</v>
      </c>
      <c r="R31" s="1572" t="s">
        <v>8</v>
      </c>
      <c r="S31" s="1573">
        <f t="shared" si="12"/>
        <v>100</v>
      </c>
      <c r="T31" s="1572" t="s">
        <v>8</v>
      </c>
      <c r="U31" s="1573">
        <f t="shared" si="13"/>
        <v>100</v>
      </c>
      <c r="V31" s="1572" t="s">
        <v>8</v>
      </c>
      <c r="W31" s="1573">
        <f t="shared" si="14"/>
        <v>100</v>
      </c>
      <c r="X31" s="1566"/>
      <c r="Y31" s="3771"/>
      <c r="Z31" s="1574">
        <f t="shared" si="15"/>
        <v>111</v>
      </c>
      <c r="AA31" s="1575">
        <f t="shared" si="3"/>
        <v>1</v>
      </c>
      <c r="AB31" s="1575">
        <f t="shared" si="4"/>
        <v>1</v>
      </c>
      <c r="AC31" s="1575">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2"/>
      <c r="M32" s="2134"/>
      <c r="N32" s="2134"/>
      <c r="O32" s="2134"/>
      <c r="P32" s="3771"/>
      <c r="Q32" s="1571">
        <f t="shared" si="11"/>
        <v>111</v>
      </c>
      <c r="R32" s="1572" t="s">
        <v>8</v>
      </c>
      <c r="S32" s="1573">
        <f t="shared" si="12"/>
        <v>100</v>
      </c>
      <c r="T32" s="1572" t="s">
        <v>8</v>
      </c>
      <c r="U32" s="1573">
        <f t="shared" si="13"/>
        <v>100</v>
      </c>
      <c r="V32" s="1572" t="s">
        <v>8</v>
      </c>
      <c r="W32" s="1573">
        <f t="shared" si="14"/>
        <v>100</v>
      </c>
      <c r="X32" s="1566"/>
      <c r="Y32" s="3771"/>
      <c r="Z32" s="1574">
        <f t="shared" si="15"/>
        <v>111</v>
      </c>
      <c r="AA32" s="1575">
        <f t="shared" si="3"/>
        <v>1</v>
      </c>
      <c r="AB32" s="1575">
        <f t="shared" si="4"/>
        <v>1</v>
      </c>
      <c r="AC32" s="1575">
        <f t="shared" si="5"/>
        <v>1</v>
      </c>
    </row>
    <row r="33" spans="1:29" ht="15">
      <c r="A33" s="2931" t="s">
        <v>2753</v>
      </c>
      <c r="B33" s="172"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2"/>
      <c r="M33" s="2134"/>
      <c r="N33" s="2134"/>
      <c r="O33" s="2134"/>
      <c r="P33" s="3772" t="s">
        <v>550</v>
      </c>
      <c r="Q33" s="1571" t="str">
        <f t="shared" si="11"/>
        <v>建筑类型</v>
      </c>
      <c r="R33" s="1572" t="s">
        <v>8</v>
      </c>
      <c r="S33" s="1573">
        <f t="shared" si="12"/>
        <v>100</v>
      </c>
      <c r="T33" s="1572" t="s">
        <v>8</v>
      </c>
      <c r="U33" s="1573">
        <f t="shared" si="13"/>
        <v>100</v>
      </c>
      <c r="V33" s="1572" t="s">
        <v>8</v>
      </c>
      <c r="W33" s="1573">
        <f t="shared" si="14"/>
        <v>100</v>
      </c>
      <c r="X33" s="1566"/>
      <c r="Y33" s="3773" t="s">
        <v>550</v>
      </c>
      <c r="Z33" s="1574" t="str">
        <f t="shared" si="15"/>
        <v>建筑类型</v>
      </c>
      <c r="AA33" s="1575">
        <f t="shared" si="3"/>
        <v>1</v>
      </c>
      <c r="AB33" s="1575">
        <f t="shared" si="4"/>
        <v>1</v>
      </c>
      <c r="AC33" s="1575">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773"/>
      <c r="Q34" s="1604" t="str">
        <f t="shared" si="11"/>
        <v>项目建筑规模</v>
      </c>
      <c r="R34" s="1576" t="s">
        <v>8</v>
      </c>
      <c r="S34" s="1577" t="e">
        <f t="shared" si="12"/>
        <v>#N/A</v>
      </c>
      <c r="T34" s="1576" t="s">
        <v>8</v>
      </c>
      <c r="U34" s="1577" t="e">
        <f t="shared" si="13"/>
        <v>#N/A</v>
      </c>
      <c r="V34" s="1576" t="s">
        <v>8</v>
      </c>
      <c r="W34" s="1577" t="e">
        <f t="shared" si="14"/>
        <v>#N/A</v>
      </c>
      <c r="X34" s="1578"/>
      <c r="Y34" s="3773"/>
      <c r="Z34" s="1579" t="str">
        <f t="shared" si="15"/>
        <v>项目建筑规模</v>
      </c>
      <c r="AA34" s="1575" t="e">
        <f t="shared" si="3"/>
        <v>#N/A</v>
      </c>
      <c r="AB34" s="1575" t="e">
        <f t="shared" si="4"/>
        <v>#N/A</v>
      </c>
      <c r="AC34" s="1575"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773"/>
      <c r="Q35" s="1571" t="str">
        <f t="shared" si="11"/>
        <v>建筑结构</v>
      </c>
      <c r="R35" s="1572" t="s">
        <v>8</v>
      </c>
      <c r="S35" s="1573">
        <f t="shared" si="12"/>
        <v>100</v>
      </c>
      <c r="T35" s="1572" t="s">
        <v>8</v>
      </c>
      <c r="U35" s="1573">
        <f t="shared" si="13"/>
        <v>100</v>
      </c>
      <c r="V35" s="1572" t="s">
        <v>8</v>
      </c>
      <c r="W35" s="1573">
        <f t="shared" si="14"/>
        <v>100</v>
      </c>
      <c r="X35" s="1566"/>
      <c r="Y35" s="3773"/>
      <c r="Z35" s="1574" t="str">
        <f t="shared" si="15"/>
        <v>建筑结构</v>
      </c>
      <c r="AA35" s="1575">
        <f t="shared" si="3"/>
        <v>1</v>
      </c>
      <c r="AB35" s="1575">
        <f t="shared" si="4"/>
        <v>1</v>
      </c>
      <c r="AC35" s="1575">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773"/>
      <c r="Q36" s="1571" t="str">
        <f t="shared" si="11"/>
        <v>公共部分装修</v>
      </c>
      <c r="R36" s="1572" t="s">
        <v>8</v>
      </c>
      <c r="S36" s="1573">
        <f t="shared" si="12"/>
        <v>100</v>
      </c>
      <c r="T36" s="1572" t="s">
        <v>8</v>
      </c>
      <c r="U36" s="1573">
        <f t="shared" si="13"/>
        <v>100</v>
      </c>
      <c r="V36" s="1572" t="s">
        <v>8</v>
      </c>
      <c r="W36" s="1573">
        <f t="shared" si="14"/>
        <v>100</v>
      </c>
      <c r="X36" s="1566"/>
      <c r="Y36" s="3773"/>
      <c r="Z36" s="1574" t="str">
        <f t="shared" si="15"/>
        <v>公共部分装修</v>
      </c>
      <c r="AA36" s="1575">
        <f t="shared" si="3"/>
        <v>1</v>
      </c>
      <c r="AB36" s="1575">
        <f t="shared" si="4"/>
        <v>1</v>
      </c>
      <c r="AC36" s="1575">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2"/>
      <c r="M37" s="2134"/>
      <c r="N37" s="2134"/>
      <c r="O37" s="2134"/>
      <c r="P37" s="3773"/>
      <c r="Q37" s="1571" t="str">
        <f t="shared" si="11"/>
        <v>成新度</v>
      </c>
      <c r="R37" s="1572" t="s">
        <v>8</v>
      </c>
      <c r="S37" s="1573" t="e">
        <f t="shared" si="12"/>
        <v>#N/A</v>
      </c>
      <c r="T37" s="1572" t="s">
        <v>8</v>
      </c>
      <c r="U37" s="1573" t="e">
        <f t="shared" si="13"/>
        <v>#N/A</v>
      </c>
      <c r="V37" s="1572" t="s">
        <v>8</v>
      </c>
      <c r="W37" s="1573" t="e">
        <f t="shared" si="14"/>
        <v>#N/A</v>
      </c>
      <c r="X37" s="1566"/>
      <c r="Y37" s="3773"/>
      <c r="Z37" s="1574" t="str">
        <f t="shared" si="15"/>
        <v>成新度</v>
      </c>
      <c r="AA37" s="1575" t="e">
        <f t="shared" si="3"/>
        <v>#N/A</v>
      </c>
      <c r="AB37" s="1575" t="e">
        <f t="shared" si="4"/>
        <v>#N/A</v>
      </c>
      <c r="AC37" s="1575"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773"/>
      <c r="Q38" s="1149" t="str">
        <f t="shared" si="11"/>
        <v>写字楼等级</v>
      </c>
      <c r="R38" s="1567" t="s">
        <v>8</v>
      </c>
      <c r="S38" s="1568">
        <f t="shared" si="12"/>
        <v>100</v>
      </c>
      <c r="T38" s="1567" t="s">
        <v>8</v>
      </c>
      <c r="U38" s="1568">
        <f t="shared" si="13"/>
        <v>100</v>
      </c>
      <c r="V38" s="1567" t="s">
        <v>8</v>
      </c>
      <c r="W38" s="1568">
        <f t="shared" si="14"/>
        <v>100</v>
      </c>
      <c r="X38" s="1569"/>
      <c r="Y38" s="3773"/>
      <c r="Z38" s="1148" t="str">
        <f t="shared" si="15"/>
        <v>写字楼等级</v>
      </c>
      <c r="AA38" s="1570">
        <f t="shared" si="3"/>
        <v>1</v>
      </c>
      <c r="AB38" s="1570">
        <f t="shared" si="4"/>
        <v>1</v>
      </c>
      <c r="AC38" s="1570">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773" t="s">
        <v>550</v>
      </c>
      <c r="Q39" s="1571" t="str">
        <f t="shared" si="11"/>
        <v>物业管理</v>
      </c>
      <c r="R39" s="1572" t="s">
        <v>8</v>
      </c>
      <c r="S39" s="1573">
        <f t="shared" si="12"/>
        <v>100</v>
      </c>
      <c r="T39" s="1572" t="s">
        <v>8</v>
      </c>
      <c r="U39" s="1573">
        <f t="shared" si="13"/>
        <v>100</v>
      </c>
      <c r="V39" s="1572" t="s">
        <v>8</v>
      </c>
      <c r="W39" s="1573">
        <f t="shared" si="14"/>
        <v>100</v>
      </c>
      <c r="X39" s="1566"/>
      <c r="Y39" s="3773" t="s">
        <v>550</v>
      </c>
      <c r="Z39" s="1574" t="str">
        <f t="shared" si="15"/>
        <v>物业管理</v>
      </c>
      <c r="AA39" s="1575">
        <f t="shared" si="3"/>
        <v>1</v>
      </c>
      <c r="AB39" s="1575">
        <f t="shared" si="4"/>
        <v>1</v>
      </c>
      <c r="AC39" s="1575">
        <f t="shared" si="5"/>
        <v>1</v>
      </c>
    </row>
    <row r="40" spans="1:29" ht="15">
      <c r="A40" s="593"/>
      <c r="B40" s="1895" t="s">
        <v>2563</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773"/>
      <c r="Q40" s="1571" t="str">
        <f t="shared" si="11"/>
        <v>市政基础设施</v>
      </c>
      <c r="R40" s="1572" t="s">
        <v>8</v>
      </c>
      <c r="S40" s="1573">
        <f t="shared" si="12"/>
        <v>100</v>
      </c>
      <c r="T40" s="1572" t="s">
        <v>8</v>
      </c>
      <c r="U40" s="1573">
        <f t="shared" si="13"/>
        <v>100</v>
      </c>
      <c r="V40" s="1572" t="s">
        <v>8</v>
      </c>
      <c r="W40" s="1573">
        <f t="shared" si="14"/>
        <v>100</v>
      </c>
      <c r="X40" s="1566"/>
      <c r="Y40" s="3773"/>
      <c r="Z40" s="1574" t="str">
        <f t="shared" si="15"/>
        <v>市政基础设施</v>
      </c>
      <c r="AA40" s="1575">
        <f t="shared" si="3"/>
        <v>1</v>
      </c>
      <c r="AB40" s="1575">
        <f t="shared" si="4"/>
        <v>1</v>
      </c>
      <c r="AC40" s="1575">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773"/>
      <c r="Q41" s="1571" t="str">
        <f t="shared" si="11"/>
        <v>层高</v>
      </c>
      <c r="R41" s="1572" t="s">
        <v>8</v>
      </c>
      <c r="S41" s="1573">
        <f t="shared" si="12"/>
        <v>100</v>
      </c>
      <c r="T41" s="1572" t="s">
        <v>8</v>
      </c>
      <c r="U41" s="1573">
        <f t="shared" si="13"/>
        <v>100</v>
      </c>
      <c r="V41" s="1572" t="s">
        <v>8</v>
      </c>
      <c r="W41" s="1573">
        <f t="shared" si="14"/>
        <v>100</v>
      </c>
      <c r="X41" s="1566"/>
      <c r="Y41" s="3773"/>
      <c r="Z41" s="1574" t="str">
        <f t="shared" si="15"/>
        <v>层高</v>
      </c>
      <c r="AA41" s="1575">
        <f t="shared" si="3"/>
        <v>1</v>
      </c>
      <c r="AB41" s="1575">
        <f t="shared" si="4"/>
        <v>1</v>
      </c>
      <c r="AC41" s="1575">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773"/>
      <c r="Q42" s="1604" t="str">
        <f t="shared" si="11"/>
        <v>单套建筑面积</v>
      </c>
      <c r="R42" s="1576" t="s">
        <v>8</v>
      </c>
      <c r="S42" s="1577">
        <f t="shared" si="12"/>
        <v>100</v>
      </c>
      <c r="T42" s="1576" t="s">
        <v>8</v>
      </c>
      <c r="U42" s="1577">
        <f t="shared" si="13"/>
        <v>100</v>
      </c>
      <c r="V42" s="1576" t="s">
        <v>8</v>
      </c>
      <c r="W42" s="1577">
        <f t="shared" si="14"/>
        <v>100</v>
      </c>
      <c r="X42" s="1578"/>
      <c r="Y42" s="3773"/>
      <c r="Z42" s="1579" t="str">
        <f t="shared" si="15"/>
        <v>单套建筑面积</v>
      </c>
      <c r="AA42" s="1575">
        <f t="shared" si="3"/>
        <v>1</v>
      </c>
      <c r="AB42" s="1575">
        <f t="shared" si="4"/>
        <v>1</v>
      </c>
      <c r="AC42" s="1575">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773"/>
      <c r="Q43" s="1571" t="str">
        <f t="shared" si="11"/>
        <v>内部装修</v>
      </c>
      <c r="R43" s="1572" t="s">
        <v>8</v>
      </c>
      <c r="S43" s="1573">
        <f t="shared" si="12"/>
        <v>100</v>
      </c>
      <c r="T43" s="1572" t="s">
        <v>8</v>
      </c>
      <c r="U43" s="1573">
        <f t="shared" si="13"/>
        <v>100</v>
      </c>
      <c r="V43" s="1572" t="s">
        <v>8</v>
      </c>
      <c r="W43" s="1573">
        <f t="shared" si="14"/>
        <v>100</v>
      </c>
      <c r="X43" s="1566"/>
      <c r="Y43" s="3773"/>
      <c r="Z43" s="1574" t="str">
        <f t="shared" si="15"/>
        <v>内部装修</v>
      </c>
      <c r="AA43" s="1575">
        <f t="shared" si="3"/>
        <v>1</v>
      </c>
      <c r="AB43" s="1575">
        <f t="shared" si="4"/>
        <v>1</v>
      </c>
      <c r="AC43" s="1575">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773"/>
      <c r="Q44" s="1571" t="str">
        <f t="shared" si="11"/>
        <v>内部装修维护情况</v>
      </c>
      <c r="R44" s="1572" t="s">
        <v>8</v>
      </c>
      <c r="S44" s="1573">
        <f t="shared" si="12"/>
        <v>100</v>
      </c>
      <c r="T44" s="1572" t="s">
        <v>8</v>
      </c>
      <c r="U44" s="1573">
        <f t="shared" si="13"/>
        <v>100</v>
      </c>
      <c r="V44" s="1572" t="s">
        <v>8</v>
      </c>
      <c r="W44" s="1573">
        <f t="shared" si="14"/>
        <v>100</v>
      </c>
      <c r="X44" s="1566"/>
      <c r="Y44" s="3773"/>
      <c r="Z44" s="1574" t="str">
        <f t="shared" si="15"/>
        <v>内部装修维护情况</v>
      </c>
      <c r="AA44" s="1575">
        <f t="shared" si="3"/>
        <v>1</v>
      </c>
      <c r="AB44" s="1575">
        <f t="shared" si="4"/>
        <v>1</v>
      </c>
      <c r="AC44" s="1575">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773"/>
      <c r="Q45" s="1149">
        <f t="shared" si="11"/>
        <v>111</v>
      </c>
      <c r="R45" s="1567" t="s">
        <v>8</v>
      </c>
      <c r="S45" s="1568">
        <f t="shared" si="12"/>
        <v>100</v>
      </c>
      <c r="T45" s="1567" t="s">
        <v>8</v>
      </c>
      <c r="U45" s="1568">
        <f t="shared" si="13"/>
        <v>100</v>
      </c>
      <c r="V45" s="1567" t="s">
        <v>8</v>
      </c>
      <c r="W45" s="1568">
        <f t="shared" si="14"/>
        <v>100</v>
      </c>
      <c r="X45" s="1569"/>
      <c r="Y45" s="3773"/>
      <c r="Z45" s="1148">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773"/>
      <c r="Q46" s="1571">
        <f t="shared" si="11"/>
        <v>111</v>
      </c>
      <c r="R46" s="1572" t="s">
        <v>8</v>
      </c>
      <c r="S46" s="1573">
        <f t="shared" si="12"/>
        <v>100</v>
      </c>
      <c r="T46" s="1572" t="s">
        <v>8</v>
      </c>
      <c r="U46" s="1573">
        <f t="shared" si="13"/>
        <v>100</v>
      </c>
      <c r="V46" s="1572" t="s">
        <v>8</v>
      </c>
      <c r="W46" s="1573">
        <f t="shared" si="14"/>
        <v>100</v>
      </c>
      <c r="X46" s="1566"/>
      <c r="Y46" s="3773"/>
      <c r="Z46" s="1574">
        <f t="shared" si="15"/>
        <v>111</v>
      </c>
      <c r="AA46" s="1575">
        <f t="shared" si="3"/>
        <v>1</v>
      </c>
      <c r="AB46" s="1575">
        <f t="shared" si="4"/>
        <v>1</v>
      </c>
      <c r="AC46" s="1575">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912"/>
      <c r="Q47" s="1571">
        <f t="shared" si="11"/>
        <v>111</v>
      </c>
      <c r="R47" s="1572" t="s">
        <v>8</v>
      </c>
      <c r="S47" s="1573">
        <f t="shared" si="12"/>
        <v>100</v>
      </c>
      <c r="T47" s="1572" t="s">
        <v>8</v>
      </c>
      <c r="U47" s="1573">
        <f t="shared" si="13"/>
        <v>100</v>
      </c>
      <c r="V47" s="1572" t="s">
        <v>8</v>
      </c>
      <c r="W47" s="1573">
        <f t="shared" si="14"/>
        <v>100</v>
      </c>
      <c r="X47" s="1566"/>
      <c r="Y47" s="3912"/>
      <c r="Z47" s="1574">
        <f t="shared" si="15"/>
        <v>111</v>
      </c>
      <c r="AA47" s="1575">
        <f t="shared" si="3"/>
        <v>1</v>
      </c>
      <c r="AB47" s="1575">
        <f t="shared" si="4"/>
        <v>1</v>
      </c>
      <c r="AC47" s="1575">
        <f t="shared" si="5"/>
        <v>1</v>
      </c>
    </row>
    <row r="48" spans="1:29" ht="15">
      <c r="A48" s="606" t="s">
        <v>735</v>
      </c>
      <c r="B48" s="885"/>
      <c r="C48" s="2651" t="s">
        <v>1</v>
      </c>
      <c r="D48" s="2652"/>
      <c r="E48" s="2653"/>
      <c r="F48" s="2654"/>
      <c r="G48" s="2655"/>
      <c r="H48" s="2656"/>
      <c r="I48" s="2653"/>
      <c r="J48" s="2656"/>
      <c r="K48" s="1610"/>
      <c r="L48" s="2144"/>
      <c r="M48" s="2134"/>
      <c r="N48" s="2134"/>
      <c r="O48" s="2134"/>
      <c r="P48" s="3790" t="str">
        <f>A48</f>
        <v>成交单价（元/平方米）</v>
      </c>
      <c r="Q48" s="3768"/>
      <c r="R48" s="3911">
        <f>E48</f>
        <v>0</v>
      </c>
      <c r="S48" s="3911"/>
      <c r="T48" s="3911">
        <f>G48</f>
        <v>0</v>
      </c>
      <c r="U48" s="3911"/>
      <c r="V48" s="3911">
        <f>I48</f>
        <v>0</v>
      </c>
      <c r="W48" s="3911"/>
      <c r="X48" s="1558"/>
      <c r="Y48" s="1580"/>
      <c r="Z48" s="1558"/>
      <c r="AA48" s="1558"/>
      <c r="AB48" s="1558"/>
      <c r="AC48" s="1558"/>
    </row>
    <row r="49" spans="1:29" ht="15.75" thickBot="1">
      <c r="A49" s="614" t="s">
        <v>2758</v>
      </c>
      <c r="B49" s="886"/>
      <c r="C49" s="2657" t="e">
        <f>R50</f>
        <v>#DIV/0!</v>
      </c>
      <c r="D49" s="2658"/>
      <c r="E49" s="2659" t="e">
        <f>R49</f>
        <v>#DIV/0!</v>
      </c>
      <c r="F49" s="2659"/>
      <c r="G49" s="2657" t="e">
        <f>T49</f>
        <v>#DIV/0!</v>
      </c>
      <c r="H49" s="2658"/>
      <c r="I49" s="2659" t="e">
        <f>V49</f>
        <v>#DIV/0!</v>
      </c>
      <c r="J49" s="2658"/>
      <c r="K49" s="1611"/>
      <c r="L49" s="2144"/>
      <c r="M49" s="2134"/>
      <c r="N49" s="2134"/>
      <c r="O49" s="2134"/>
      <c r="P49" s="3790" t="str">
        <f>A49</f>
        <v>比较价格（元/平方米）</v>
      </c>
      <c r="Q49" s="3768"/>
      <c r="R49" s="3911" t="e">
        <f>IF(F1="售价",ROUND(PRODUCT(R48,AA7:AA47),0),ROUND(PRODUCT(R48,AA7:AA47),1))</f>
        <v>#DIV/0!</v>
      </c>
      <c r="S49" s="3911"/>
      <c r="T49" s="3911" t="e">
        <f>IF(F1="售价",ROUND(PRODUCT(T48,AB7:AB47),0),ROUND(PRODUCT(T48,AB7:AB47),1))</f>
        <v>#DIV/0!</v>
      </c>
      <c r="U49" s="3911"/>
      <c r="V49" s="3911" t="e">
        <f>IF(F1="售价",ROUND(PRODUCT(V48,AC7:AC47),0),ROUND(PRODUCT(V48,AC7:AC47),1))</f>
        <v>#DIV/0!</v>
      </c>
      <c r="W49" s="3911"/>
      <c r="X49" s="1558"/>
      <c r="Y49" s="1558"/>
      <c r="Z49" s="1558"/>
      <c r="AA49" s="1558"/>
      <c r="AB49" s="1558"/>
      <c r="AC49" s="1558"/>
    </row>
    <row r="50" spans="1:29" ht="15.75" thickBot="1">
      <c r="A50" s="620" t="s">
        <v>2931</v>
      </c>
      <c r="B50" s="621"/>
      <c r="C50" s="2660" t="e">
        <f>R50</f>
        <v>#DIV/0!</v>
      </c>
      <c r="D50" s="2660"/>
      <c r="E50" s="2660"/>
      <c r="F50" s="2660"/>
      <c r="G50" s="2660"/>
      <c r="H50" s="2660"/>
      <c r="I50" s="2660"/>
      <c r="J50" s="2660"/>
      <c r="K50" s="1612"/>
      <c r="L50" s="2144"/>
      <c r="M50" s="2134"/>
      <c r="N50" s="2134"/>
      <c r="O50" s="2134"/>
      <c r="P50" s="3916" t="str">
        <f>A50</f>
        <v>估价对象XX用房的比较价格（楼面单价，元/平方米）</v>
      </c>
      <c r="Q50" s="3790"/>
      <c r="R50" s="3910" t="e">
        <f>IF(F1="售价",ROUND(AVERAGE(R49:V49),0),ROUND(AVERAGE(R49:V49),1))</f>
        <v>#DIV/0!</v>
      </c>
      <c r="S50" s="3910"/>
      <c r="T50" s="3910"/>
      <c r="U50" s="3910"/>
      <c r="V50" s="3910"/>
      <c r="W50" s="3910"/>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3" customFormat="1" ht="13.5" customHeight="1">
      <c r="A55" s="2146"/>
      <c r="B55" s="2146"/>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3"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5" customFormat="1" ht="15">
      <c r="A59" s="644" t="s">
        <v>529</v>
      </c>
      <c r="B59" s="645"/>
      <c r="C59" s="2826" t="str">
        <f>YEAR(C7)&amp;"-"&amp;MONTH(C7)</f>
        <v>2018-12</v>
      </c>
      <c r="D59" s="2828">
        <f>EDATE(C59,-1)</f>
        <v>43405</v>
      </c>
      <c r="E59" s="2828">
        <f t="shared" ref="E59:O59" si="16">EDATE(D59,-1)</f>
        <v>43374</v>
      </c>
      <c r="F59" s="2828">
        <f t="shared" si="16"/>
        <v>43344</v>
      </c>
      <c r="G59" s="2828">
        <f t="shared" si="16"/>
        <v>43313</v>
      </c>
      <c r="H59" s="2828">
        <f t="shared" si="16"/>
        <v>43282</v>
      </c>
      <c r="I59" s="2828">
        <f t="shared" si="16"/>
        <v>43252</v>
      </c>
      <c r="J59" s="2828">
        <f t="shared" si="16"/>
        <v>43221</v>
      </c>
      <c r="K59" s="2828">
        <f t="shared" si="16"/>
        <v>43191</v>
      </c>
      <c r="L59" s="2828">
        <f t="shared" si="16"/>
        <v>43160</v>
      </c>
      <c r="M59" s="2828">
        <f t="shared" si="16"/>
        <v>43132</v>
      </c>
      <c r="N59" s="2828">
        <f t="shared" si="16"/>
        <v>43101</v>
      </c>
      <c r="O59" s="2828">
        <f t="shared" si="16"/>
        <v>43070</v>
      </c>
      <c r="P59" s="2211"/>
      <c r="Q59" s="2161"/>
      <c r="R59" s="2161"/>
      <c r="S59" s="2161"/>
      <c r="T59" s="2161"/>
      <c r="U59" s="2161"/>
      <c r="V59" s="2161"/>
      <c r="W59" s="2161"/>
      <c r="X59" s="2161"/>
      <c r="Y59" s="2161"/>
      <c r="Z59" s="2161"/>
      <c r="AA59" s="2161"/>
      <c r="AB59" s="2161"/>
      <c r="AC59" s="2161"/>
    </row>
    <row r="60" spans="1:29" s="1218"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8" customFormat="1" ht="15.75" thickBot="1">
      <c r="A61" s="652" t="s">
        <v>575</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8" customFormat="1" ht="15">
      <c r="A62" s="658" t="s">
        <v>531</v>
      </c>
      <c r="B62" s="647"/>
      <c r="C62" s="659" t="s">
        <v>576</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8" customFormat="1" ht="15.75" thickBot="1">
      <c r="A63" s="658"/>
      <c r="B63" s="647"/>
      <c r="C63" s="887">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577</v>
      </c>
      <c r="B64" s="664" t="s">
        <v>534</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537</v>
      </c>
      <c r="C66" s="673" t="s">
        <v>736</v>
      </c>
      <c r="D66" s="673" t="s">
        <v>737</v>
      </c>
      <c r="E66" s="673" t="s">
        <v>738</v>
      </c>
      <c r="F66" s="673" t="s">
        <v>739</v>
      </c>
      <c r="G66" s="673" t="s">
        <v>740</v>
      </c>
      <c r="H66" s="673" t="s">
        <v>741</v>
      </c>
      <c r="I66" s="673" t="s">
        <v>742</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7"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7"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7"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7"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7"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7"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539</v>
      </c>
      <c r="B77" s="664" t="s">
        <v>585</v>
      </c>
      <c r="C77" s="702" t="s">
        <v>579</v>
      </c>
      <c r="D77" s="702" t="s">
        <v>580</v>
      </c>
      <c r="E77" s="702" t="s">
        <v>581</v>
      </c>
      <c r="F77" s="702" t="s">
        <v>582</v>
      </c>
      <c r="G77" s="702" t="s">
        <v>583</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586</v>
      </c>
      <c r="C79" s="707" t="s">
        <v>579</v>
      </c>
      <c r="D79" s="707" t="s">
        <v>580</v>
      </c>
      <c r="E79" s="707" t="s">
        <v>581</v>
      </c>
      <c r="F79" s="707" t="s">
        <v>582</v>
      </c>
      <c r="G79" s="707" t="s">
        <v>583</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2555</v>
      </c>
      <c r="C81" s="707" t="s">
        <v>579</v>
      </c>
      <c r="D81" s="707" t="s">
        <v>580</v>
      </c>
      <c r="E81" s="707" t="s">
        <v>581</v>
      </c>
      <c r="F81" s="707" t="s">
        <v>582</v>
      </c>
      <c r="G81" s="707" t="s">
        <v>583</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2556</v>
      </c>
      <c r="C83" s="2622" t="s">
        <v>2557</v>
      </c>
      <c r="D83" s="2622" t="s">
        <v>2558</v>
      </c>
      <c r="E83" s="2622" t="s">
        <v>2559</v>
      </c>
      <c r="F83" s="2622" t="s">
        <v>2560</v>
      </c>
      <c r="G83" s="2622" t="s">
        <v>2561</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783</v>
      </c>
      <c r="C85" s="707" t="s">
        <v>579</v>
      </c>
      <c r="D85" s="707" t="s">
        <v>580</v>
      </c>
      <c r="E85" s="707" t="s">
        <v>581</v>
      </c>
      <c r="F85" s="707" t="s">
        <v>582</v>
      </c>
      <c r="G85" s="707" t="s">
        <v>583</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8" customFormat="1" ht="27.75" thickTop="1">
      <c r="A87" s="708"/>
      <c r="B87" s="672" t="s">
        <v>784</v>
      </c>
      <c r="C87" s="687"/>
      <c r="D87" s="687"/>
      <c r="E87" s="687"/>
      <c r="F87" s="687"/>
      <c r="G87" s="687"/>
      <c r="H87" s="687"/>
      <c r="I87" s="687"/>
      <c r="J87" s="687"/>
      <c r="K87" s="687"/>
      <c r="L87" s="888"/>
      <c r="M87" s="889"/>
      <c r="N87" s="2162"/>
      <c r="O87" s="2162"/>
      <c r="P87" s="2214"/>
      <c r="Q87" s="2158"/>
      <c r="R87" s="1993"/>
      <c r="S87" s="1993"/>
      <c r="T87" s="1993"/>
      <c r="U87" s="1993"/>
      <c r="V87" s="1993"/>
      <c r="W87" s="1993"/>
      <c r="X87" s="1993"/>
      <c r="Y87" s="1993"/>
      <c r="Z87" s="1993"/>
      <c r="AA87" s="1993"/>
      <c r="AB87" s="1993"/>
      <c r="AC87" s="1993"/>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8" customFormat="1" ht="15.75" thickTop="1">
      <c r="A89" s="708"/>
      <c r="B89" s="672" t="str">
        <f>B27</f>
        <v>楼层</v>
      </c>
      <c r="C89" s="687"/>
      <c r="D89" s="687"/>
      <c r="E89" s="687"/>
      <c r="F89" s="890"/>
      <c r="G89" s="687"/>
      <c r="H89" s="687"/>
      <c r="I89" s="687"/>
      <c r="J89" s="687"/>
      <c r="K89" s="687"/>
      <c r="L89" s="687"/>
      <c r="M89" s="889"/>
      <c r="N89" s="2162"/>
      <c r="O89" s="2162"/>
      <c r="P89" s="2214"/>
      <c r="Q89" s="2158"/>
      <c r="R89" s="1993"/>
      <c r="S89" s="1993"/>
      <c r="T89" s="1993"/>
      <c r="U89" s="1993"/>
      <c r="V89" s="1993"/>
      <c r="W89" s="1993"/>
      <c r="X89" s="1993"/>
      <c r="Y89" s="1993"/>
      <c r="Z89" s="1993"/>
      <c r="AA89" s="1993"/>
      <c r="AB89" s="1993"/>
      <c r="AC89" s="1993"/>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7"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8"/>
      <c r="M93" s="889"/>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1"/>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551</v>
      </c>
      <c r="B101" s="664" t="s">
        <v>746</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7"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7"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748</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750</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2">
        <v>0.5</v>
      </c>
      <c r="D111" s="892">
        <v>0.6</v>
      </c>
      <c r="E111" s="892">
        <v>0.7</v>
      </c>
      <c r="F111" s="892">
        <v>0.8</v>
      </c>
      <c r="G111" s="892">
        <v>0.9</v>
      </c>
      <c r="H111" s="892">
        <v>1.0001</v>
      </c>
      <c r="I111" s="903"/>
      <c r="J111" s="903"/>
      <c r="K111" s="904"/>
      <c r="L111" s="905"/>
      <c r="M111" s="906"/>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7" customFormat="1" ht="15" thickTop="1">
      <c r="A113" s="727"/>
      <c r="B113" s="672" t="s">
        <v>785</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752</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2554</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5" t="s">
        <v>786</v>
      </c>
      <c r="C119" s="717"/>
      <c r="D119" s="717"/>
      <c r="E119" s="717"/>
      <c r="F119" s="717"/>
      <c r="G119" s="717"/>
      <c r="H119" s="717"/>
      <c r="I119" s="717"/>
      <c r="J119" s="717"/>
      <c r="K119" s="717"/>
      <c r="L119" s="916"/>
      <c r="M119" s="917"/>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7" customFormat="1" ht="15" thickTop="1">
      <c r="A121" s="727"/>
      <c r="B121" s="672" t="s">
        <v>774</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7"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754</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755</v>
      </c>
      <c r="C125" s="707" t="s">
        <v>579</v>
      </c>
      <c r="D125" s="707" t="s">
        <v>580</v>
      </c>
      <c r="E125" s="707" t="s">
        <v>581</v>
      </c>
      <c r="F125" s="707" t="s">
        <v>582</v>
      </c>
      <c r="G125" s="707" t="s">
        <v>583</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7"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7"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1"/>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8.875" defaultRowHeight="13.5"/>
  <cols>
    <col min="1" max="1" width="84" style="1778" customWidth="1"/>
    <col min="2" max="2" width="8.875" style="1778"/>
    <col min="3" max="4" width="9.625" style="1778" customWidth="1"/>
    <col min="5" max="16384" width="8.875" style="1778"/>
  </cols>
  <sheetData>
    <row r="1" spans="1:4" ht="22.5">
      <c r="A1" s="1777" t="s">
        <v>1904</v>
      </c>
    </row>
    <row r="2" spans="1:4">
      <c r="A2" s="1779"/>
    </row>
    <row r="3" spans="1:4" ht="18.75">
      <c r="A3" s="1797" t="str">
        <f>项目基本情况!B5&amp;"："</f>
        <v>中信信托有限责任公司：</v>
      </c>
    </row>
    <row r="4" spans="1:4" ht="56.25">
      <c r="A4" s="1791" t="str">
        <f>"受贵公司委托，我公司对"&amp;项目基本情况!K2&amp;项目基本情况!B9&amp;"进行了预评估。"</f>
        <v>受贵公司委托，我公司对江苏省南通市海安市高新区祖师庙村1组320621108211GB00054W00000000号一宗住宅、商业用地出让国有建设用地使用权市场价格进行了预评估。</v>
      </c>
    </row>
    <row r="5" spans="1:4" ht="18.75">
      <c r="A5" s="1794" t="s">
        <v>1905</v>
      </c>
    </row>
    <row r="6" spans="1:4" ht="131.2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海穗工业园区发展有限公司使用的、位于江苏省南通市海安市高新区祖师庙村1组320621108211GB00054W00000000号一宗住宅、商业用地出让国有建设用地使用权。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7" spans="1:4" ht="93.75">
      <c r="A7" s="2897" t="s">
        <v>2746</v>
      </c>
    </row>
    <row r="8" spans="1:4" ht="18.75">
      <c r="A8" s="1794" t="s">
        <v>1906</v>
      </c>
    </row>
    <row r="9" spans="1:4" ht="37.5">
      <c r="A9" s="17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7" t="s">
        <v>2025</v>
      </c>
    </row>
    <row r="11" spans="1:4" ht="18.75">
      <c r="A11" s="1780" t="str">
        <f>TEXT(项目基本情况!D3,"yyyy年m月d日;;")&amp;IF(项目基本情况!B3=项目基本情况!D3,"（评估专业人员勘察现场之日）","")</f>
        <v>2018年12月4日（评估专业人员勘察现场之日）</v>
      </c>
    </row>
    <row r="12" spans="1:4" ht="18.75">
      <c r="A12" s="1797" t="s">
        <v>2024</v>
      </c>
    </row>
    <row r="13" spans="1:4" ht="18.75">
      <c r="A13" s="1791" t="s">
        <v>2070</v>
      </c>
    </row>
    <row r="14" spans="1:4" ht="37.5">
      <c r="A14" s="1791" t="str">
        <f>"根据"&amp;项目基本情况!F12&amp;"，本次评估估价对象证载（地类）用途为"&amp;项目基本情况!B12&amp;"。"</f>
        <v>根据《不动产权证书》[苏（2018）海安市不动产权第0018525号]，本次评估估价对象证载（地类）用途为其他普通商品住房、其他商服用地。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2071</v>
      </c>
    </row>
    <row r="17" spans="1:1" ht="7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宗地内部有空置的建筑物（厂房、仓库等）。</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2072</v>
      </c>
    </row>
    <row r="20" spans="1:1" ht="93.7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海安市不动产权第0018525号]，估价对象（分摊）出让国有建设用地使用权面积为38144平方米。根据《国有建设用地使用权出让合同》[电子监管号：3206212018B03254]、《不动产权证书》[苏（2018）海安市不动产权第0018525号]，估价对象规划建筑面积为114432平方米。</v>
      </c>
    </row>
    <row r="21" spans="1:1" ht="93.75">
      <c r="A21" s="289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2073</v>
      </c>
    </row>
    <row r="23" spans="1:1" ht="18.75">
      <c r="A23" s="2899" t="s">
        <v>2747</v>
      </c>
    </row>
    <row r="24" spans="1:1" ht="18.75">
      <c r="A24" s="1791" t="s">
        <v>2074</v>
      </c>
    </row>
    <row r="25" spans="1:1" ht="93.75">
      <c r="A25" s="1791" t="str">
        <f>定义!C53</f>
        <v>本次估价的“出让国有建设用地使用权价格”是指在估价对象土地所有权为国家所有，使用权性质为出让，在公开市场条件下、于估价期日2018年12月4日，在规划利用条件下、设定土地开发程度为红线外“七通”、宗地内场地未平整，设定用途为住宅、商业，剩余土地使用年限为住宅69年、商业39年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2026</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502" t="s">
        <v>787</v>
      </c>
      <c r="C1" s="503" t="s">
        <v>720</v>
      </c>
      <c r="D1" s="848"/>
      <c r="E1" s="505"/>
      <c r="F1" s="2831"/>
      <c r="G1" s="1600" t="s">
        <v>721</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4" customFormat="1" ht="28.5" customHeight="1">
      <c r="A2" s="422" t="s">
        <v>467</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4" customFormat="1" ht="28.5" customHeight="1" thickBot="1">
      <c r="A3" s="508" t="s">
        <v>519</v>
      </c>
      <c r="B3" s="509" t="e">
        <f>C43</f>
        <v>#DIV/0!</v>
      </c>
      <c r="C3" s="851" t="s">
        <v>722</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521</v>
      </c>
      <c r="B4" s="512"/>
      <c r="C4" s="3774" t="s">
        <v>522</v>
      </c>
      <c r="D4" s="3775"/>
      <c r="E4" s="3840" t="s">
        <v>523</v>
      </c>
      <c r="F4" s="3841"/>
      <c r="G4" s="3774" t="s">
        <v>524</v>
      </c>
      <c r="H4" s="3775"/>
      <c r="I4" s="3774" t="s">
        <v>525</v>
      </c>
      <c r="J4" s="3775"/>
      <c r="K4" s="513" t="s">
        <v>526</v>
      </c>
      <c r="L4" s="2133"/>
      <c r="M4" s="2134"/>
      <c r="N4" s="2134"/>
      <c r="O4" s="2134"/>
      <c r="P4" s="3776" t="s">
        <v>527</v>
      </c>
      <c r="Q4" s="3777"/>
      <c r="R4" s="3762" t="s">
        <v>523</v>
      </c>
      <c r="S4" s="3763"/>
      <c r="T4" s="3762" t="s">
        <v>524</v>
      </c>
      <c r="U4" s="3763"/>
      <c r="V4" s="3782" t="s">
        <v>525</v>
      </c>
      <c r="W4" s="3782"/>
      <c r="X4" s="1566"/>
      <c r="Y4" s="3762" t="s">
        <v>527</v>
      </c>
      <c r="Z4" s="3763"/>
      <c r="AA4" s="3757" t="s">
        <v>523</v>
      </c>
      <c r="AB4" s="3758" t="s">
        <v>524</v>
      </c>
      <c r="AC4" s="3757" t="s">
        <v>525</v>
      </c>
    </row>
    <row r="5" spans="1:29" ht="15">
      <c r="A5" s="514"/>
      <c r="B5" s="515"/>
      <c r="C5" s="3785" t="s">
        <v>2925</v>
      </c>
      <c r="D5" s="3786"/>
      <c r="E5" s="3842" t="s">
        <v>2926</v>
      </c>
      <c r="F5" s="3843"/>
      <c r="G5" s="3785" t="s">
        <v>2927</v>
      </c>
      <c r="H5" s="3786"/>
      <c r="I5" s="3785" t="s">
        <v>2928</v>
      </c>
      <c r="J5" s="3786"/>
      <c r="K5" s="513"/>
      <c r="L5" s="2133"/>
      <c r="M5" s="2134"/>
      <c r="N5" s="2134"/>
      <c r="O5" s="2134"/>
      <c r="P5" s="3778"/>
      <c r="Q5" s="3779"/>
      <c r="R5" s="3764"/>
      <c r="S5" s="3765"/>
      <c r="T5" s="3764"/>
      <c r="U5" s="3765"/>
      <c r="V5" s="3782"/>
      <c r="W5" s="3782"/>
      <c r="X5" s="1566"/>
      <c r="Y5" s="3764"/>
      <c r="Z5" s="3765"/>
      <c r="AA5" s="3758"/>
      <c r="AB5" s="3758"/>
      <c r="AC5" s="3758"/>
    </row>
    <row r="6" spans="1:29" ht="15.75" thickBot="1">
      <c r="A6" s="516"/>
      <c r="B6" s="517"/>
      <c r="C6" s="3783" t="s">
        <v>2929</v>
      </c>
      <c r="D6" s="3784"/>
      <c r="E6" s="3844" t="s">
        <v>2929</v>
      </c>
      <c r="F6" s="3845"/>
      <c r="G6" s="3783" t="s">
        <v>2929</v>
      </c>
      <c r="H6" s="3784"/>
      <c r="I6" s="3783" t="s">
        <v>2929</v>
      </c>
      <c r="J6" s="3784"/>
      <c r="K6" s="513" t="s">
        <v>528</v>
      </c>
      <c r="L6" s="2133"/>
      <c r="M6" s="2134"/>
      <c r="N6" s="2134"/>
      <c r="O6" s="2134"/>
      <c r="P6" s="3780"/>
      <c r="Q6" s="3781"/>
      <c r="R6" s="3764"/>
      <c r="S6" s="3765"/>
      <c r="T6" s="3766"/>
      <c r="U6" s="3767"/>
      <c r="V6" s="3782"/>
      <c r="W6" s="3782"/>
      <c r="X6" s="1566"/>
      <c r="Y6" s="3766"/>
      <c r="Z6" s="3767"/>
      <c r="AA6" s="3759"/>
      <c r="AB6" s="3759"/>
      <c r="AC6" s="3759"/>
    </row>
    <row r="7" spans="1:29" s="1218" customFormat="1" ht="15.75" thickBot="1">
      <c r="A7" s="2936"/>
      <c r="B7" s="2943" t="s">
        <v>529</v>
      </c>
      <c r="C7" s="518">
        <f>'数据-取费表'!B2</f>
        <v>43438</v>
      </c>
      <c r="D7" s="519">
        <v>100</v>
      </c>
      <c r="E7" s="520"/>
      <c r="F7" s="521">
        <f>SUMIF(52:52,YEAR(E7)&amp;"-"&amp;MONTH(E7),53:53)</f>
        <v>0</v>
      </c>
      <c r="G7" s="520"/>
      <c r="H7" s="519">
        <f>SUMIF(52:52,YEAR(G7)&amp;"-"&amp;MONTH(G7),53:53)</f>
        <v>0</v>
      </c>
      <c r="I7" s="520"/>
      <c r="J7" s="519">
        <f>SUMIF(52:52,YEAR(I7)&amp;"-"&amp;MONTH(I7),53:53)</f>
        <v>0</v>
      </c>
      <c r="K7" s="523"/>
      <c r="L7" s="2135"/>
      <c r="M7" s="2136"/>
      <c r="N7" s="2136"/>
      <c r="O7" s="2136"/>
      <c r="P7" s="3760" t="s">
        <v>530</v>
      </c>
      <c r="Q7" s="3769"/>
      <c r="R7" s="1567" t="s">
        <v>8</v>
      </c>
      <c r="S7" s="1568">
        <f t="shared" ref="S7:S15" si="0">F7</f>
        <v>0</v>
      </c>
      <c r="T7" s="1567" t="s">
        <v>8</v>
      </c>
      <c r="U7" s="1568">
        <f t="shared" ref="U7:U15" si="1">H7</f>
        <v>0</v>
      </c>
      <c r="V7" s="1567" t="s">
        <v>8</v>
      </c>
      <c r="W7" s="1568">
        <f t="shared" ref="W7:W15" si="2">J7</f>
        <v>0</v>
      </c>
      <c r="X7" s="1569"/>
      <c r="Y7" s="3760" t="s">
        <v>530</v>
      </c>
      <c r="Z7" s="3761"/>
      <c r="AA7" s="1570" t="e">
        <f>D7/F7</f>
        <v>#DIV/0!</v>
      </c>
      <c r="AB7" s="1570" t="e">
        <f>D7/H7</f>
        <v>#DIV/0!</v>
      </c>
      <c r="AC7" s="1570" t="e">
        <f>D7/J7</f>
        <v>#DIV/0!</v>
      </c>
    </row>
    <row r="8" spans="1:29" s="1218" customFormat="1" ht="15.75" thickBot="1">
      <c r="A8" s="2937"/>
      <c r="B8" s="2944" t="s">
        <v>531</v>
      </c>
      <c r="C8" s="524" t="s">
        <v>576</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760" t="s">
        <v>533</v>
      </c>
      <c r="Q8" s="3761"/>
      <c r="R8" s="1567" t="s">
        <v>8</v>
      </c>
      <c r="S8" s="1568">
        <f t="shared" si="0"/>
        <v>0</v>
      </c>
      <c r="T8" s="1567" t="s">
        <v>8</v>
      </c>
      <c r="U8" s="1568">
        <f t="shared" si="1"/>
        <v>0</v>
      </c>
      <c r="V8" s="1567" t="s">
        <v>8</v>
      </c>
      <c r="W8" s="1568">
        <f t="shared" si="2"/>
        <v>0</v>
      </c>
      <c r="X8" s="1569"/>
      <c r="Y8" s="3760" t="s">
        <v>533</v>
      </c>
      <c r="Z8" s="3761"/>
      <c r="AA8" s="1570" t="e">
        <f t="shared" ref="AA8:AA40" si="3">D8/F8</f>
        <v>#DIV/0!</v>
      </c>
      <c r="AB8" s="1570" t="e">
        <f t="shared" ref="AB8:AB40" si="4">D8/H8</f>
        <v>#DIV/0!</v>
      </c>
      <c r="AC8" s="1570" t="e">
        <f t="shared" ref="AC8:AC40" si="5">D8/J8</f>
        <v>#DIV/0!</v>
      </c>
    </row>
    <row r="9" spans="1:29" s="1218" customFormat="1" ht="15">
      <c r="A9" s="2938"/>
      <c r="B9" s="2945" t="s">
        <v>2754</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768" t="s">
        <v>535</v>
      </c>
      <c r="Q9" s="1149" t="str">
        <f t="shared" ref="Q9:Q15" si="6">B9</f>
        <v>用途</v>
      </c>
      <c r="R9" s="1567" t="s">
        <v>8</v>
      </c>
      <c r="S9" s="1568">
        <f t="shared" si="0"/>
        <v>100</v>
      </c>
      <c r="T9" s="1567" t="s">
        <v>8</v>
      </c>
      <c r="U9" s="1568">
        <f t="shared" si="1"/>
        <v>100</v>
      </c>
      <c r="V9" s="1567" t="s">
        <v>8</v>
      </c>
      <c r="W9" s="1568">
        <f t="shared" si="2"/>
        <v>100</v>
      </c>
      <c r="X9" s="1569"/>
      <c r="Y9" s="3725" t="s">
        <v>536</v>
      </c>
      <c r="Z9" s="1148" t="str">
        <f t="shared" ref="Z9:Z15" si="7">Q9</f>
        <v>用途</v>
      </c>
      <c r="AA9" s="1570">
        <f t="shared" si="3"/>
        <v>1</v>
      </c>
      <c r="AB9" s="1570">
        <f t="shared" si="4"/>
        <v>1</v>
      </c>
      <c r="AC9" s="1570">
        <f t="shared" si="5"/>
        <v>1</v>
      </c>
    </row>
    <row r="10" spans="1:29" s="1336" customFormat="1" ht="27">
      <c r="A10" s="2939"/>
      <c r="B10" s="2944" t="s">
        <v>2755</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
      <c r="A11" s="2940"/>
      <c r="B11" s="2944"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768"/>
      <c r="Q11" s="1149" t="str">
        <f t="shared" si="6"/>
        <v>容积率</v>
      </c>
      <c r="R11" s="1567" t="s">
        <v>8</v>
      </c>
      <c r="S11" s="1568" t="e">
        <f t="shared" si="0"/>
        <v>#N/A</v>
      </c>
      <c r="T11" s="1567" t="s">
        <v>8</v>
      </c>
      <c r="U11" s="1568" t="e">
        <f t="shared" si="1"/>
        <v>#N/A</v>
      </c>
      <c r="V11" s="1567" t="s">
        <v>8</v>
      </c>
      <c r="W11" s="1568" t="e">
        <f t="shared" si="2"/>
        <v>#N/A</v>
      </c>
      <c r="X11" s="1569"/>
      <c r="Y11" s="3725"/>
      <c r="Z11" s="1148" t="str">
        <f t="shared" si="7"/>
        <v>容积率</v>
      </c>
      <c r="AA11" s="1570" t="e">
        <f t="shared" si="3"/>
        <v>#N/A</v>
      </c>
      <c r="AB11" s="1570" t="e">
        <f t="shared" si="4"/>
        <v>#N/A</v>
      </c>
      <c r="AC11" s="1570" t="e">
        <f t="shared" si="5"/>
        <v>#N/A</v>
      </c>
    </row>
    <row r="12" spans="1:29" s="1218" customFormat="1" ht="15">
      <c r="A12" s="2941"/>
      <c r="B12" s="2947">
        <v>111</v>
      </c>
      <c r="C12" s="527"/>
      <c r="D12" s="537">
        <v>100</v>
      </c>
      <c r="E12" s="538"/>
      <c r="F12" s="254">
        <f>SUMIF(64:64,E12,65:65)-SUMIF(64:64,C12,65:65)+100</f>
        <v>100</v>
      </c>
      <c r="G12" s="918"/>
      <c r="H12" s="254">
        <f>SUMIF(64:64,G12,65:65)-SUMIF(64:64,C12,65:65)+100</f>
        <v>100</v>
      </c>
      <c r="I12" s="878"/>
      <c r="J12" s="254">
        <f>SUMIF(64:64,I12,65:65)-SUMIF(64:64,C12,65:65)+100</f>
        <v>100</v>
      </c>
      <c r="K12" s="580"/>
      <c r="L12" s="2135"/>
      <c r="M12" s="2136"/>
      <c r="N12" s="2136"/>
      <c r="O12" s="2137"/>
      <c r="P12" s="3768"/>
      <c r="Q12" s="1149">
        <f t="shared" si="6"/>
        <v>111</v>
      </c>
      <c r="R12" s="1567" t="s">
        <v>8</v>
      </c>
      <c r="S12" s="1568">
        <f t="shared" si="0"/>
        <v>100</v>
      </c>
      <c r="T12" s="1567" t="s">
        <v>8</v>
      </c>
      <c r="U12" s="1568">
        <f t="shared" si="1"/>
        <v>100</v>
      </c>
      <c r="V12" s="1567" t="s">
        <v>8</v>
      </c>
      <c r="W12" s="1568">
        <f t="shared" si="2"/>
        <v>100</v>
      </c>
      <c r="X12" s="1569"/>
      <c r="Y12" s="3725"/>
      <c r="Z12" s="1148">
        <f t="shared" si="7"/>
        <v>111</v>
      </c>
      <c r="AA12" s="1570">
        <f>D12/F12</f>
        <v>1</v>
      </c>
      <c r="AB12" s="1570">
        <f>D12/H12</f>
        <v>1</v>
      </c>
      <c r="AC12" s="1570">
        <f>D12/J12</f>
        <v>1</v>
      </c>
    </row>
    <row r="13" spans="1:29" ht="15">
      <c r="A13" s="2941"/>
      <c r="B13" s="2947">
        <v>111</v>
      </c>
      <c r="C13" s="538"/>
      <c r="D13" s="539">
        <v>100</v>
      </c>
      <c r="E13" s="538"/>
      <c r="F13" s="254">
        <f>SUMIF(66:66,E13,67:67)-SUMIF(66:66,C13,67:67)+100</f>
        <v>100</v>
      </c>
      <c r="G13" s="918"/>
      <c r="H13" s="539">
        <f>SUMIF(66:66,G13,67:67)-SUMIF(66:66,C13,67:67)+100</f>
        <v>100</v>
      </c>
      <c r="I13" s="878"/>
      <c r="J13" s="539">
        <f>SUMIF(66:66,I13,67:67)-SUMIF(66:66,C13,67:67)+100</f>
        <v>100</v>
      </c>
      <c r="K13" s="580"/>
      <c r="L13" s="2142"/>
      <c r="M13" s="2134"/>
      <c r="N13" s="2134"/>
      <c r="O13" s="2141"/>
      <c r="P13" s="3768"/>
      <c r="Q13" s="1149">
        <f t="shared" si="6"/>
        <v>111</v>
      </c>
      <c r="R13" s="1567" t="s">
        <v>8</v>
      </c>
      <c r="S13" s="1568">
        <f t="shared" si="0"/>
        <v>100</v>
      </c>
      <c r="T13" s="1567" t="s">
        <v>8</v>
      </c>
      <c r="U13" s="1568">
        <f t="shared" si="1"/>
        <v>100</v>
      </c>
      <c r="V13" s="1567" t="s">
        <v>8</v>
      </c>
      <c r="W13" s="1568">
        <f t="shared" si="2"/>
        <v>100</v>
      </c>
      <c r="X13" s="1569"/>
      <c r="Y13" s="3725"/>
      <c r="Z13" s="1148">
        <f t="shared" si="7"/>
        <v>111</v>
      </c>
      <c r="AA13" s="1570">
        <f t="shared" si="3"/>
        <v>1</v>
      </c>
      <c r="AB13" s="1570">
        <f t="shared" si="4"/>
        <v>1</v>
      </c>
      <c r="AC13" s="1570">
        <f t="shared" si="5"/>
        <v>1</v>
      </c>
    </row>
    <row r="14" spans="1:29" ht="15.75" thickBot="1">
      <c r="A14" s="2942"/>
      <c r="B14" s="2948">
        <v>111</v>
      </c>
      <c r="C14" s="544"/>
      <c r="D14" s="545">
        <v>100</v>
      </c>
      <c r="E14" s="544"/>
      <c r="F14" s="545">
        <f>SUMIF(68:68,E14,69:69)-SUMIF(68:68,C14,69:69)+100</f>
        <v>100</v>
      </c>
      <c r="G14" s="918"/>
      <c r="H14" s="545">
        <f>SUMIF(68:68,G14,69:69)-SUMIF(68:68,C14,69:69)+100</f>
        <v>100</v>
      </c>
      <c r="I14" s="878"/>
      <c r="J14" s="545">
        <f>SUMIF(68:68,I14,69:69)-SUMIF(68:68,C14,69:69)+100</f>
        <v>100</v>
      </c>
      <c r="K14" s="580"/>
      <c r="L14" s="2142"/>
      <c r="M14" s="2134"/>
      <c r="N14" s="2134"/>
      <c r="O14" s="2141"/>
      <c r="P14" s="3768"/>
      <c r="Q14" s="1149">
        <f t="shared" si="6"/>
        <v>111</v>
      </c>
      <c r="R14" s="1567" t="s">
        <v>8</v>
      </c>
      <c r="S14" s="1568">
        <f t="shared" si="0"/>
        <v>100</v>
      </c>
      <c r="T14" s="1567" t="s">
        <v>8</v>
      </c>
      <c r="U14" s="1568">
        <f t="shared" si="1"/>
        <v>100</v>
      </c>
      <c r="V14" s="1567" t="s">
        <v>8</v>
      </c>
      <c r="W14" s="1568">
        <f t="shared" si="2"/>
        <v>100</v>
      </c>
      <c r="X14" s="1569"/>
      <c r="Y14" s="3725"/>
      <c r="Z14" s="1148">
        <f t="shared" si="7"/>
        <v>111</v>
      </c>
      <c r="AA14" s="1570">
        <f t="shared" si="3"/>
        <v>1</v>
      </c>
      <c r="AB14" s="1570">
        <f t="shared" si="4"/>
        <v>1</v>
      </c>
      <c r="AC14" s="1570">
        <f t="shared" si="5"/>
        <v>1</v>
      </c>
    </row>
    <row r="15" spans="1:29" ht="57">
      <c r="A15" s="2934" t="s">
        <v>2752</v>
      </c>
      <c r="B15" s="166"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2"/>
      <c r="M15" s="2134"/>
      <c r="N15" s="2134"/>
      <c r="O15" s="2141"/>
      <c r="P15" s="3770" t="s">
        <v>540</v>
      </c>
      <c r="Q15" s="1571" t="str">
        <f t="shared" si="6"/>
        <v>产业集聚程度</v>
      </c>
      <c r="R15" s="1572" t="s">
        <v>8</v>
      </c>
      <c r="S15" s="1573">
        <f t="shared" si="0"/>
        <v>100</v>
      </c>
      <c r="T15" s="1572" t="s">
        <v>8</v>
      </c>
      <c r="U15" s="1573">
        <f t="shared" si="1"/>
        <v>100</v>
      </c>
      <c r="V15" s="1572" t="s">
        <v>8</v>
      </c>
      <c r="W15" s="1573">
        <f t="shared" si="2"/>
        <v>100</v>
      </c>
      <c r="X15" s="1566"/>
      <c r="Y15" s="3770" t="s">
        <v>540</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7"/>
      <c r="L16" s="2142"/>
      <c r="M16" s="2134"/>
      <c r="N16" s="2134"/>
      <c r="O16" s="2141"/>
      <c r="P16" s="3771"/>
      <c r="Q16" s="1571"/>
      <c r="R16" s="1572"/>
      <c r="S16" s="1573"/>
      <c r="T16" s="1572"/>
      <c r="U16" s="1573"/>
      <c r="V16" s="1572"/>
      <c r="W16" s="1573"/>
      <c r="X16" s="1566"/>
      <c r="Y16" s="3771"/>
      <c r="Z16" s="1574"/>
      <c r="AA16" s="1575">
        <v>1</v>
      </c>
      <c r="AB16" s="1575">
        <v>1</v>
      </c>
      <c r="AC16" s="1575">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2"/>
      <c r="M17" s="2134"/>
      <c r="N17" s="2134"/>
      <c r="O17" s="2141"/>
      <c r="P17" s="3771"/>
      <c r="Q17" s="1571" t="str">
        <f>B17</f>
        <v>交通便捷度</v>
      </c>
      <c r="R17" s="1572" t="s">
        <v>8</v>
      </c>
      <c r="S17" s="1573">
        <f>F17</f>
        <v>100</v>
      </c>
      <c r="T17" s="1572" t="s">
        <v>8</v>
      </c>
      <c r="U17" s="1573">
        <f>H17</f>
        <v>100</v>
      </c>
      <c r="V17" s="1572" t="s">
        <v>8</v>
      </c>
      <c r="W17" s="1573">
        <f>J17</f>
        <v>100</v>
      </c>
      <c r="X17" s="1566"/>
      <c r="Y17" s="3771"/>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7"/>
      <c r="L18" s="2142"/>
      <c r="M18" s="2134"/>
      <c r="N18" s="2134"/>
      <c r="O18" s="2141"/>
      <c r="P18" s="3771"/>
      <c r="Q18" s="1571"/>
      <c r="R18" s="1572"/>
      <c r="S18" s="1573"/>
      <c r="T18" s="1572"/>
      <c r="U18" s="1573"/>
      <c r="V18" s="1572"/>
      <c r="W18" s="1573"/>
      <c r="X18" s="1566"/>
      <c r="Y18" s="3771"/>
      <c r="Z18" s="1574"/>
      <c r="AA18" s="1575">
        <v>1</v>
      </c>
      <c r="AB18" s="1575">
        <v>1</v>
      </c>
      <c r="AC18" s="1575">
        <v>1</v>
      </c>
    </row>
    <row r="19" spans="1:29" ht="42.75">
      <c r="A19" s="531"/>
      <c r="B19" s="2627" t="s">
        <v>2544</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2"/>
      <c r="M19" s="2134"/>
      <c r="N19" s="2134"/>
      <c r="O19" s="2141"/>
      <c r="P19" s="3771"/>
      <c r="Q19" s="1571" t="str">
        <f>B19</f>
        <v>公共配套设施</v>
      </c>
      <c r="R19" s="1572" t="s">
        <v>8</v>
      </c>
      <c r="S19" s="1573">
        <f>F19</f>
        <v>100</v>
      </c>
      <c r="T19" s="1572" t="s">
        <v>8</v>
      </c>
      <c r="U19" s="1573">
        <f>H19</f>
        <v>100</v>
      </c>
      <c r="V19" s="1572" t="s">
        <v>8</v>
      </c>
      <c r="W19" s="1573">
        <f>J19</f>
        <v>100</v>
      </c>
      <c r="X19" s="1566"/>
      <c r="Y19" s="3771"/>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7"/>
      <c r="L20" s="2142"/>
      <c r="M20" s="2134"/>
      <c r="N20" s="2134"/>
      <c r="O20" s="2141"/>
      <c r="P20" s="3771"/>
      <c r="Q20" s="1571"/>
      <c r="R20" s="1572"/>
      <c r="S20" s="1573"/>
      <c r="T20" s="1572"/>
      <c r="U20" s="1573"/>
      <c r="V20" s="1572"/>
      <c r="W20" s="1573"/>
      <c r="X20" s="1566"/>
      <c r="Y20" s="3771"/>
      <c r="Z20" s="1574"/>
      <c r="AA20" s="1575">
        <v>1</v>
      </c>
      <c r="AB20" s="1575">
        <v>1</v>
      </c>
      <c r="AC20" s="1575">
        <v>1</v>
      </c>
    </row>
    <row r="21" spans="1:29" ht="28.5">
      <c r="A21" s="531"/>
      <c r="B21" s="2615" t="s">
        <v>2556</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2"/>
      <c r="M21" s="2134"/>
      <c r="N21" s="2134"/>
      <c r="O21" s="2141"/>
      <c r="P21" s="3771"/>
      <c r="Q21" s="2603" t="str">
        <f>B21</f>
        <v>基础设施水平</v>
      </c>
      <c r="R21" s="1572" t="s">
        <v>8</v>
      </c>
      <c r="S21" s="1573">
        <f>F21</f>
        <v>100</v>
      </c>
      <c r="T21" s="1572" t="s">
        <v>8</v>
      </c>
      <c r="U21" s="1573">
        <f>H21</f>
        <v>100</v>
      </c>
      <c r="V21" s="1572" t="s">
        <v>8</v>
      </c>
      <c r="W21" s="1573">
        <f>J21</f>
        <v>100</v>
      </c>
      <c r="X21" s="2605"/>
      <c r="Y21" s="3771"/>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771"/>
      <c r="Q22" s="2603"/>
      <c r="R22" s="1572"/>
      <c r="S22" s="1573"/>
      <c r="T22" s="1572"/>
      <c r="U22" s="1573"/>
      <c r="V22" s="1572"/>
      <c r="W22" s="1573"/>
      <c r="X22" s="2605"/>
      <c r="Y22" s="3771"/>
      <c r="Z22" s="2604"/>
      <c r="AA22" s="1575">
        <v>1</v>
      </c>
      <c r="AB22" s="1575">
        <v>1</v>
      </c>
      <c r="AC22" s="1575">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2"/>
      <c r="M23" s="2134"/>
      <c r="N23" s="2134"/>
      <c r="O23" s="2141"/>
      <c r="P23" s="3771"/>
      <c r="Q23" s="1571" t="str">
        <f>B23</f>
        <v>环境质量</v>
      </c>
      <c r="R23" s="1572" t="s">
        <v>8</v>
      </c>
      <c r="S23" s="1573">
        <f>F23</f>
        <v>100</v>
      </c>
      <c r="T23" s="1572" t="s">
        <v>8</v>
      </c>
      <c r="U23" s="1573">
        <f>H23</f>
        <v>100</v>
      </c>
      <c r="V23" s="1572" t="s">
        <v>8</v>
      </c>
      <c r="W23" s="1573">
        <f>J23</f>
        <v>100</v>
      </c>
      <c r="X23" s="1566"/>
      <c r="Y23" s="3771"/>
      <c r="Z23" s="1574" t="str">
        <f>Q23</f>
        <v>环境质量</v>
      </c>
      <c r="AA23" s="1575">
        <f t="shared" si="3"/>
        <v>1</v>
      </c>
      <c r="AB23" s="1575">
        <f t="shared" si="4"/>
        <v>1</v>
      </c>
      <c r="AC23" s="1575">
        <f t="shared" si="5"/>
        <v>1</v>
      </c>
    </row>
    <row r="24" spans="1:29" ht="15">
      <c r="A24" s="531"/>
      <c r="B24" s="920"/>
      <c r="C24" s="575"/>
      <c r="D24" s="554"/>
      <c r="E24" s="555"/>
      <c r="F24" s="556"/>
      <c r="G24" s="557"/>
      <c r="H24" s="554"/>
      <c r="I24" s="555"/>
      <c r="J24" s="554"/>
      <c r="K24" s="897"/>
      <c r="L24" s="2142"/>
      <c r="M24" s="2134"/>
      <c r="N24" s="2134"/>
      <c r="O24" s="2141"/>
      <c r="P24" s="3771"/>
      <c r="Q24" s="1571"/>
      <c r="R24" s="1572"/>
      <c r="S24" s="1573"/>
      <c r="T24" s="1572"/>
      <c r="U24" s="1573"/>
      <c r="V24" s="1572"/>
      <c r="W24" s="1573"/>
      <c r="X24" s="1566"/>
      <c r="Y24" s="3771"/>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771"/>
      <c r="Q25" s="1571">
        <f>B25</f>
        <v>111</v>
      </c>
      <c r="R25" s="1572" t="s">
        <v>8</v>
      </c>
      <c r="S25" s="1573">
        <f>F25</f>
        <v>100</v>
      </c>
      <c r="T25" s="1572" t="s">
        <v>8</v>
      </c>
      <c r="U25" s="1573">
        <f>H25</f>
        <v>100</v>
      </c>
      <c r="V25" s="1572" t="s">
        <v>8</v>
      </c>
      <c r="W25" s="1573">
        <f>J25</f>
        <v>100</v>
      </c>
      <c r="X25" s="1566"/>
      <c r="Y25" s="3771"/>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771"/>
      <c r="Q26" s="1571">
        <f t="shared" ref="Q26:Q40" si="11">B26</f>
        <v>111</v>
      </c>
      <c r="R26" s="1572" t="s">
        <v>8</v>
      </c>
      <c r="S26" s="1573">
        <f>F26</f>
        <v>100</v>
      </c>
      <c r="T26" s="1572" t="s">
        <v>8</v>
      </c>
      <c r="U26" s="1573">
        <f>H26</f>
        <v>100</v>
      </c>
      <c r="V26" s="1572" t="s">
        <v>8</v>
      </c>
      <c r="W26" s="1573">
        <f>J26</f>
        <v>100</v>
      </c>
      <c r="X26" s="1566"/>
      <c r="Y26" s="3771"/>
      <c r="Z26" s="1574">
        <f>Q26</f>
        <v>111</v>
      </c>
      <c r="AA26" s="1575">
        <f t="shared" si="3"/>
        <v>1</v>
      </c>
      <c r="AB26" s="1575">
        <f t="shared" si="4"/>
        <v>1</v>
      </c>
      <c r="AC26" s="1575">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771"/>
      <c r="Q27" s="1149">
        <f t="shared" si="11"/>
        <v>111</v>
      </c>
      <c r="R27" s="1567" t="s">
        <v>8</v>
      </c>
      <c r="S27" s="1568">
        <f>F27</f>
        <v>100</v>
      </c>
      <c r="T27" s="1567" t="s">
        <v>8</v>
      </c>
      <c r="U27" s="1568">
        <f>H27</f>
        <v>100</v>
      </c>
      <c r="V27" s="1567" t="s">
        <v>8</v>
      </c>
      <c r="W27" s="1568">
        <f>J27</f>
        <v>100</v>
      </c>
      <c r="X27" s="1569"/>
      <c r="Y27" s="3771"/>
      <c r="Z27" s="1148">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2"/>
      <c r="M28" s="2134"/>
      <c r="N28" s="2134"/>
      <c r="O28" s="2141"/>
      <c r="P28" s="3771"/>
      <c r="Q28" s="1571">
        <f t="shared" si="11"/>
        <v>111</v>
      </c>
      <c r="R28" s="1572" t="s">
        <v>8</v>
      </c>
      <c r="S28" s="1573">
        <f t="shared" ref="S28:S40" si="12">F28</f>
        <v>100</v>
      </c>
      <c r="T28" s="1572" t="s">
        <v>8</v>
      </c>
      <c r="U28" s="1573">
        <f t="shared" ref="U28:U40" si="13">H28</f>
        <v>100</v>
      </c>
      <c r="V28" s="1572" t="s">
        <v>8</v>
      </c>
      <c r="W28" s="1573">
        <f t="shared" ref="W28:W40" si="14">J28</f>
        <v>100</v>
      </c>
      <c r="X28" s="1566"/>
      <c r="Y28" s="3771"/>
      <c r="Z28" s="1574">
        <f t="shared" ref="Z28:Z40" si="15">Q28</f>
        <v>111</v>
      </c>
      <c r="AA28" s="1575">
        <f t="shared" si="3"/>
        <v>1</v>
      </c>
      <c r="AB28" s="1575">
        <f t="shared" si="4"/>
        <v>1</v>
      </c>
      <c r="AC28" s="1575">
        <f t="shared" si="5"/>
        <v>1</v>
      </c>
    </row>
    <row r="29" spans="1:29" ht="15">
      <c r="A29" s="2931" t="s">
        <v>2753</v>
      </c>
      <c r="B29" s="172" t="s">
        <v>779</v>
      </c>
      <c r="C29" s="914"/>
      <c r="D29" s="596">
        <v>100</v>
      </c>
      <c r="E29" s="914"/>
      <c r="F29" s="574">
        <f>SUMIF(88:88,E29,89:89)-SUMIF(88:88,C29,89:89)+100</f>
        <v>100</v>
      </c>
      <c r="G29" s="914"/>
      <c r="H29" s="539">
        <f>SUMIF(88:88,G29,89:89)-SUMIF(88:88,C29,89:89)+100</f>
        <v>100</v>
      </c>
      <c r="I29" s="914"/>
      <c r="J29" s="596">
        <f>SUMIF(88:88,I29,89:89)-SUMIF(88:88,C29,89:89)+100</f>
        <v>100</v>
      </c>
      <c r="K29" s="583"/>
      <c r="L29" s="2142"/>
      <c r="M29" s="2134"/>
      <c r="N29" s="2134"/>
      <c r="O29" s="2141"/>
      <c r="P29" s="3772" t="s">
        <v>550</v>
      </c>
      <c r="Q29" s="1571" t="str">
        <f t="shared" si="11"/>
        <v>建筑类型</v>
      </c>
      <c r="R29" s="1572" t="s">
        <v>8</v>
      </c>
      <c r="S29" s="1573">
        <f t="shared" si="12"/>
        <v>100</v>
      </c>
      <c r="T29" s="1572" t="s">
        <v>8</v>
      </c>
      <c r="U29" s="1573">
        <f t="shared" si="13"/>
        <v>100</v>
      </c>
      <c r="V29" s="1572" t="s">
        <v>8</v>
      </c>
      <c r="W29" s="1573">
        <f t="shared" si="14"/>
        <v>100</v>
      </c>
      <c r="X29" s="1566"/>
      <c r="Y29" s="3773" t="s">
        <v>550</v>
      </c>
      <c r="Z29" s="1574" t="str">
        <f t="shared" si="15"/>
        <v>建筑类型</v>
      </c>
      <c r="AA29" s="1575">
        <f t="shared" si="3"/>
        <v>1</v>
      </c>
      <c r="AB29" s="1575">
        <f t="shared" si="4"/>
        <v>1</v>
      </c>
      <c r="AC29" s="1575">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773"/>
      <c r="Q30" s="1604" t="str">
        <f t="shared" si="11"/>
        <v>项目建筑规模</v>
      </c>
      <c r="R30" s="1576" t="s">
        <v>8</v>
      </c>
      <c r="S30" s="1577" t="e">
        <f t="shared" si="12"/>
        <v>#N/A</v>
      </c>
      <c r="T30" s="1576" t="s">
        <v>8</v>
      </c>
      <c r="U30" s="1577" t="e">
        <f t="shared" si="13"/>
        <v>#N/A</v>
      </c>
      <c r="V30" s="1576" t="s">
        <v>8</v>
      </c>
      <c r="W30" s="1577" t="e">
        <f t="shared" si="14"/>
        <v>#N/A</v>
      </c>
      <c r="X30" s="1578"/>
      <c r="Y30" s="3773"/>
      <c r="Z30" s="1579" t="str">
        <f t="shared" si="15"/>
        <v>项目建筑规模</v>
      </c>
      <c r="AA30" s="1575" t="e">
        <f t="shared" si="3"/>
        <v>#N/A</v>
      </c>
      <c r="AB30" s="1575" t="e">
        <f t="shared" si="4"/>
        <v>#N/A</v>
      </c>
      <c r="AC30" s="1575"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773"/>
      <c r="Q31" s="1571" t="str">
        <f t="shared" si="11"/>
        <v>建筑结构</v>
      </c>
      <c r="R31" s="1572" t="s">
        <v>8</v>
      </c>
      <c r="S31" s="1573">
        <f t="shared" si="12"/>
        <v>100</v>
      </c>
      <c r="T31" s="1572" t="s">
        <v>8</v>
      </c>
      <c r="U31" s="1573">
        <f t="shared" si="13"/>
        <v>100</v>
      </c>
      <c r="V31" s="1572" t="s">
        <v>8</v>
      </c>
      <c r="W31" s="1573">
        <f t="shared" si="14"/>
        <v>100</v>
      </c>
      <c r="X31" s="1566"/>
      <c r="Y31" s="3773"/>
      <c r="Z31" s="1574" t="str">
        <f t="shared" si="15"/>
        <v>建筑结构</v>
      </c>
      <c r="AA31" s="1575">
        <f t="shared" si="3"/>
        <v>1</v>
      </c>
      <c r="AB31" s="1575">
        <f t="shared" si="4"/>
        <v>1</v>
      </c>
      <c r="AC31" s="1575">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773"/>
      <c r="Q32" s="1571" t="str">
        <f t="shared" si="11"/>
        <v>公共部分装修</v>
      </c>
      <c r="R32" s="1572" t="s">
        <v>8</v>
      </c>
      <c r="S32" s="1573">
        <f t="shared" si="12"/>
        <v>100</v>
      </c>
      <c r="T32" s="1572" t="s">
        <v>8</v>
      </c>
      <c r="U32" s="1573">
        <f t="shared" si="13"/>
        <v>100</v>
      </c>
      <c r="V32" s="1572" t="s">
        <v>8</v>
      </c>
      <c r="W32" s="1573">
        <f t="shared" si="14"/>
        <v>100</v>
      </c>
      <c r="X32" s="1566"/>
      <c r="Y32" s="3773"/>
      <c r="Z32" s="1574" t="str">
        <f t="shared" si="15"/>
        <v>公共部分装修</v>
      </c>
      <c r="AA32" s="1575">
        <f t="shared" si="3"/>
        <v>1</v>
      </c>
      <c r="AB32" s="1575">
        <f t="shared" si="4"/>
        <v>1</v>
      </c>
      <c r="AC32" s="1575">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2"/>
      <c r="M33" s="2134"/>
      <c r="N33" s="2134"/>
      <c r="O33" s="2141"/>
      <c r="P33" s="3773"/>
      <c r="Q33" s="1571" t="str">
        <f t="shared" si="11"/>
        <v>成新度</v>
      </c>
      <c r="R33" s="1572" t="s">
        <v>8</v>
      </c>
      <c r="S33" s="1573" t="e">
        <f t="shared" si="12"/>
        <v>#N/A</v>
      </c>
      <c r="T33" s="1572" t="s">
        <v>8</v>
      </c>
      <c r="U33" s="1573" t="e">
        <f t="shared" si="13"/>
        <v>#N/A</v>
      </c>
      <c r="V33" s="1572" t="s">
        <v>8</v>
      </c>
      <c r="W33" s="1573" t="e">
        <f t="shared" si="14"/>
        <v>#N/A</v>
      </c>
      <c r="X33" s="1566"/>
      <c r="Y33" s="3773"/>
      <c r="Z33" s="1574" t="str">
        <f t="shared" si="15"/>
        <v>成新度</v>
      </c>
      <c r="AA33" s="1575" t="e">
        <f t="shared" si="3"/>
        <v>#N/A</v>
      </c>
      <c r="AB33" s="1575" t="e">
        <f t="shared" si="4"/>
        <v>#N/A</v>
      </c>
      <c r="AC33" s="1575"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773"/>
      <c r="Q34" s="1149" t="str">
        <f t="shared" si="11"/>
        <v>物业管理</v>
      </c>
      <c r="R34" s="1567" t="s">
        <v>8</v>
      </c>
      <c r="S34" s="1568">
        <f t="shared" si="12"/>
        <v>100</v>
      </c>
      <c r="T34" s="1567" t="s">
        <v>8</v>
      </c>
      <c r="U34" s="1568">
        <f t="shared" si="13"/>
        <v>100</v>
      </c>
      <c r="V34" s="1567" t="s">
        <v>8</v>
      </c>
      <c r="W34" s="1568">
        <f t="shared" si="14"/>
        <v>100</v>
      </c>
      <c r="X34" s="1569"/>
      <c r="Y34" s="3773"/>
      <c r="Z34" s="1148" t="str">
        <f t="shared" si="15"/>
        <v>物业管理</v>
      </c>
      <c r="AA34" s="1570">
        <f t="shared" si="3"/>
        <v>1</v>
      </c>
      <c r="AB34" s="1570">
        <f t="shared" si="4"/>
        <v>1</v>
      </c>
      <c r="AC34" s="1570">
        <f t="shared" si="5"/>
        <v>1</v>
      </c>
    </row>
    <row r="35" spans="1:29" ht="15">
      <c r="A35" s="593"/>
      <c r="B35" s="1895" t="s">
        <v>2563</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773" t="s">
        <v>550</v>
      </c>
      <c r="Q35" s="1571" t="str">
        <f t="shared" si="11"/>
        <v>市政基础设施</v>
      </c>
      <c r="R35" s="1572" t="s">
        <v>8</v>
      </c>
      <c r="S35" s="1573">
        <f t="shared" si="12"/>
        <v>100</v>
      </c>
      <c r="T35" s="1572" t="s">
        <v>8</v>
      </c>
      <c r="U35" s="1573">
        <f t="shared" si="13"/>
        <v>100</v>
      </c>
      <c r="V35" s="1572" t="s">
        <v>8</v>
      </c>
      <c r="W35" s="1573">
        <f t="shared" si="14"/>
        <v>100</v>
      </c>
      <c r="X35" s="1566"/>
      <c r="Y35" s="3773" t="s">
        <v>550</v>
      </c>
      <c r="Z35" s="1574" t="str">
        <f t="shared" si="15"/>
        <v>市政基础设施</v>
      </c>
      <c r="AA35" s="1575">
        <f t="shared" si="3"/>
        <v>1</v>
      </c>
      <c r="AB35" s="1575">
        <f t="shared" si="4"/>
        <v>1</v>
      </c>
      <c r="AC35" s="1575">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773"/>
      <c r="Q36" s="1571" t="str">
        <f t="shared" si="11"/>
        <v>内部装修</v>
      </c>
      <c r="R36" s="1572" t="s">
        <v>8</v>
      </c>
      <c r="S36" s="1573">
        <f t="shared" si="12"/>
        <v>100</v>
      </c>
      <c r="T36" s="1572" t="s">
        <v>8</v>
      </c>
      <c r="U36" s="1573">
        <f t="shared" si="13"/>
        <v>100</v>
      </c>
      <c r="V36" s="1572" t="s">
        <v>8</v>
      </c>
      <c r="W36" s="1573">
        <f t="shared" si="14"/>
        <v>100</v>
      </c>
      <c r="X36" s="1566"/>
      <c r="Y36" s="3773"/>
      <c r="Z36" s="1574" t="str">
        <f t="shared" si="15"/>
        <v>内部装修</v>
      </c>
      <c r="AA36" s="1575">
        <f t="shared" si="3"/>
        <v>1</v>
      </c>
      <c r="AB36" s="1575">
        <f t="shared" si="4"/>
        <v>1</v>
      </c>
      <c r="AC36" s="1575">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773"/>
      <c r="Q37" s="1571" t="str">
        <f t="shared" si="11"/>
        <v>内部装修状况</v>
      </c>
      <c r="R37" s="1572" t="s">
        <v>8</v>
      </c>
      <c r="S37" s="1573">
        <f t="shared" si="12"/>
        <v>100</v>
      </c>
      <c r="T37" s="1572" t="s">
        <v>8</v>
      </c>
      <c r="U37" s="1573">
        <f t="shared" si="13"/>
        <v>100</v>
      </c>
      <c r="V37" s="1572" t="s">
        <v>8</v>
      </c>
      <c r="W37" s="1573">
        <f t="shared" si="14"/>
        <v>100</v>
      </c>
      <c r="X37" s="1566"/>
      <c r="Y37" s="3773"/>
      <c r="Z37" s="1574" t="str">
        <f t="shared" si="15"/>
        <v>内部装修状况</v>
      </c>
      <c r="AA37" s="1575">
        <f t="shared" si="3"/>
        <v>1</v>
      </c>
      <c r="AB37" s="1575">
        <f t="shared" si="4"/>
        <v>1</v>
      </c>
      <c r="AC37" s="1575">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40"/>
      <c r="M38" s="2171"/>
      <c r="N38" s="2171"/>
      <c r="O38" s="2143"/>
      <c r="P38" s="3773"/>
      <c r="Q38" s="1604">
        <f t="shared" si="11"/>
        <v>111</v>
      </c>
      <c r="R38" s="1576" t="s">
        <v>8</v>
      </c>
      <c r="S38" s="1577">
        <f t="shared" si="12"/>
        <v>100</v>
      </c>
      <c r="T38" s="1576" t="s">
        <v>8</v>
      </c>
      <c r="U38" s="1577">
        <f t="shared" si="13"/>
        <v>100</v>
      </c>
      <c r="V38" s="1576" t="s">
        <v>8</v>
      </c>
      <c r="W38" s="1577">
        <f t="shared" si="14"/>
        <v>100</v>
      </c>
      <c r="X38" s="1578"/>
      <c r="Y38" s="3773"/>
      <c r="Z38" s="1579">
        <f t="shared" si="15"/>
        <v>111</v>
      </c>
      <c r="AA38" s="1575">
        <f t="shared" si="3"/>
        <v>1</v>
      </c>
      <c r="AB38" s="1575">
        <f t="shared" si="4"/>
        <v>1</v>
      </c>
      <c r="AC38" s="1575">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2"/>
      <c r="M39" s="2134"/>
      <c r="N39" s="2134"/>
      <c r="O39" s="2141"/>
      <c r="P39" s="3773"/>
      <c r="Q39" s="1571">
        <f t="shared" si="11"/>
        <v>111</v>
      </c>
      <c r="R39" s="1572" t="s">
        <v>8</v>
      </c>
      <c r="S39" s="1573">
        <f t="shared" si="12"/>
        <v>100</v>
      </c>
      <c r="T39" s="1572" t="s">
        <v>8</v>
      </c>
      <c r="U39" s="1573">
        <f t="shared" si="13"/>
        <v>100</v>
      </c>
      <c r="V39" s="1572" t="s">
        <v>8</v>
      </c>
      <c r="W39" s="1573">
        <f t="shared" si="14"/>
        <v>100</v>
      </c>
      <c r="X39" s="1566"/>
      <c r="Y39" s="3773"/>
      <c r="Z39" s="1574">
        <f t="shared" si="15"/>
        <v>111</v>
      </c>
      <c r="AA39" s="1575">
        <f t="shared" si="3"/>
        <v>1</v>
      </c>
      <c r="AB39" s="1575">
        <f t="shared" si="4"/>
        <v>1</v>
      </c>
      <c r="AC39" s="1575">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2"/>
      <c r="M40" s="2134"/>
      <c r="N40" s="2134"/>
      <c r="O40" s="2141"/>
      <c r="P40" s="3912"/>
      <c r="Q40" s="1571">
        <f t="shared" si="11"/>
        <v>111</v>
      </c>
      <c r="R40" s="1572" t="s">
        <v>8</v>
      </c>
      <c r="S40" s="1573">
        <f t="shared" si="12"/>
        <v>100</v>
      </c>
      <c r="T40" s="1572" t="s">
        <v>8</v>
      </c>
      <c r="U40" s="1573">
        <f t="shared" si="13"/>
        <v>100</v>
      </c>
      <c r="V40" s="1572" t="s">
        <v>8</v>
      </c>
      <c r="W40" s="1573">
        <f t="shared" si="14"/>
        <v>100</v>
      </c>
      <c r="X40" s="1566"/>
      <c r="Y40" s="3912"/>
      <c r="Z40" s="1574">
        <f t="shared" si="15"/>
        <v>111</v>
      </c>
      <c r="AA40" s="1575">
        <f t="shared" si="3"/>
        <v>1</v>
      </c>
      <c r="AB40" s="1575">
        <f t="shared" si="4"/>
        <v>1</v>
      </c>
      <c r="AC40" s="1575">
        <f t="shared" si="5"/>
        <v>1</v>
      </c>
    </row>
    <row r="41" spans="1:29" ht="15">
      <c r="A41" s="606" t="s">
        <v>735</v>
      </c>
      <c r="B41" s="885"/>
      <c r="C41" s="2651" t="s">
        <v>1</v>
      </c>
      <c r="D41" s="2652"/>
      <c r="E41" s="2653"/>
      <c r="F41" s="2654"/>
      <c r="G41" s="2655"/>
      <c r="H41" s="2656"/>
      <c r="I41" s="2653"/>
      <c r="J41" s="2656"/>
      <c r="K41" s="1610"/>
      <c r="L41" s="2144"/>
      <c r="M41" s="2145"/>
      <c r="N41" s="2134"/>
      <c r="O41" s="2145"/>
      <c r="P41" s="3768" t="str">
        <f>A41</f>
        <v>成交单价（元/平方米）</v>
      </c>
      <c r="Q41" s="3768"/>
      <c r="R41" s="3911">
        <f>E41</f>
        <v>0</v>
      </c>
      <c r="S41" s="3911"/>
      <c r="T41" s="3911">
        <f>G41</f>
        <v>0</v>
      </c>
      <c r="U41" s="3911"/>
      <c r="V41" s="3911">
        <f>I41</f>
        <v>0</v>
      </c>
      <c r="W41" s="3911"/>
      <c r="X41" s="1558"/>
      <c r="Y41" s="1580"/>
      <c r="Z41" s="1558"/>
      <c r="AA41" s="1558"/>
      <c r="AB41" s="1558"/>
      <c r="AC41" s="1558"/>
    </row>
    <row r="42" spans="1:29" ht="15.75" thickBot="1">
      <c r="A42" s="614" t="s">
        <v>2758</v>
      </c>
      <c r="B42" s="886"/>
      <c r="C42" s="2657" t="e">
        <f>R43</f>
        <v>#DIV/0!</v>
      </c>
      <c r="D42" s="2658"/>
      <c r="E42" s="2659" t="e">
        <f>R42</f>
        <v>#DIV/0!</v>
      </c>
      <c r="F42" s="2659"/>
      <c r="G42" s="2657" t="e">
        <f>T42</f>
        <v>#DIV/0!</v>
      </c>
      <c r="H42" s="2658"/>
      <c r="I42" s="2659" t="e">
        <f>V42</f>
        <v>#DIV/0!</v>
      </c>
      <c r="J42" s="2658"/>
      <c r="K42" s="1611"/>
      <c r="L42" s="2144"/>
      <c r="M42" s="2145"/>
      <c r="N42" s="2134"/>
      <c r="O42" s="2145"/>
      <c r="P42" s="3768" t="str">
        <f>A42</f>
        <v>比较价格（元/平方米）</v>
      </c>
      <c r="Q42" s="3768"/>
      <c r="R42" s="3911" t="e">
        <f>IF(F1="售价",ROUND(PRODUCT(R41,AA7:AA40),0),ROUND(PRODUCT(R41,AA7:AA40),1))</f>
        <v>#DIV/0!</v>
      </c>
      <c r="S42" s="3911"/>
      <c r="T42" s="3911" t="e">
        <f>IF(F1="售价",ROUND(PRODUCT(T41,AB7:AB40),0),ROUND(PRODUCT(T41,AB7:AB40),1))</f>
        <v>#DIV/0!</v>
      </c>
      <c r="U42" s="3911"/>
      <c r="V42" s="3911" t="e">
        <f>IF(F1="售价",ROUND(PRODUCT(V41,AC7:AC40),0),ROUND(PRODUCT(V41,AC7:AC40),1))</f>
        <v>#DIV/0!</v>
      </c>
      <c r="W42" s="3911"/>
      <c r="X42" s="1558"/>
      <c r="Y42" s="1558"/>
      <c r="Z42" s="1558"/>
      <c r="AA42" s="1558"/>
      <c r="AB42" s="1558"/>
      <c r="AC42" s="1558"/>
    </row>
    <row r="43" spans="1:29" ht="15.75" thickBot="1">
      <c r="A43" s="620" t="s">
        <v>2931</v>
      </c>
      <c r="B43" s="621"/>
      <c r="C43" s="2660" t="e">
        <f>R43</f>
        <v>#DIV/0!</v>
      </c>
      <c r="D43" s="2660"/>
      <c r="E43" s="2660"/>
      <c r="F43" s="2660"/>
      <c r="G43" s="2660"/>
      <c r="H43" s="2660"/>
      <c r="I43" s="2660"/>
      <c r="J43" s="2660"/>
      <c r="K43" s="1612"/>
      <c r="L43" s="2144"/>
      <c r="M43" s="2145"/>
      <c r="N43" s="2145"/>
      <c r="O43" s="2145"/>
      <c r="P43" s="3789" t="str">
        <f>A43</f>
        <v>估价对象XX用房的比较价格（楼面单价，元/平方米）</v>
      </c>
      <c r="Q43" s="3790"/>
      <c r="R43" s="3910" t="e">
        <f>IF(F1="售价",ROUND(AVERAGE(R42:V42),0),ROUND(AVERAGE(R42:V42),1))</f>
        <v>#DIV/0!</v>
      </c>
      <c r="S43" s="3910"/>
      <c r="T43" s="3910"/>
      <c r="U43" s="3910"/>
      <c r="V43" s="3910"/>
      <c r="W43" s="3910"/>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3" customFormat="1" ht="13.5" customHeight="1">
      <c r="A48" s="2146"/>
      <c r="B48" s="2146"/>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3"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5" customFormat="1" ht="15">
      <c r="A52" s="644" t="s">
        <v>529</v>
      </c>
      <c r="B52" s="645"/>
      <c r="C52" s="2826" t="str">
        <f>YEAR(C7)&amp;"-"&amp;MONTH(C7)</f>
        <v>2018-12</v>
      </c>
      <c r="D52" s="2828">
        <f>EDATE(C52,-1)</f>
        <v>43405</v>
      </c>
      <c r="E52" s="2828">
        <f t="shared" ref="E52:O52" si="16">EDATE(D52,-1)</f>
        <v>43374</v>
      </c>
      <c r="F52" s="2828">
        <f t="shared" si="16"/>
        <v>43344</v>
      </c>
      <c r="G52" s="2828">
        <f t="shared" si="16"/>
        <v>43313</v>
      </c>
      <c r="H52" s="2828">
        <f t="shared" si="16"/>
        <v>43282</v>
      </c>
      <c r="I52" s="2828">
        <f t="shared" si="16"/>
        <v>43252</v>
      </c>
      <c r="J52" s="2828">
        <f t="shared" si="16"/>
        <v>43221</v>
      </c>
      <c r="K52" s="2828">
        <f t="shared" si="16"/>
        <v>43191</v>
      </c>
      <c r="L52" s="2828">
        <f t="shared" si="16"/>
        <v>43160</v>
      </c>
      <c r="M52" s="2828">
        <f t="shared" si="16"/>
        <v>43132</v>
      </c>
      <c r="N52" s="2828">
        <f t="shared" si="16"/>
        <v>43101</v>
      </c>
      <c r="O52" s="2828">
        <f t="shared" si="16"/>
        <v>43070</v>
      </c>
      <c r="P52" s="2160"/>
      <c r="Q52" s="2161"/>
      <c r="R52" s="2161"/>
      <c r="S52" s="2161"/>
      <c r="T52" s="2161"/>
      <c r="U52" s="2161"/>
      <c r="V52" s="2161"/>
      <c r="W52" s="2161"/>
      <c r="X52" s="2161"/>
      <c r="Y52" s="2161"/>
      <c r="Z52" s="2161"/>
      <c r="AA52" s="2161"/>
      <c r="AB52" s="2161"/>
      <c r="AC52" s="2161"/>
    </row>
    <row r="53" spans="1:29" s="1218"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8" customFormat="1" ht="15.75" thickBot="1">
      <c r="A54" s="652" t="s">
        <v>575</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8" customFormat="1" ht="15">
      <c r="A55" s="658" t="s">
        <v>531</v>
      </c>
      <c r="B55" s="647"/>
      <c r="C55" s="659" t="s">
        <v>576</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8"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577</v>
      </c>
      <c r="B57" s="664" t="s">
        <v>534</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537</v>
      </c>
      <c r="C59" s="673" t="s">
        <v>736</v>
      </c>
      <c r="D59" s="673" t="s">
        <v>737</v>
      </c>
      <c r="E59" s="673" t="s">
        <v>738</v>
      </c>
      <c r="F59" s="673" t="s">
        <v>739</v>
      </c>
      <c r="G59" s="673" t="s">
        <v>740</v>
      </c>
      <c r="H59" s="673" t="s">
        <v>741</v>
      </c>
      <c r="I59" s="673" t="s">
        <v>742</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7"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7"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7"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7"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7"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7"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539</v>
      </c>
      <c r="B70" s="664" t="s">
        <v>585</v>
      </c>
      <c r="C70" s="702" t="s">
        <v>579</v>
      </c>
      <c r="D70" s="702" t="s">
        <v>580</v>
      </c>
      <c r="E70" s="702" t="s">
        <v>581</v>
      </c>
      <c r="F70" s="702" t="s">
        <v>582</v>
      </c>
      <c r="G70" s="702" t="s">
        <v>583</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586</v>
      </c>
      <c r="C72" s="707" t="s">
        <v>579</v>
      </c>
      <c r="D72" s="707" t="s">
        <v>580</v>
      </c>
      <c r="E72" s="707" t="s">
        <v>581</v>
      </c>
      <c r="F72" s="707" t="s">
        <v>582</v>
      </c>
      <c r="G72" s="707" t="s">
        <v>583</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2555</v>
      </c>
      <c r="C74" s="707" t="s">
        <v>579</v>
      </c>
      <c r="D74" s="707" t="s">
        <v>580</v>
      </c>
      <c r="E74" s="707" t="s">
        <v>581</v>
      </c>
      <c r="F74" s="707" t="s">
        <v>582</v>
      </c>
      <c r="G74" s="707" t="s">
        <v>583</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2556</v>
      </c>
      <c r="C76" s="2622" t="s">
        <v>2557</v>
      </c>
      <c r="D76" s="2622" t="s">
        <v>2558</v>
      </c>
      <c r="E76" s="2622" t="s">
        <v>2559</v>
      </c>
      <c r="F76" s="2622" t="s">
        <v>2560</v>
      </c>
      <c r="G76" s="2622" t="s">
        <v>2561</v>
      </c>
      <c r="H76" s="933"/>
      <c r="I76" s="933"/>
      <c r="J76" s="933"/>
      <c r="K76" s="933"/>
      <c r="L76" s="933"/>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783</v>
      </c>
      <c r="C78" s="707" t="s">
        <v>579</v>
      </c>
      <c r="D78" s="707" t="s">
        <v>580</v>
      </c>
      <c r="E78" s="707" t="s">
        <v>581</v>
      </c>
      <c r="F78" s="707" t="s">
        <v>582</v>
      </c>
      <c r="G78" s="707" t="s">
        <v>583</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8" customFormat="1" ht="15.75" thickTop="1">
      <c r="A80" s="708"/>
      <c r="B80" s="672">
        <f>B25</f>
        <v>111</v>
      </c>
      <c r="C80" s="687"/>
      <c r="D80" s="687"/>
      <c r="E80" s="687"/>
      <c r="F80" s="687"/>
      <c r="G80" s="687"/>
      <c r="H80" s="687"/>
      <c r="I80" s="687"/>
      <c r="J80" s="687"/>
      <c r="K80" s="687"/>
      <c r="L80" s="888"/>
      <c r="M80" s="889"/>
      <c r="N80" s="2162"/>
      <c r="O80" s="2162"/>
      <c r="P80" s="2165"/>
      <c r="Q80" s="2158"/>
      <c r="R80" s="1993"/>
      <c r="S80" s="1993"/>
      <c r="T80" s="1993"/>
      <c r="U80" s="1993"/>
      <c r="V80" s="1993"/>
      <c r="W80" s="1993"/>
      <c r="X80" s="1993"/>
      <c r="Y80" s="1993"/>
      <c r="Z80" s="1993"/>
      <c r="AA80" s="1993"/>
      <c r="AB80" s="1993"/>
      <c r="AC80" s="1993"/>
    </row>
    <row r="81" spans="1:29" s="1218"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8" customFormat="1" ht="15.75" thickTop="1">
      <c r="A82" s="708"/>
      <c r="B82" s="672">
        <f>B26</f>
        <v>111</v>
      </c>
      <c r="C82" s="687"/>
      <c r="D82" s="687"/>
      <c r="E82" s="687"/>
      <c r="F82" s="687"/>
      <c r="G82" s="687"/>
      <c r="H82" s="687"/>
      <c r="I82" s="687"/>
      <c r="J82" s="687"/>
      <c r="K82" s="687"/>
      <c r="L82" s="888"/>
      <c r="M82" s="889"/>
      <c r="N82" s="2162"/>
      <c r="O82" s="2162"/>
      <c r="P82" s="2165"/>
      <c r="Q82" s="2158"/>
      <c r="R82" s="1993"/>
      <c r="S82" s="1993"/>
      <c r="T82" s="1993"/>
      <c r="U82" s="1993"/>
      <c r="V82" s="1993"/>
      <c r="W82" s="1993"/>
      <c r="X82" s="1993"/>
      <c r="Y82" s="1993"/>
      <c r="Z82" s="1993"/>
      <c r="AA82" s="1993"/>
      <c r="AB82" s="1993"/>
      <c r="AC82" s="1993"/>
    </row>
    <row r="83" spans="1:29" s="1218"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7" customFormat="1" ht="15.75" thickTop="1">
      <c r="A84" s="686"/>
      <c r="B84" s="672">
        <f>B27</f>
        <v>111</v>
      </c>
      <c r="C84" s="687"/>
      <c r="D84" s="687"/>
      <c r="E84" s="687"/>
      <c r="F84" s="687"/>
      <c r="G84" s="687"/>
      <c r="H84" s="687"/>
      <c r="I84" s="687"/>
      <c r="J84" s="687"/>
      <c r="K84" s="687"/>
      <c r="L84" s="888"/>
      <c r="M84" s="889"/>
      <c r="N84" s="2167"/>
      <c r="O84" s="2167"/>
      <c r="P84" s="2168"/>
      <c r="Q84" s="2169"/>
      <c r="R84" s="2170"/>
      <c r="S84" s="2170"/>
      <c r="T84" s="2170"/>
      <c r="U84" s="2170"/>
      <c r="V84" s="2170"/>
      <c r="W84" s="2170"/>
      <c r="X84" s="2170"/>
      <c r="Y84" s="2170"/>
      <c r="Z84" s="2170"/>
      <c r="AA84" s="2170"/>
      <c r="AB84" s="2170"/>
      <c r="AC84" s="2170"/>
    </row>
    <row r="85" spans="1:29" s="1337"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1"/>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551</v>
      </c>
      <c r="B88" s="664" t="s">
        <v>746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7"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748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750</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2">
        <v>0.5</v>
      </c>
      <c r="D98" s="892">
        <v>0.6</v>
      </c>
      <c r="E98" s="892">
        <v>0.7</v>
      </c>
      <c r="F98" s="892">
        <v>0.8</v>
      </c>
      <c r="G98" s="892">
        <v>0.9</v>
      </c>
      <c r="H98" s="892">
        <v>1.0001</v>
      </c>
      <c r="I98" s="903"/>
      <c r="J98" s="903"/>
      <c r="K98" s="904"/>
      <c r="L98" s="905"/>
      <c r="M98" s="906"/>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7" customFormat="1" ht="15" thickTop="1">
      <c r="A100" s="727"/>
      <c r="B100" s="672" t="s">
        <v>752</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2554</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754</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5" t="s">
        <v>790</v>
      </c>
      <c r="C106" s="707" t="s">
        <v>579</v>
      </c>
      <c r="D106" s="707" t="s">
        <v>580</v>
      </c>
      <c r="E106" s="707" t="s">
        <v>581</v>
      </c>
      <c r="F106" s="707" t="s">
        <v>582</v>
      </c>
      <c r="G106" s="707" t="s">
        <v>583</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7"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7"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1"/>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1"/>
      <c r="C1" s="503" t="s">
        <v>791</v>
      </c>
      <c r="D1" s="848"/>
      <c r="E1" s="505"/>
      <c r="F1" s="2831"/>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IF(B37="元/平方米",C39,ROUND(B2*10000/D3,0))</f>
        <v>#DIV/0!</v>
      </c>
      <c r="C3" s="851" t="s">
        <v>795</v>
      </c>
      <c r="D3" s="850">
        <f>SUMIF('数据-汇总表'!$C19:$C33,D1,'数据-汇总表'!$E19:$E33)</f>
        <v>0</v>
      </c>
      <c r="E3" s="1848" t="s">
        <v>2075</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774" t="s">
        <v>797</v>
      </c>
      <c r="D4" s="3775"/>
      <c r="E4" s="3774" t="s">
        <v>798</v>
      </c>
      <c r="F4" s="3775"/>
      <c r="G4" s="3774" t="s">
        <v>799</v>
      </c>
      <c r="H4" s="3775"/>
      <c r="I4" s="3774" t="s">
        <v>800</v>
      </c>
      <c r="J4" s="3775"/>
      <c r="K4" s="513" t="s">
        <v>801</v>
      </c>
      <c r="L4" s="2133"/>
      <c r="M4" s="2134"/>
      <c r="N4" s="2134"/>
      <c r="O4" s="2134"/>
      <c r="P4" s="3776" t="s">
        <v>802</v>
      </c>
      <c r="Q4" s="3777"/>
      <c r="R4" s="3762" t="s">
        <v>798</v>
      </c>
      <c r="S4" s="3763"/>
      <c r="T4" s="3762" t="s">
        <v>799</v>
      </c>
      <c r="U4" s="3763"/>
      <c r="V4" s="3782" t="s">
        <v>800</v>
      </c>
      <c r="W4" s="3782"/>
      <c r="X4" s="1566"/>
      <c r="Y4" s="3762" t="s">
        <v>802</v>
      </c>
      <c r="Z4" s="3763"/>
      <c r="AA4" s="3757" t="s">
        <v>798</v>
      </c>
      <c r="AB4" s="3758" t="s">
        <v>799</v>
      </c>
      <c r="AC4" s="3757" t="s">
        <v>800</v>
      </c>
    </row>
    <row r="5" spans="1:29" ht="15">
      <c r="A5" s="514"/>
      <c r="B5" s="515"/>
      <c r="C5" s="3785" t="s">
        <v>2925</v>
      </c>
      <c r="D5" s="3786"/>
      <c r="E5" s="3785" t="s">
        <v>2926</v>
      </c>
      <c r="F5" s="3786"/>
      <c r="G5" s="3785" t="s">
        <v>2927</v>
      </c>
      <c r="H5" s="3786"/>
      <c r="I5" s="3785" t="s">
        <v>2928</v>
      </c>
      <c r="J5" s="3786"/>
      <c r="K5" s="513"/>
      <c r="L5" s="2133"/>
      <c r="M5" s="2134"/>
      <c r="N5" s="2134"/>
      <c r="O5" s="2134"/>
      <c r="P5" s="3778"/>
      <c r="Q5" s="3779"/>
      <c r="R5" s="3764"/>
      <c r="S5" s="3765"/>
      <c r="T5" s="3764"/>
      <c r="U5" s="3765"/>
      <c r="V5" s="3782"/>
      <c r="W5" s="3782"/>
      <c r="X5" s="1566"/>
      <c r="Y5" s="3764"/>
      <c r="Z5" s="3765"/>
      <c r="AA5" s="3758"/>
      <c r="AB5" s="3758"/>
      <c r="AC5" s="3758"/>
    </row>
    <row r="6" spans="1:29" ht="15.75" thickBot="1">
      <c r="A6" s="516"/>
      <c r="B6" s="517"/>
      <c r="C6" s="3783" t="s">
        <v>2929</v>
      </c>
      <c r="D6" s="3784"/>
      <c r="E6" s="3787" t="s">
        <v>2929</v>
      </c>
      <c r="F6" s="3788"/>
      <c r="G6" s="3783" t="s">
        <v>2929</v>
      </c>
      <c r="H6" s="3784"/>
      <c r="I6" s="3783" t="s">
        <v>2929</v>
      </c>
      <c r="J6" s="3784"/>
      <c r="K6" s="513" t="s">
        <v>528</v>
      </c>
      <c r="L6" s="2133"/>
      <c r="M6" s="2134"/>
      <c r="N6" s="2134"/>
      <c r="O6" s="2134"/>
      <c r="P6" s="3780"/>
      <c r="Q6" s="3781"/>
      <c r="R6" s="3764"/>
      <c r="S6" s="3765"/>
      <c r="T6" s="3766"/>
      <c r="U6" s="3767"/>
      <c r="V6" s="3782"/>
      <c r="W6" s="3782"/>
      <c r="X6" s="1566"/>
      <c r="Y6" s="3766"/>
      <c r="Z6" s="3767"/>
      <c r="AA6" s="3759"/>
      <c r="AB6" s="3759"/>
      <c r="AC6" s="3759"/>
    </row>
    <row r="7" spans="1:29" s="1218" customFormat="1" ht="15.75" thickBot="1">
      <c r="A7" s="2936"/>
      <c r="B7" s="2943" t="s">
        <v>529</v>
      </c>
      <c r="C7" s="518">
        <f>'数据-取费表'!B2</f>
        <v>43438</v>
      </c>
      <c r="D7" s="519">
        <v>100</v>
      </c>
      <c r="E7" s="520"/>
      <c r="F7" s="521">
        <f>SUMIF(48:48,YEAR(E7)&amp;"-"&amp;MONTH(E7),49:49)</f>
        <v>0</v>
      </c>
      <c r="G7" s="522"/>
      <c r="H7" s="519">
        <f>SUMIF(48:48,YEAR(G7)&amp;"-"&amp;MONTH(G7),49:49)</f>
        <v>0</v>
      </c>
      <c r="I7" s="522"/>
      <c r="J7" s="519">
        <f>SUMIF(48:48,YEAR(I7)&amp;"-"&amp;MONTH(I7),49:49)</f>
        <v>0</v>
      </c>
      <c r="K7" s="523"/>
      <c r="L7" s="2135"/>
      <c r="M7" s="2136"/>
      <c r="N7" s="2136"/>
      <c r="O7" s="2136"/>
      <c r="P7" s="3760" t="s">
        <v>530</v>
      </c>
      <c r="Q7" s="3769"/>
      <c r="R7" s="1567" t="s">
        <v>8</v>
      </c>
      <c r="S7" s="1568">
        <f t="shared" ref="S7:S14" si="0">F7</f>
        <v>0</v>
      </c>
      <c r="T7" s="1567" t="s">
        <v>8</v>
      </c>
      <c r="U7" s="1568">
        <f t="shared" ref="U7:U14" si="1">H7</f>
        <v>0</v>
      </c>
      <c r="V7" s="1567" t="s">
        <v>8</v>
      </c>
      <c r="W7" s="1568">
        <f t="shared" ref="W7:W14" si="2">J7</f>
        <v>0</v>
      </c>
      <c r="X7" s="1569"/>
      <c r="Y7" s="3760" t="s">
        <v>530</v>
      </c>
      <c r="Z7" s="3761"/>
      <c r="AA7" s="1570" t="e">
        <f>D7/F7</f>
        <v>#DIV/0!</v>
      </c>
      <c r="AB7" s="1570" t="e">
        <f>D7/H7</f>
        <v>#DIV/0!</v>
      </c>
      <c r="AC7" s="1570" t="e">
        <f>D7/J7</f>
        <v>#DIV/0!</v>
      </c>
    </row>
    <row r="8" spans="1:29" s="1218" customFormat="1" ht="15.75" thickBot="1">
      <c r="A8" s="2937"/>
      <c r="B8" s="2944" t="s">
        <v>531</v>
      </c>
      <c r="C8" s="524" t="s">
        <v>576</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760" t="s">
        <v>533</v>
      </c>
      <c r="Q8" s="3761"/>
      <c r="R8" s="1567" t="s">
        <v>8</v>
      </c>
      <c r="S8" s="1568">
        <f t="shared" si="0"/>
        <v>0</v>
      </c>
      <c r="T8" s="1567" t="s">
        <v>8</v>
      </c>
      <c r="U8" s="1568">
        <f t="shared" si="1"/>
        <v>0</v>
      </c>
      <c r="V8" s="1567" t="s">
        <v>8</v>
      </c>
      <c r="W8" s="1568">
        <f t="shared" si="2"/>
        <v>0</v>
      </c>
      <c r="X8" s="1569"/>
      <c r="Y8" s="3760" t="s">
        <v>533</v>
      </c>
      <c r="Z8" s="3761"/>
      <c r="AA8" s="1570" t="e">
        <f t="shared" ref="AA8:AA36" si="3">D8/F8</f>
        <v>#DIV/0!</v>
      </c>
      <c r="AB8" s="1570" t="e">
        <f t="shared" ref="AB8:AB36" si="4">D8/H8</f>
        <v>#DIV/0!</v>
      </c>
      <c r="AC8" s="1570" t="e">
        <f t="shared" ref="AC8:AC36" si="5">D8/J8</f>
        <v>#DIV/0!</v>
      </c>
    </row>
    <row r="9" spans="1:29" s="1218" customFormat="1" ht="15">
      <c r="A9" s="2938"/>
      <c r="B9" s="2945" t="s">
        <v>2754</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768" t="s">
        <v>535</v>
      </c>
      <c r="Q9" s="1149" t="str">
        <f t="shared" ref="Q9:Q14" si="6">B9</f>
        <v>用途</v>
      </c>
      <c r="R9" s="1567" t="s">
        <v>8</v>
      </c>
      <c r="S9" s="1568">
        <f t="shared" si="0"/>
        <v>100</v>
      </c>
      <c r="T9" s="1567" t="s">
        <v>8</v>
      </c>
      <c r="U9" s="1568">
        <f t="shared" si="1"/>
        <v>100</v>
      </c>
      <c r="V9" s="1567" t="s">
        <v>8</v>
      </c>
      <c r="W9" s="1568">
        <f t="shared" si="2"/>
        <v>100</v>
      </c>
      <c r="X9" s="1569"/>
      <c r="Y9" s="3725" t="s">
        <v>536</v>
      </c>
      <c r="Z9" s="1148" t="str">
        <f t="shared" ref="Z9:Z14" si="7">Q9</f>
        <v>用途</v>
      </c>
      <c r="AA9" s="1570">
        <f t="shared" si="3"/>
        <v>1</v>
      </c>
      <c r="AB9" s="1570">
        <f t="shared" si="4"/>
        <v>1</v>
      </c>
      <c r="AC9" s="1570">
        <f t="shared" si="5"/>
        <v>1</v>
      </c>
    </row>
    <row r="10" spans="1:29" s="1336" customFormat="1" ht="27">
      <c r="A10" s="2939"/>
      <c r="B10" s="2944" t="s">
        <v>2755</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768"/>
      <c r="Q11" s="1149">
        <f t="shared" si="6"/>
        <v>111</v>
      </c>
      <c r="R11" s="1567" t="s">
        <v>8</v>
      </c>
      <c r="S11" s="1568">
        <f t="shared" si="0"/>
        <v>100</v>
      </c>
      <c r="T11" s="1567" t="s">
        <v>8</v>
      </c>
      <c r="U11" s="1568">
        <f t="shared" si="1"/>
        <v>100</v>
      </c>
      <c r="V11" s="1567" t="s">
        <v>8</v>
      </c>
      <c r="W11" s="1568">
        <f t="shared" si="2"/>
        <v>100</v>
      </c>
      <c r="X11" s="1569"/>
      <c r="Y11" s="3725"/>
      <c r="Z11" s="1148">
        <f t="shared" si="7"/>
        <v>111</v>
      </c>
      <c r="AA11" s="1570">
        <f t="shared" si="3"/>
        <v>1</v>
      </c>
      <c r="AB11" s="1570">
        <f t="shared" si="4"/>
        <v>1</v>
      </c>
      <c r="AC11" s="1570">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768"/>
      <c r="Q12" s="1149">
        <f t="shared" si="6"/>
        <v>111</v>
      </c>
      <c r="R12" s="1567" t="s">
        <v>8</v>
      </c>
      <c r="S12" s="1568">
        <f t="shared" si="0"/>
        <v>100</v>
      </c>
      <c r="T12" s="1567" t="s">
        <v>8</v>
      </c>
      <c r="U12" s="1568">
        <f t="shared" si="1"/>
        <v>100</v>
      </c>
      <c r="V12" s="1567" t="s">
        <v>8</v>
      </c>
      <c r="W12" s="1568">
        <f t="shared" si="2"/>
        <v>100</v>
      </c>
      <c r="X12" s="1569"/>
      <c r="Y12" s="3725"/>
      <c r="Z12" s="1148">
        <f t="shared" si="7"/>
        <v>111</v>
      </c>
      <c r="AA12" s="1570">
        <f>D12/F12</f>
        <v>1</v>
      </c>
      <c r="AB12" s="1570">
        <f>D12/H12</f>
        <v>1</v>
      </c>
      <c r="AC12" s="1570">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768"/>
      <c r="Q13" s="1149">
        <f t="shared" si="6"/>
        <v>111</v>
      </c>
      <c r="R13" s="1567" t="s">
        <v>8</v>
      </c>
      <c r="S13" s="1568">
        <f t="shared" si="0"/>
        <v>100</v>
      </c>
      <c r="T13" s="1567" t="s">
        <v>8</v>
      </c>
      <c r="U13" s="1568">
        <f t="shared" si="1"/>
        <v>100</v>
      </c>
      <c r="V13" s="1567" t="s">
        <v>8</v>
      </c>
      <c r="W13" s="1568">
        <f t="shared" si="2"/>
        <v>100</v>
      </c>
      <c r="X13" s="1569"/>
      <c r="Y13" s="3725"/>
      <c r="Z13" s="1148">
        <f t="shared" si="7"/>
        <v>111</v>
      </c>
      <c r="AA13" s="1570">
        <f t="shared" si="3"/>
        <v>1</v>
      </c>
      <c r="AB13" s="1570">
        <f t="shared" si="4"/>
        <v>1</v>
      </c>
      <c r="AC13" s="1570">
        <f t="shared" si="5"/>
        <v>1</v>
      </c>
    </row>
    <row r="14" spans="1:29" ht="85.5">
      <c r="A14" s="2934"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2"/>
      <c r="M14" s="2134"/>
      <c r="N14" s="2134"/>
      <c r="O14" s="2141"/>
      <c r="P14" s="3770" t="s">
        <v>540</v>
      </c>
      <c r="Q14" s="1571" t="str">
        <f t="shared" si="6"/>
        <v>交通便捷度</v>
      </c>
      <c r="R14" s="1572" t="s">
        <v>8</v>
      </c>
      <c r="S14" s="1573">
        <f t="shared" si="0"/>
        <v>100</v>
      </c>
      <c r="T14" s="1572" t="s">
        <v>8</v>
      </c>
      <c r="U14" s="1573">
        <f t="shared" si="1"/>
        <v>100</v>
      </c>
      <c r="V14" s="1572" t="s">
        <v>8</v>
      </c>
      <c r="W14" s="1573">
        <f t="shared" si="2"/>
        <v>100</v>
      </c>
      <c r="X14" s="1566"/>
      <c r="Y14" s="3770" t="s">
        <v>540</v>
      </c>
      <c r="Z14" s="1574" t="str">
        <f t="shared" si="7"/>
        <v>交通便捷度</v>
      </c>
      <c r="AA14" s="1575">
        <f t="shared" si="3"/>
        <v>1</v>
      </c>
      <c r="AB14" s="1575">
        <f t="shared" si="4"/>
        <v>1</v>
      </c>
      <c r="AC14" s="1575">
        <f t="shared" si="5"/>
        <v>1</v>
      </c>
    </row>
    <row r="15" spans="1:29" ht="15">
      <c r="A15" s="514"/>
      <c r="B15" s="922"/>
      <c r="C15" s="575"/>
      <c r="D15" s="554"/>
      <c r="E15" s="575"/>
      <c r="F15" s="556"/>
      <c r="G15" s="575"/>
      <c r="H15" s="558"/>
      <c r="I15" s="575"/>
      <c r="J15" s="554"/>
      <c r="K15" s="897"/>
      <c r="L15" s="2142"/>
      <c r="M15" s="2134"/>
      <c r="N15" s="2134"/>
      <c r="O15" s="2141"/>
      <c r="P15" s="3771"/>
      <c r="Q15" s="1571"/>
      <c r="R15" s="1572"/>
      <c r="S15" s="1573"/>
      <c r="T15" s="1572"/>
      <c r="U15" s="1573"/>
      <c r="V15" s="1572"/>
      <c r="W15" s="1573"/>
      <c r="X15" s="1566"/>
      <c r="Y15" s="3771"/>
      <c r="Z15" s="1574"/>
      <c r="AA15" s="1575">
        <v>1</v>
      </c>
      <c r="AB15" s="1575">
        <v>1</v>
      </c>
      <c r="AC15" s="1575">
        <v>1</v>
      </c>
    </row>
    <row r="16" spans="1:29" ht="42.75">
      <c r="A16" s="514"/>
      <c r="B16" s="2627" t="s">
        <v>2544</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2"/>
      <c r="M16" s="2134"/>
      <c r="N16" s="2134"/>
      <c r="O16" s="2141"/>
      <c r="P16" s="3771"/>
      <c r="Q16" s="1571" t="str">
        <f>B16</f>
        <v>公共配套设施</v>
      </c>
      <c r="R16" s="1572" t="s">
        <v>8</v>
      </c>
      <c r="S16" s="1573">
        <f>F16</f>
        <v>100</v>
      </c>
      <c r="T16" s="1572" t="s">
        <v>8</v>
      </c>
      <c r="U16" s="1573">
        <f>H16</f>
        <v>100</v>
      </c>
      <c r="V16" s="1572" t="s">
        <v>8</v>
      </c>
      <c r="W16" s="1573">
        <f>J16</f>
        <v>100</v>
      </c>
      <c r="X16" s="1566"/>
      <c r="Y16" s="3771"/>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7"/>
      <c r="L17" s="2142"/>
      <c r="M17" s="2134"/>
      <c r="N17" s="2134"/>
      <c r="O17" s="2141"/>
      <c r="P17" s="3771"/>
      <c r="Q17" s="1571"/>
      <c r="R17" s="1572"/>
      <c r="S17" s="1573"/>
      <c r="T17" s="1572"/>
      <c r="U17" s="1573"/>
      <c r="V17" s="1572"/>
      <c r="W17" s="1573"/>
      <c r="X17" s="1566"/>
      <c r="Y17" s="3771"/>
      <c r="Z17" s="1574"/>
      <c r="AA17" s="1575">
        <v>1</v>
      </c>
      <c r="AB17" s="1575">
        <v>1</v>
      </c>
      <c r="AC17" s="1575">
        <v>1</v>
      </c>
    </row>
    <row r="18" spans="1:29" ht="28.5">
      <c r="A18" s="514"/>
      <c r="B18" s="2615" t="s">
        <v>2556</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2"/>
      <c r="M18" s="2134"/>
      <c r="N18" s="2134"/>
      <c r="O18" s="2141"/>
      <c r="P18" s="3771"/>
      <c r="Q18" s="2603" t="str">
        <f>B18</f>
        <v>基础设施水平</v>
      </c>
      <c r="R18" s="1572" t="s">
        <v>8</v>
      </c>
      <c r="S18" s="1573">
        <f>F18</f>
        <v>100</v>
      </c>
      <c r="T18" s="1572" t="s">
        <v>8</v>
      </c>
      <c r="U18" s="1573">
        <f>H18</f>
        <v>100</v>
      </c>
      <c r="V18" s="1572" t="s">
        <v>8</v>
      </c>
      <c r="W18" s="1573">
        <f>J18</f>
        <v>100</v>
      </c>
      <c r="X18" s="2605"/>
      <c r="Y18" s="3771"/>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771"/>
      <c r="Q19" s="2603"/>
      <c r="R19" s="1572"/>
      <c r="S19" s="1573"/>
      <c r="T19" s="1572"/>
      <c r="U19" s="1573"/>
      <c r="V19" s="1572"/>
      <c r="W19" s="1573"/>
      <c r="X19" s="2605"/>
      <c r="Y19" s="3771"/>
      <c r="Z19" s="2604"/>
      <c r="AA19" s="1575">
        <v>1</v>
      </c>
      <c r="AB19" s="1575">
        <v>1</v>
      </c>
      <c r="AC19" s="1575">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2"/>
      <c r="M20" s="2134"/>
      <c r="N20" s="2134"/>
      <c r="O20" s="2141"/>
      <c r="P20" s="3771"/>
      <c r="Q20" s="1571" t="str">
        <f>B20</f>
        <v>自然及人文环境</v>
      </c>
      <c r="R20" s="1572" t="s">
        <v>8</v>
      </c>
      <c r="S20" s="1573">
        <f>F20</f>
        <v>100</v>
      </c>
      <c r="T20" s="1572" t="s">
        <v>8</v>
      </c>
      <c r="U20" s="1573">
        <f>H20</f>
        <v>100</v>
      </c>
      <c r="V20" s="1572" t="s">
        <v>8</v>
      </c>
      <c r="W20" s="1573">
        <f>J20</f>
        <v>100</v>
      </c>
      <c r="X20" s="1566"/>
      <c r="Y20" s="3771"/>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7"/>
      <c r="L21" s="2142"/>
      <c r="M21" s="2134"/>
      <c r="N21" s="2134"/>
      <c r="O21" s="2141"/>
      <c r="P21" s="3771"/>
      <c r="Q21" s="1571"/>
      <c r="R21" s="1572"/>
      <c r="S21" s="1573"/>
      <c r="T21" s="1572"/>
      <c r="U21" s="1573"/>
      <c r="V21" s="1572"/>
      <c r="W21" s="1573"/>
      <c r="X21" s="1566"/>
      <c r="Y21" s="3771"/>
      <c r="Z21" s="1574"/>
      <c r="AA21" s="1575">
        <v>1</v>
      </c>
      <c r="AB21" s="1575">
        <v>1</v>
      </c>
      <c r="AC21" s="1575">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771"/>
      <c r="Q22" s="1571" t="str">
        <f>B22</f>
        <v>楼层</v>
      </c>
      <c r="R22" s="1572" t="s">
        <v>8</v>
      </c>
      <c r="S22" s="1573">
        <f>F22</f>
        <v>100</v>
      </c>
      <c r="T22" s="1572" t="s">
        <v>8</v>
      </c>
      <c r="U22" s="1573">
        <f>H22</f>
        <v>100</v>
      </c>
      <c r="V22" s="1572" t="s">
        <v>8</v>
      </c>
      <c r="W22" s="1573">
        <f>J22</f>
        <v>100</v>
      </c>
      <c r="X22" s="1566"/>
      <c r="Y22" s="3771"/>
      <c r="Z22" s="1574" t="str">
        <f>Q22</f>
        <v>楼层</v>
      </c>
      <c r="AA22" s="1575">
        <f t="shared" si="3"/>
        <v>1</v>
      </c>
      <c r="AB22" s="1575">
        <f t="shared" si="4"/>
        <v>1</v>
      </c>
      <c r="AC22" s="1575">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771"/>
      <c r="Q23" s="1571">
        <f>B23</f>
        <v>111</v>
      </c>
      <c r="R23" s="1572" t="s">
        <v>8</v>
      </c>
      <c r="S23" s="1573">
        <f>F23</f>
        <v>100</v>
      </c>
      <c r="T23" s="1572" t="s">
        <v>8</v>
      </c>
      <c r="U23" s="1573">
        <f>H23</f>
        <v>100</v>
      </c>
      <c r="V23" s="1572" t="s">
        <v>8</v>
      </c>
      <c r="W23" s="1573">
        <f>J23</f>
        <v>100</v>
      </c>
      <c r="X23" s="1566"/>
      <c r="Y23" s="3771"/>
      <c r="Z23" s="1574">
        <f>Q23</f>
        <v>111</v>
      </c>
      <c r="AA23" s="1575">
        <f t="shared" si="3"/>
        <v>1</v>
      </c>
      <c r="AB23" s="1575">
        <f t="shared" si="4"/>
        <v>1</v>
      </c>
      <c r="AC23" s="1575">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771"/>
      <c r="Q24" s="1571">
        <f t="shared" ref="Q24:Q36" si="11">B24</f>
        <v>111</v>
      </c>
      <c r="R24" s="1572" t="s">
        <v>8</v>
      </c>
      <c r="S24" s="1573">
        <f>F24</f>
        <v>100</v>
      </c>
      <c r="T24" s="1572" t="s">
        <v>8</v>
      </c>
      <c r="U24" s="1573">
        <f>H24</f>
        <v>100</v>
      </c>
      <c r="V24" s="1572" t="s">
        <v>8</v>
      </c>
      <c r="W24" s="1573">
        <f>J24</f>
        <v>100</v>
      </c>
      <c r="X24" s="1566"/>
      <c r="Y24" s="3771"/>
      <c r="Z24" s="1574">
        <f>Q24</f>
        <v>111</v>
      </c>
      <c r="AA24" s="1575">
        <f t="shared" si="3"/>
        <v>1</v>
      </c>
      <c r="AB24" s="1575">
        <f t="shared" si="4"/>
        <v>1</v>
      </c>
      <c r="AC24" s="1575">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5"/>
      <c r="M25" s="2136"/>
      <c r="N25" s="2136"/>
      <c r="O25" s="2137"/>
      <c r="P25" s="3771"/>
      <c r="Q25" s="1149">
        <f t="shared" si="11"/>
        <v>111</v>
      </c>
      <c r="R25" s="1567" t="s">
        <v>8</v>
      </c>
      <c r="S25" s="1568">
        <f>F25</f>
        <v>100</v>
      </c>
      <c r="T25" s="1567" t="s">
        <v>8</v>
      </c>
      <c r="U25" s="1568">
        <f>H25</f>
        <v>100</v>
      </c>
      <c r="V25" s="1567" t="s">
        <v>8</v>
      </c>
      <c r="W25" s="1568">
        <f>J25</f>
        <v>100</v>
      </c>
      <c r="X25" s="1569"/>
      <c r="Y25" s="3771"/>
      <c r="Z25" s="1148">
        <f>Q25</f>
        <v>111</v>
      </c>
      <c r="AA25" s="1575">
        <f>D25/F25</f>
        <v>1</v>
      </c>
      <c r="AB25" s="1575">
        <f>D25/H25</f>
        <v>1</v>
      </c>
      <c r="AC25" s="1575">
        <f>D25/J25</f>
        <v>1</v>
      </c>
    </row>
    <row r="26" spans="1:29" ht="15">
      <c r="A26" s="2931" t="s">
        <v>2753</v>
      </c>
      <c r="B26" s="170"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77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773" t="s">
        <v>550</v>
      </c>
      <c r="Z26" s="1574" t="str">
        <f t="shared" ref="Z26:Z36" si="15">Q26</f>
        <v>配套类型</v>
      </c>
      <c r="AA26" s="1575">
        <f t="shared" si="3"/>
        <v>1</v>
      </c>
      <c r="AB26" s="1575">
        <f t="shared" si="4"/>
        <v>1</v>
      </c>
      <c r="AC26" s="1575">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40"/>
      <c r="M27" s="2171"/>
      <c r="N27" s="2171"/>
      <c r="O27" s="2143"/>
      <c r="P27" s="3773"/>
      <c r="Q27" s="1604" t="str">
        <f t="shared" si="11"/>
        <v>项目停车位配比</v>
      </c>
      <c r="R27" s="1576" t="s">
        <v>8</v>
      </c>
      <c r="S27" s="1577">
        <f t="shared" si="12"/>
        <v>100</v>
      </c>
      <c r="T27" s="1576" t="s">
        <v>8</v>
      </c>
      <c r="U27" s="1577">
        <f t="shared" si="13"/>
        <v>100</v>
      </c>
      <c r="V27" s="1576" t="s">
        <v>8</v>
      </c>
      <c r="W27" s="1577">
        <f t="shared" si="14"/>
        <v>100</v>
      </c>
      <c r="X27" s="1578"/>
      <c r="Y27" s="3773"/>
      <c r="Z27" s="1579" t="str">
        <f t="shared" si="15"/>
        <v>项目停车位配比</v>
      </c>
      <c r="AA27" s="1575">
        <f t="shared" si="3"/>
        <v>1</v>
      </c>
      <c r="AB27" s="1575">
        <f t="shared" si="4"/>
        <v>1</v>
      </c>
      <c r="AC27" s="1575">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773"/>
      <c r="Q28" s="1571" t="str">
        <f t="shared" si="11"/>
        <v>公共部分装修</v>
      </c>
      <c r="R28" s="1572" t="s">
        <v>8</v>
      </c>
      <c r="S28" s="1573">
        <f t="shared" si="12"/>
        <v>100</v>
      </c>
      <c r="T28" s="1572" t="s">
        <v>8</v>
      </c>
      <c r="U28" s="1573">
        <f t="shared" si="13"/>
        <v>100</v>
      </c>
      <c r="V28" s="1572" t="s">
        <v>8</v>
      </c>
      <c r="W28" s="1573">
        <f t="shared" si="14"/>
        <v>100</v>
      </c>
      <c r="X28" s="1566"/>
      <c r="Y28" s="3773"/>
      <c r="Z28" s="1574" t="str">
        <f t="shared" si="15"/>
        <v>公共部分装修</v>
      </c>
      <c r="AA28" s="1575">
        <f t="shared" si="3"/>
        <v>1</v>
      </c>
      <c r="AB28" s="1575">
        <f t="shared" si="4"/>
        <v>1</v>
      </c>
      <c r="AC28" s="1575">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2"/>
      <c r="M29" s="2134"/>
      <c r="N29" s="2134"/>
      <c r="O29" s="2141"/>
      <c r="P29" s="3773"/>
      <c r="Q29" s="1571" t="str">
        <f t="shared" si="11"/>
        <v>成新率</v>
      </c>
      <c r="R29" s="1572" t="s">
        <v>8</v>
      </c>
      <c r="S29" s="1573" t="e">
        <f t="shared" si="12"/>
        <v>#N/A</v>
      </c>
      <c r="T29" s="1572" t="s">
        <v>8</v>
      </c>
      <c r="U29" s="1573" t="e">
        <f t="shared" si="13"/>
        <v>#N/A</v>
      </c>
      <c r="V29" s="1572" t="s">
        <v>8</v>
      </c>
      <c r="W29" s="1573" t="e">
        <f t="shared" si="14"/>
        <v>#N/A</v>
      </c>
      <c r="X29" s="1566"/>
      <c r="Y29" s="3773"/>
      <c r="Z29" s="1574" t="str">
        <f t="shared" si="15"/>
        <v>成新率</v>
      </c>
      <c r="AA29" s="1575" t="e">
        <f t="shared" si="3"/>
        <v>#N/A</v>
      </c>
      <c r="AB29" s="1575" t="e">
        <f t="shared" si="4"/>
        <v>#N/A</v>
      </c>
      <c r="AC29" s="1575"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2"/>
      <c r="M30" s="2134"/>
      <c r="N30" s="2134"/>
      <c r="O30" s="2141"/>
      <c r="P30" s="3773"/>
      <c r="Q30" s="1571" t="str">
        <f t="shared" si="11"/>
        <v>物业等级</v>
      </c>
      <c r="R30" s="1572" t="s">
        <v>8</v>
      </c>
      <c r="S30" s="1573">
        <f t="shared" si="12"/>
        <v>100</v>
      </c>
      <c r="T30" s="1572" t="s">
        <v>8</v>
      </c>
      <c r="U30" s="1573">
        <f t="shared" si="13"/>
        <v>100</v>
      </c>
      <c r="V30" s="1572" t="s">
        <v>8</v>
      </c>
      <c r="W30" s="1573">
        <f t="shared" si="14"/>
        <v>100</v>
      </c>
      <c r="X30" s="1566"/>
      <c r="Y30" s="3773"/>
      <c r="Z30" s="1574" t="str">
        <f t="shared" si="15"/>
        <v>物业等级</v>
      </c>
      <c r="AA30" s="1575">
        <f t="shared" si="3"/>
        <v>1</v>
      </c>
      <c r="AB30" s="1575">
        <f t="shared" si="4"/>
        <v>1</v>
      </c>
      <c r="AC30" s="1575">
        <f t="shared" si="5"/>
        <v>1</v>
      </c>
    </row>
    <row r="31" spans="1:29" s="1218"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5"/>
      <c r="M31" s="2136"/>
      <c r="N31" s="2136"/>
      <c r="O31" s="2137"/>
      <c r="P31" s="3773"/>
      <c r="Q31" s="1149" t="str">
        <f t="shared" si="11"/>
        <v>停车位面积</v>
      </c>
      <c r="R31" s="1567" t="s">
        <v>8</v>
      </c>
      <c r="S31" s="1568" t="e">
        <f t="shared" si="12"/>
        <v>#N/A</v>
      </c>
      <c r="T31" s="1567" t="s">
        <v>8</v>
      </c>
      <c r="U31" s="1568" t="e">
        <f t="shared" si="13"/>
        <v>#N/A</v>
      </c>
      <c r="V31" s="1567" t="s">
        <v>8</v>
      </c>
      <c r="W31" s="1568" t="e">
        <f t="shared" si="14"/>
        <v>#N/A</v>
      </c>
      <c r="X31" s="1569"/>
      <c r="Y31" s="3773"/>
      <c r="Z31" s="1148" t="str">
        <f t="shared" si="15"/>
        <v>停车位面积</v>
      </c>
      <c r="AA31" s="1570" t="e">
        <f t="shared" si="3"/>
        <v>#N/A</v>
      </c>
      <c r="AB31" s="1570" t="e">
        <f t="shared" si="4"/>
        <v>#N/A</v>
      </c>
      <c r="AC31" s="1570"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773" t="s">
        <v>550</v>
      </c>
      <c r="Q32" s="1571" t="str">
        <f t="shared" si="11"/>
        <v>车位类型</v>
      </c>
      <c r="R32" s="1572" t="s">
        <v>8</v>
      </c>
      <c r="S32" s="1573">
        <f t="shared" si="12"/>
        <v>100</v>
      </c>
      <c r="T32" s="1572" t="s">
        <v>8</v>
      </c>
      <c r="U32" s="1573">
        <f t="shared" si="13"/>
        <v>100</v>
      </c>
      <c r="V32" s="1572" t="s">
        <v>8</v>
      </c>
      <c r="W32" s="1573">
        <f t="shared" si="14"/>
        <v>100</v>
      </c>
      <c r="X32" s="1566"/>
      <c r="Y32" s="3773" t="s">
        <v>550</v>
      </c>
      <c r="Z32" s="1574" t="str">
        <f t="shared" si="15"/>
        <v>车位类型</v>
      </c>
      <c r="AA32" s="1575">
        <f t="shared" si="3"/>
        <v>1</v>
      </c>
      <c r="AB32" s="1575">
        <f t="shared" si="4"/>
        <v>1</v>
      </c>
      <c r="AC32" s="1575">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773"/>
      <c r="Q33" s="1571" t="str">
        <f t="shared" si="11"/>
        <v>是否直接入户</v>
      </c>
      <c r="R33" s="1572" t="s">
        <v>8</v>
      </c>
      <c r="S33" s="1573">
        <f t="shared" si="12"/>
        <v>100</v>
      </c>
      <c r="T33" s="1572" t="s">
        <v>8</v>
      </c>
      <c r="U33" s="1573">
        <f t="shared" si="13"/>
        <v>100</v>
      </c>
      <c r="V33" s="1572" t="s">
        <v>8</v>
      </c>
      <c r="W33" s="1573">
        <f t="shared" si="14"/>
        <v>100</v>
      </c>
      <c r="X33" s="1566"/>
      <c r="Y33" s="3773"/>
      <c r="Z33" s="1574" t="str">
        <f t="shared" si="15"/>
        <v>是否直接入户</v>
      </c>
      <c r="AA33" s="1575">
        <f t="shared" si="3"/>
        <v>1</v>
      </c>
      <c r="AB33" s="1575">
        <f t="shared" si="4"/>
        <v>1</v>
      </c>
      <c r="AC33" s="1575">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773"/>
      <c r="Q34" s="1571">
        <f t="shared" si="11"/>
        <v>111</v>
      </c>
      <c r="R34" s="1572" t="s">
        <v>8</v>
      </c>
      <c r="S34" s="1573">
        <f t="shared" si="12"/>
        <v>100</v>
      </c>
      <c r="T34" s="1572" t="s">
        <v>8</v>
      </c>
      <c r="U34" s="1573">
        <f t="shared" si="13"/>
        <v>100</v>
      </c>
      <c r="V34" s="1572" t="s">
        <v>8</v>
      </c>
      <c r="W34" s="1573">
        <f t="shared" si="14"/>
        <v>100</v>
      </c>
      <c r="X34" s="1566"/>
      <c r="Y34" s="3773"/>
      <c r="Z34" s="1574">
        <f t="shared" si="15"/>
        <v>111</v>
      </c>
      <c r="AA34" s="1575">
        <f t="shared" si="3"/>
        <v>1</v>
      </c>
      <c r="AB34" s="1575">
        <f t="shared" si="4"/>
        <v>1</v>
      </c>
      <c r="AC34" s="1575">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773"/>
      <c r="Q35" s="1604">
        <f t="shared" si="11"/>
        <v>111</v>
      </c>
      <c r="R35" s="1576" t="s">
        <v>8</v>
      </c>
      <c r="S35" s="1577">
        <f t="shared" si="12"/>
        <v>100</v>
      </c>
      <c r="T35" s="1576" t="s">
        <v>8</v>
      </c>
      <c r="U35" s="1577">
        <f t="shared" si="13"/>
        <v>100</v>
      </c>
      <c r="V35" s="1576" t="s">
        <v>8</v>
      </c>
      <c r="W35" s="1577">
        <f t="shared" si="14"/>
        <v>100</v>
      </c>
      <c r="X35" s="1578"/>
      <c r="Y35" s="3773"/>
      <c r="Z35" s="1579">
        <f t="shared" si="15"/>
        <v>111</v>
      </c>
      <c r="AA35" s="1575">
        <f t="shared" si="3"/>
        <v>1</v>
      </c>
      <c r="AB35" s="1575">
        <f t="shared" si="4"/>
        <v>1</v>
      </c>
      <c r="AC35" s="1575">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773"/>
      <c r="Q36" s="1571">
        <f t="shared" si="11"/>
        <v>111</v>
      </c>
      <c r="R36" s="1572" t="s">
        <v>8</v>
      </c>
      <c r="S36" s="1573">
        <f t="shared" si="12"/>
        <v>100</v>
      </c>
      <c r="T36" s="1572" t="s">
        <v>8</v>
      </c>
      <c r="U36" s="1573">
        <f t="shared" si="13"/>
        <v>100</v>
      </c>
      <c r="V36" s="1572" t="s">
        <v>8</v>
      </c>
      <c r="W36" s="1573">
        <f t="shared" si="14"/>
        <v>100</v>
      </c>
      <c r="X36" s="1566"/>
      <c r="Y36" s="3773"/>
      <c r="Z36" s="1574">
        <f t="shared" si="15"/>
        <v>111</v>
      </c>
      <c r="AA36" s="1575">
        <f t="shared" si="3"/>
        <v>1</v>
      </c>
      <c r="AB36" s="1575">
        <f t="shared" si="4"/>
        <v>1</v>
      </c>
      <c r="AC36" s="1575">
        <f t="shared" si="5"/>
        <v>1</v>
      </c>
    </row>
    <row r="37" spans="1:29" ht="15">
      <c r="A37" s="1846" t="s">
        <v>2076</v>
      </c>
      <c r="B37" s="1847" t="s">
        <v>2077</v>
      </c>
      <c r="C37" s="2651" t="s">
        <v>1</v>
      </c>
      <c r="D37" s="2652"/>
      <c r="E37" s="2653"/>
      <c r="F37" s="2654"/>
      <c r="G37" s="2655"/>
      <c r="H37" s="2656"/>
      <c r="I37" s="2653"/>
      <c r="J37" s="2656"/>
      <c r="K37" s="1610"/>
      <c r="L37" s="2144"/>
      <c r="M37" s="2145"/>
      <c r="N37" s="2134"/>
      <c r="O37" s="2145"/>
      <c r="P37" s="3768" t="str">
        <f>A37</f>
        <v>成交单价</v>
      </c>
      <c r="Q37" s="3768"/>
      <c r="R37" s="3911">
        <f>E37</f>
        <v>0</v>
      </c>
      <c r="S37" s="3911"/>
      <c r="T37" s="3911">
        <f>G37</f>
        <v>0</v>
      </c>
      <c r="U37" s="3911"/>
      <c r="V37" s="3911">
        <f>I37</f>
        <v>0</v>
      </c>
      <c r="W37" s="3911"/>
      <c r="X37" s="1558"/>
      <c r="Y37" s="1580"/>
      <c r="Z37" s="1558"/>
      <c r="AA37" s="1558"/>
      <c r="AB37" s="1558"/>
      <c r="AC37" s="1558"/>
    </row>
    <row r="38" spans="1:29" ht="15.75" thickBot="1">
      <c r="A38" s="614" t="s">
        <v>2758</v>
      </c>
      <c r="B38" s="886"/>
      <c r="C38" s="2657" t="e">
        <f>R39</f>
        <v>#DIV/0!</v>
      </c>
      <c r="D38" s="2658"/>
      <c r="E38" s="2659" t="e">
        <f>R38</f>
        <v>#DIV/0!</v>
      </c>
      <c r="F38" s="2659"/>
      <c r="G38" s="2657" t="e">
        <f>T38</f>
        <v>#DIV/0!</v>
      </c>
      <c r="H38" s="2658"/>
      <c r="I38" s="2659" t="e">
        <f>V38</f>
        <v>#DIV/0!</v>
      </c>
      <c r="J38" s="2658"/>
      <c r="K38" s="1611"/>
      <c r="L38" s="2144"/>
      <c r="M38" s="2145"/>
      <c r="N38" s="2145"/>
      <c r="O38" s="2145"/>
      <c r="P38" s="3768" t="str">
        <f>A38</f>
        <v>比较价格（元/平方米）</v>
      </c>
      <c r="Q38" s="3768"/>
      <c r="R38" s="3911" t="e">
        <f>IF(F1="售价",ROUND(PRODUCT(R37,AA7:AA36),0),ROUND(PRODUCT(R37,AA7:AA36),1))</f>
        <v>#DIV/0!</v>
      </c>
      <c r="S38" s="3911"/>
      <c r="T38" s="3911" t="e">
        <f>IF(F1="售价",ROUND(PRODUCT(T37,AB7:AB36),0),ROUND(PRODUCT(T37,AB7:AB36),1))</f>
        <v>#DIV/0!</v>
      </c>
      <c r="U38" s="3911"/>
      <c r="V38" s="3911" t="e">
        <f>IF(F1="售价",ROUND(PRODUCT(V37,AC7:AC36),0),ROUND(PRODUCT(V37,AC7:AC36),1))</f>
        <v>#DIV/0!</v>
      </c>
      <c r="W38" s="3911"/>
      <c r="X38" s="1558"/>
      <c r="Y38" s="1558"/>
      <c r="Z38" s="1558"/>
      <c r="AA38" s="1558"/>
      <c r="AB38" s="1558"/>
      <c r="AC38" s="1558"/>
    </row>
    <row r="39" spans="1:29" ht="15.75" thickBot="1">
      <c r="A39" s="620" t="s">
        <v>2931</v>
      </c>
      <c r="B39" s="621"/>
      <c r="C39" s="2660" t="e">
        <f>R39</f>
        <v>#DIV/0!</v>
      </c>
      <c r="D39" s="2660"/>
      <c r="E39" s="2660"/>
      <c r="F39" s="2660"/>
      <c r="G39" s="2660"/>
      <c r="H39" s="2660"/>
      <c r="I39" s="2660"/>
      <c r="J39" s="2660"/>
      <c r="K39" s="1612"/>
      <c r="L39" s="2144"/>
      <c r="M39" s="2145"/>
      <c r="N39" s="2145"/>
      <c r="O39" s="2145"/>
      <c r="P39" s="3789" t="str">
        <f>A39</f>
        <v>估价对象XX用房的比较价格（楼面单价，元/平方米）</v>
      </c>
      <c r="Q39" s="3790"/>
      <c r="R39" s="3910" t="e">
        <f>IF(F1="售价",ROUND(AVERAGE(R38:V38),0),ROUND(AVERAGE(R38:V38),1))</f>
        <v>#DIV/0!</v>
      </c>
      <c r="S39" s="3910"/>
      <c r="T39" s="3910"/>
      <c r="U39" s="3910"/>
      <c r="V39" s="3910"/>
      <c r="W39" s="3910"/>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3" customFormat="1" ht="13.5" customHeight="1">
      <c r="A44" s="2146"/>
      <c r="B44" s="2146"/>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3"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5" customFormat="1" ht="15">
      <c r="A48" s="644" t="s">
        <v>529</v>
      </c>
      <c r="B48" s="645"/>
      <c r="C48" s="2826" t="str">
        <f>YEAR(C7)&amp;"-"&amp;MONTH(C7)</f>
        <v>2018-12</v>
      </c>
      <c r="D48" s="2828">
        <f>EDATE(C48,-1)</f>
        <v>43405</v>
      </c>
      <c r="E48" s="2828">
        <f t="shared" ref="E48:O48" si="16">EDATE(D48,-1)</f>
        <v>43374</v>
      </c>
      <c r="F48" s="2828">
        <f t="shared" si="16"/>
        <v>43344</v>
      </c>
      <c r="G48" s="2828">
        <f t="shared" si="16"/>
        <v>43313</v>
      </c>
      <c r="H48" s="2828">
        <f t="shared" si="16"/>
        <v>43282</v>
      </c>
      <c r="I48" s="2828">
        <f t="shared" si="16"/>
        <v>43252</v>
      </c>
      <c r="J48" s="2828">
        <f t="shared" si="16"/>
        <v>43221</v>
      </c>
      <c r="K48" s="2828">
        <f t="shared" si="16"/>
        <v>43191</v>
      </c>
      <c r="L48" s="2828">
        <f t="shared" si="16"/>
        <v>43160</v>
      </c>
      <c r="M48" s="2828">
        <f t="shared" si="16"/>
        <v>43132</v>
      </c>
      <c r="N48" s="2828">
        <f t="shared" si="16"/>
        <v>43101</v>
      </c>
      <c r="O48" s="2828">
        <f t="shared" si="16"/>
        <v>43070</v>
      </c>
      <c r="P48" s="2160"/>
      <c r="Q48" s="2161"/>
      <c r="R48" s="2161"/>
      <c r="S48" s="2161"/>
      <c r="T48" s="2161"/>
      <c r="U48" s="2161"/>
      <c r="V48" s="2161"/>
      <c r="W48" s="2161"/>
      <c r="X48" s="2161"/>
      <c r="Y48" s="2161"/>
      <c r="Z48" s="2161"/>
      <c r="AA48" s="2161"/>
      <c r="AB48" s="2161"/>
      <c r="AC48" s="2161"/>
    </row>
    <row r="49" spans="1:29" s="1218" customFormat="1" ht="15">
      <c r="A49" s="646"/>
      <c r="B49" s="647"/>
      <c r="C49" s="2827">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8" customFormat="1" ht="15.75" thickBot="1">
      <c r="A50" s="652" t="s">
        <v>575</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8" customFormat="1" ht="15">
      <c r="A51" s="658" t="s">
        <v>531</v>
      </c>
      <c r="B51" s="647"/>
      <c r="C51" s="659" t="s">
        <v>576</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8"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577</v>
      </c>
      <c r="B53" s="664" t="s">
        <v>534</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537</v>
      </c>
      <c r="C55" s="673" t="s">
        <v>736</v>
      </c>
      <c r="D55" s="673" t="s">
        <v>737</v>
      </c>
      <c r="E55" s="673" t="s">
        <v>738</v>
      </c>
      <c r="F55" s="673" t="s">
        <v>739</v>
      </c>
      <c r="G55" s="673" t="s">
        <v>740</v>
      </c>
      <c r="H55" s="673" t="s">
        <v>741</v>
      </c>
      <c r="I55" s="673" t="s">
        <v>742</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3">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7"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7"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7"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7"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2555</v>
      </c>
      <c r="C65" s="707" t="s">
        <v>579</v>
      </c>
      <c r="D65" s="707" t="s">
        <v>580</v>
      </c>
      <c r="E65" s="707" t="s">
        <v>581</v>
      </c>
      <c r="F65" s="707" t="s">
        <v>582</v>
      </c>
      <c r="G65" s="707" t="s">
        <v>583</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2556</v>
      </c>
      <c r="C67" s="2622" t="s">
        <v>2557</v>
      </c>
      <c r="D67" s="2622" t="s">
        <v>2558</v>
      </c>
      <c r="E67" s="2622" t="s">
        <v>2559</v>
      </c>
      <c r="F67" s="2622" t="s">
        <v>2560</v>
      </c>
      <c r="G67" s="2622" t="s">
        <v>2561</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743</v>
      </c>
      <c r="C69" s="707" t="s">
        <v>579</v>
      </c>
      <c r="D69" s="707" t="s">
        <v>580</v>
      </c>
      <c r="E69" s="707" t="s">
        <v>581</v>
      </c>
      <c r="F69" s="707" t="s">
        <v>582</v>
      </c>
      <c r="G69" s="707" t="s">
        <v>583</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744</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8" customFormat="1" ht="15.75" thickTop="1">
      <c r="A73" s="708"/>
      <c r="B73" s="672">
        <f>B23</f>
        <v>111</v>
      </c>
      <c r="C73" s="540"/>
      <c r="D73" s="540"/>
      <c r="E73" s="540"/>
      <c r="F73" s="540"/>
      <c r="G73" s="687"/>
      <c r="H73" s="687"/>
      <c r="I73" s="687"/>
      <c r="J73" s="687"/>
      <c r="K73" s="687"/>
      <c r="L73" s="888"/>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8" customFormat="1" ht="15.75" thickTop="1">
      <c r="A75" s="708"/>
      <c r="B75" s="672">
        <f>B24</f>
        <v>111</v>
      </c>
      <c r="C75" s="540"/>
      <c r="D75" s="540"/>
      <c r="E75" s="540"/>
      <c r="F75" s="540"/>
      <c r="G75" s="687"/>
      <c r="H75" s="687"/>
      <c r="I75" s="687"/>
      <c r="J75" s="687"/>
      <c r="K75" s="687"/>
      <c r="L75" s="687"/>
      <c r="M75" s="889"/>
      <c r="N75" s="2162"/>
      <c r="O75" s="2162"/>
      <c r="P75" s="2165"/>
      <c r="Q75" s="2158"/>
      <c r="R75" s="1993"/>
      <c r="S75" s="1993"/>
      <c r="T75" s="1993"/>
      <c r="U75" s="1993"/>
      <c r="V75" s="1993"/>
      <c r="W75" s="1993"/>
      <c r="X75" s="1993"/>
      <c r="Y75" s="1993"/>
      <c r="Z75" s="1993"/>
      <c r="AA75" s="1993"/>
      <c r="AB75" s="1993"/>
      <c r="AC75" s="1993"/>
    </row>
    <row r="76" spans="1:29" s="1218"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7"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7"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551</v>
      </c>
      <c r="B79" s="664" t="s">
        <v>813</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814</v>
      </c>
      <c r="C81" s="934"/>
      <c r="D81" s="934"/>
      <c r="E81" s="934"/>
      <c r="F81" s="934"/>
      <c r="G81" s="934"/>
      <c r="H81" s="934"/>
      <c r="I81" s="934"/>
      <c r="J81" s="934"/>
      <c r="K81" s="935"/>
      <c r="L81" s="936"/>
      <c r="M81" s="937"/>
      <c r="N81" s="2162"/>
      <c r="O81" s="2162"/>
      <c r="P81" s="2165"/>
      <c r="Q81" s="2158"/>
      <c r="R81" s="2145"/>
      <c r="S81" s="2145"/>
      <c r="T81" s="2145"/>
      <c r="U81" s="2145"/>
      <c r="V81" s="2145"/>
      <c r="W81" s="2145"/>
      <c r="X81" s="2145"/>
      <c r="Y81" s="2145"/>
      <c r="Z81" s="2145"/>
      <c r="AA81" s="2145"/>
      <c r="AB81" s="2145"/>
      <c r="AC81" s="2145"/>
    </row>
    <row r="82" spans="1:29" s="1337"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750</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2">
        <v>0.5</v>
      </c>
      <c r="D86" s="892">
        <v>0.6</v>
      </c>
      <c r="E86" s="892">
        <v>0.7</v>
      </c>
      <c r="F86" s="892">
        <v>0.8</v>
      </c>
      <c r="G86" s="892">
        <v>0.9</v>
      </c>
      <c r="H86" s="892">
        <v>1.0001</v>
      </c>
      <c r="I86" s="903"/>
      <c r="J86" s="903"/>
      <c r="K86" s="904"/>
      <c r="L86" s="905"/>
      <c r="M86" s="906"/>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816</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7"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7"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818</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819</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5">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7"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7"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B28" sqref="B28"/>
    </sheetView>
  </sheetViews>
  <sheetFormatPr defaultColWidth="8.875" defaultRowHeight="14.25"/>
  <cols>
    <col min="1" max="1" width="10.5" style="1335" customWidth="1"/>
    <col min="2" max="2" width="15.625" style="1335" customWidth="1"/>
    <col min="3" max="3" width="14.375" style="1335" customWidth="1"/>
    <col min="4" max="4" width="12.125" style="1335" customWidth="1"/>
    <col min="5" max="5" width="14.375" style="1335" customWidth="1"/>
    <col min="6" max="6" width="12.125" style="1335" customWidth="1"/>
    <col min="7" max="7" width="14.5" style="1335" customWidth="1"/>
    <col min="8" max="8" width="12.125" style="1335" customWidth="1"/>
    <col min="9" max="9" width="14.5" style="1335" customWidth="1"/>
    <col min="10" max="10" width="12.125" style="1335" customWidth="1"/>
    <col min="11" max="11" width="12.125" style="1341" customWidth="1"/>
    <col min="12" max="12" width="12.125" style="1342" customWidth="1"/>
    <col min="13" max="15" width="12.125" style="1335" customWidth="1"/>
    <col min="16" max="16" width="4.625" style="1335" customWidth="1"/>
    <col min="17" max="17" width="19.5" style="1335" customWidth="1"/>
    <col min="18" max="22" width="6.125" style="1335" customWidth="1"/>
    <col min="23" max="23" width="5.625" style="1335" customWidth="1"/>
    <col min="24" max="24" width="4.125" style="1335" customWidth="1"/>
    <col min="25" max="25" width="3.5" style="1335" customWidth="1"/>
    <col min="26" max="26" width="19.625" style="1335" customWidth="1"/>
    <col min="27" max="28" width="9.375" style="1335" customWidth="1"/>
    <col min="29" max="16384" width="8.875" style="1335"/>
  </cols>
  <sheetData>
    <row r="1" spans="1:29" s="1334" customFormat="1" ht="28.5" customHeight="1">
      <c r="A1" s="501" t="s">
        <v>718</v>
      </c>
      <c r="B1" s="921"/>
      <c r="C1" s="503" t="s">
        <v>791</v>
      </c>
      <c r="D1" s="848"/>
      <c r="E1" s="505"/>
      <c r="F1" s="2831"/>
      <c r="G1" s="1600" t="s">
        <v>792</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4" customFormat="1" ht="28.5" customHeight="1">
      <c r="A2" s="422" t="s">
        <v>793</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4" customFormat="1" ht="28.5" customHeight="1" thickBot="1">
      <c r="A3" s="508" t="s">
        <v>794</v>
      </c>
      <c r="B3" s="509" t="e">
        <f>C37</f>
        <v>#DIV/0!</v>
      </c>
      <c r="C3" s="851" t="s">
        <v>795</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796</v>
      </c>
      <c r="B4" s="512"/>
      <c r="C4" s="3774" t="s">
        <v>797</v>
      </c>
      <c r="D4" s="3775"/>
      <c r="E4" s="3840" t="s">
        <v>798</v>
      </c>
      <c r="F4" s="3841"/>
      <c r="G4" s="3774" t="s">
        <v>799</v>
      </c>
      <c r="H4" s="3775"/>
      <c r="I4" s="3774" t="s">
        <v>800</v>
      </c>
      <c r="J4" s="3775"/>
      <c r="K4" s="513" t="s">
        <v>801</v>
      </c>
      <c r="L4" s="2133"/>
      <c r="M4" s="2134"/>
      <c r="N4" s="2134"/>
      <c r="O4" s="2134"/>
      <c r="P4" s="3776" t="s">
        <v>802</v>
      </c>
      <c r="Q4" s="3777"/>
      <c r="R4" s="3762" t="s">
        <v>798</v>
      </c>
      <c r="S4" s="3763"/>
      <c r="T4" s="3762" t="s">
        <v>799</v>
      </c>
      <c r="U4" s="3763"/>
      <c r="V4" s="3782" t="s">
        <v>800</v>
      </c>
      <c r="W4" s="3782"/>
      <c r="X4" s="1566"/>
      <c r="Y4" s="3762" t="s">
        <v>802</v>
      </c>
      <c r="Z4" s="3763"/>
      <c r="AA4" s="3757" t="s">
        <v>798</v>
      </c>
      <c r="AB4" s="3758" t="s">
        <v>799</v>
      </c>
      <c r="AC4" s="3757" t="s">
        <v>800</v>
      </c>
    </row>
    <row r="5" spans="1:29" ht="15">
      <c r="A5" s="514"/>
      <c r="B5" s="515"/>
      <c r="C5" s="3785" t="s">
        <v>2925</v>
      </c>
      <c r="D5" s="3786"/>
      <c r="E5" s="3842" t="s">
        <v>2926</v>
      </c>
      <c r="F5" s="3843"/>
      <c r="G5" s="3785" t="s">
        <v>2927</v>
      </c>
      <c r="H5" s="3786"/>
      <c r="I5" s="3785" t="s">
        <v>2928</v>
      </c>
      <c r="J5" s="3786"/>
      <c r="K5" s="513"/>
      <c r="L5" s="2133"/>
      <c r="M5" s="2134"/>
      <c r="N5" s="2134"/>
      <c r="O5" s="2134"/>
      <c r="P5" s="3778"/>
      <c r="Q5" s="3779"/>
      <c r="R5" s="3764"/>
      <c r="S5" s="3765"/>
      <c r="T5" s="3764"/>
      <c r="U5" s="3765"/>
      <c r="V5" s="3782"/>
      <c r="W5" s="3782"/>
      <c r="X5" s="1566"/>
      <c r="Y5" s="3764"/>
      <c r="Z5" s="3765"/>
      <c r="AA5" s="3758"/>
      <c r="AB5" s="3758"/>
      <c r="AC5" s="3758"/>
    </row>
    <row r="6" spans="1:29" ht="15.75" thickBot="1">
      <c r="A6" s="516"/>
      <c r="B6" s="517"/>
      <c r="C6" s="3783" t="s">
        <v>2929</v>
      </c>
      <c r="D6" s="3784"/>
      <c r="E6" s="3844" t="s">
        <v>2929</v>
      </c>
      <c r="F6" s="3845"/>
      <c r="G6" s="3783" t="s">
        <v>2929</v>
      </c>
      <c r="H6" s="3784"/>
      <c r="I6" s="3783" t="s">
        <v>2929</v>
      </c>
      <c r="J6" s="3784"/>
      <c r="K6" s="513" t="s">
        <v>528</v>
      </c>
      <c r="L6" s="2133"/>
      <c r="M6" s="2134"/>
      <c r="N6" s="2134"/>
      <c r="O6" s="2134"/>
      <c r="P6" s="3780"/>
      <c r="Q6" s="3781"/>
      <c r="R6" s="3764"/>
      <c r="S6" s="3765"/>
      <c r="T6" s="3766"/>
      <c r="U6" s="3767"/>
      <c r="V6" s="3782"/>
      <c r="W6" s="3782"/>
      <c r="X6" s="1566"/>
      <c r="Y6" s="3766"/>
      <c r="Z6" s="3767"/>
      <c r="AA6" s="3759"/>
      <c r="AB6" s="3759"/>
      <c r="AC6" s="3759"/>
    </row>
    <row r="7" spans="1:29" s="1218" customFormat="1" ht="15.75" thickBot="1">
      <c r="A7" s="2936"/>
      <c r="B7" s="2943" t="s">
        <v>529</v>
      </c>
      <c r="C7" s="518">
        <f>'数据-取费表'!B2</f>
        <v>43438</v>
      </c>
      <c r="D7" s="519">
        <v>100</v>
      </c>
      <c r="E7" s="520"/>
      <c r="F7" s="521">
        <f>SUMIF(46:46,YEAR(E7)&amp;"-"&amp;MONTH(E7),47:47)</f>
        <v>0</v>
      </c>
      <c r="G7" s="522"/>
      <c r="H7" s="519">
        <f>SUMIF(46:46,YEAR(G7)&amp;"-"&amp;MONTH(G7),47:47)</f>
        <v>0</v>
      </c>
      <c r="I7" s="522"/>
      <c r="J7" s="519">
        <f>SUMIF(46:46,YEAR(I7)&amp;"-"&amp;MONTH(I7),47:47)</f>
        <v>0</v>
      </c>
      <c r="K7" s="523"/>
      <c r="L7" s="2135"/>
      <c r="M7" s="2136"/>
      <c r="N7" s="2136"/>
      <c r="O7" s="2136"/>
      <c r="P7" s="3760" t="s">
        <v>530</v>
      </c>
      <c r="Q7" s="3769"/>
      <c r="R7" s="1567" t="s">
        <v>8</v>
      </c>
      <c r="S7" s="1568">
        <f t="shared" ref="S7:S14" si="0">F7</f>
        <v>0</v>
      </c>
      <c r="T7" s="1567" t="s">
        <v>8</v>
      </c>
      <c r="U7" s="1568">
        <f t="shared" ref="U7:U14" si="1">H7</f>
        <v>0</v>
      </c>
      <c r="V7" s="1567" t="s">
        <v>8</v>
      </c>
      <c r="W7" s="1568">
        <f t="shared" ref="W7:W14" si="2">J7</f>
        <v>0</v>
      </c>
      <c r="X7" s="1569"/>
      <c r="Y7" s="3760" t="s">
        <v>530</v>
      </c>
      <c r="Z7" s="3761"/>
      <c r="AA7" s="1570" t="e">
        <f>D7/F7</f>
        <v>#DIV/0!</v>
      </c>
      <c r="AB7" s="1570" t="e">
        <f>D7/H7</f>
        <v>#DIV/0!</v>
      </c>
      <c r="AC7" s="1570" t="e">
        <f>D7/J7</f>
        <v>#DIV/0!</v>
      </c>
    </row>
    <row r="8" spans="1:29" s="1218" customFormat="1" ht="15.75" thickBot="1">
      <c r="A8" s="2937"/>
      <c r="B8" s="2944" t="s">
        <v>531</v>
      </c>
      <c r="C8" s="524" t="s">
        <v>576</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760" t="s">
        <v>533</v>
      </c>
      <c r="Q8" s="3761"/>
      <c r="R8" s="1567" t="s">
        <v>8</v>
      </c>
      <c r="S8" s="1568">
        <f t="shared" si="0"/>
        <v>0</v>
      </c>
      <c r="T8" s="1567" t="s">
        <v>8</v>
      </c>
      <c r="U8" s="1568">
        <f t="shared" si="1"/>
        <v>0</v>
      </c>
      <c r="V8" s="1567" t="s">
        <v>8</v>
      </c>
      <c r="W8" s="1568">
        <f t="shared" si="2"/>
        <v>0</v>
      </c>
      <c r="X8" s="1569"/>
      <c r="Y8" s="3760" t="s">
        <v>533</v>
      </c>
      <c r="Z8" s="3761"/>
      <c r="AA8" s="1570" t="e">
        <f t="shared" ref="AA8:AA34" si="3">D8/F8</f>
        <v>#DIV/0!</v>
      </c>
      <c r="AB8" s="1570" t="e">
        <f t="shared" ref="AB8:AB34" si="4">D8/H8</f>
        <v>#DIV/0!</v>
      </c>
      <c r="AC8" s="1570" t="e">
        <f t="shared" ref="AC8:AC34" si="5">D8/J8</f>
        <v>#DIV/0!</v>
      </c>
    </row>
    <row r="9" spans="1:29" s="1218" customFormat="1" ht="15">
      <c r="A9" s="2938"/>
      <c r="B9" s="2945" t="s">
        <v>2754</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768" t="s">
        <v>535</v>
      </c>
      <c r="Q9" s="1149" t="str">
        <f t="shared" ref="Q9:Q14" si="6">B9</f>
        <v>用途</v>
      </c>
      <c r="R9" s="1567" t="s">
        <v>8</v>
      </c>
      <c r="S9" s="1568">
        <f t="shared" si="0"/>
        <v>100</v>
      </c>
      <c r="T9" s="1567" t="s">
        <v>8</v>
      </c>
      <c r="U9" s="1568">
        <f t="shared" si="1"/>
        <v>100</v>
      </c>
      <c r="V9" s="1567" t="s">
        <v>8</v>
      </c>
      <c r="W9" s="1568">
        <f t="shared" si="2"/>
        <v>100</v>
      </c>
      <c r="X9" s="1569"/>
      <c r="Y9" s="3725" t="s">
        <v>536</v>
      </c>
      <c r="Z9" s="1148" t="str">
        <f t="shared" ref="Z9:Z14" si="7">Q9</f>
        <v>用途</v>
      </c>
      <c r="AA9" s="1570">
        <f t="shared" si="3"/>
        <v>1</v>
      </c>
      <c r="AB9" s="1570">
        <f t="shared" si="4"/>
        <v>1</v>
      </c>
      <c r="AC9" s="1570">
        <f t="shared" si="5"/>
        <v>1</v>
      </c>
    </row>
    <row r="10" spans="1:29" s="1336" customFormat="1" ht="27">
      <c r="A10" s="2939"/>
      <c r="B10" s="2944" t="s">
        <v>2755</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768"/>
      <c r="Q10" s="1149" t="str">
        <f t="shared" si="6"/>
        <v>土地使用年限（年）</v>
      </c>
      <c r="R10" s="1567" t="s">
        <v>8</v>
      </c>
      <c r="S10" s="1568">
        <f t="shared" si="0"/>
        <v>100</v>
      </c>
      <c r="T10" s="1567" t="s">
        <v>8</v>
      </c>
      <c r="U10" s="1568">
        <f t="shared" si="1"/>
        <v>100</v>
      </c>
      <c r="V10" s="1567" t="s">
        <v>8</v>
      </c>
      <c r="W10" s="1568">
        <f t="shared" si="2"/>
        <v>100</v>
      </c>
      <c r="X10" s="1569"/>
      <c r="Y10" s="3725"/>
      <c r="Z10" s="1148" t="str">
        <f t="shared" si="7"/>
        <v>土地使用年限（年）</v>
      </c>
      <c r="AA10" s="1570">
        <f t="shared" si="3"/>
        <v>1</v>
      </c>
      <c r="AB10" s="1570">
        <f t="shared" si="4"/>
        <v>1</v>
      </c>
      <c r="AC10" s="1570">
        <f t="shared" si="5"/>
        <v>1</v>
      </c>
    </row>
    <row r="11" spans="1:29" ht="15">
      <c r="A11" s="2941"/>
      <c r="B11" s="2947">
        <v>111</v>
      </c>
      <c r="C11" s="527"/>
      <c r="D11" s="254">
        <v>100</v>
      </c>
      <c r="E11" s="878"/>
      <c r="F11" s="254">
        <f>SUMIF(55:55,E11,56:56)-SUMIF(55:55,C11,56:56)+100</f>
        <v>100</v>
      </c>
      <c r="G11" s="878"/>
      <c r="H11" s="254">
        <f>SUMIF(55:55,G11,56:56)-SUMIF(55:55,C11,56:56)+100</f>
        <v>100</v>
      </c>
      <c r="I11" s="878"/>
      <c r="J11" s="254">
        <f>SUMIF(55:55,I11,56:56)-SUMIF(55:55,C11,56:56)+100</f>
        <v>100</v>
      </c>
      <c r="K11" s="580"/>
      <c r="L11" s="2140"/>
      <c r="M11" s="2134"/>
      <c r="N11" s="2134"/>
      <c r="O11" s="2141"/>
      <c r="P11" s="3768"/>
      <c r="Q11" s="1149">
        <f t="shared" si="6"/>
        <v>111</v>
      </c>
      <c r="R11" s="1567" t="s">
        <v>8</v>
      </c>
      <c r="S11" s="1568">
        <f t="shared" si="0"/>
        <v>100</v>
      </c>
      <c r="T11" s="1567" t="s">
        <v>8</v>
      </c>
      <c r="U11" s="1568">
        <f t="shared" si="1"/>
        <v>100</v>
      </c>
      <c r="V11" s="1567" t="s">
        <v>8</v>
      </c>
      <c r="W11" s="1568">
        <f t="shared" si="2"/>
        <v>100</v>
      </c>
      <c r="X11" s="1569"/>
      <c r="Y11" s="3725"/>
      <c r="Z11" s="1148">
        <f t="shared" si="7"/>
        <v>111</v>
      </c>
      <c r="AA11" s="1570">
        <f t="shared" si="3"/>
        <v>1</v>
      </c>
      <c r="AB11" s="1570">
        <f t="shared" si="4"/>
        <v>1</v>
      </c>
      <c r="AC11" s="1570">
        <f t="shared" si="5"/>
        <v>1</v>
      </c>
    </row>
    <row r="12" spans="1:29" s="1218" customFormat="1" ht="15">
      <c r="A12" s="2941"/>
      <c r="B12" s="2947">
        <v>111</v>
      </c>
      <c r="C12" s="527"/>
      <c r="D12" s="537">
        <v>100</v>
      </c>
      <c r="E12" s="878"/>
      <c r="F12" s="254">
        <f>SUMIF(57:57,E12,58:58)-SUMIF(57:57,C12,58:58)+100</f>
        <v>100</v>
      </c>
      <c r="G12" s="878"/>
      <c r="H12" s="254">
        <f>SUMIF(57:57,G12,58:58)-SUMIF(57:57,C12,58:58)+100</f>
        <v>100</v>
      </c>
      <c r="I12" s="878"/>
      <c r="J12" s="254">
        <f>SUMIF(57:57,I12,58:58)-SUMIF(57:57,C12,58:58)+100</f>
        <v>100</v>
      </c>
      <c r="K12" s="580"/>
      <c r="L12" s="2135"/>
      <c r="M12" s="2136"/>
      <c r="N12" s="2136"/>
      <c r="O12" s="2137"/>
      <c r="P12" s="3768"/>
      <c r="Q12" s="1149">
        <f t="shared" si="6"/>
        <v>111</v>
      </c>
      <c r="R12" s="1567" t="s">
        <v>8</v>
      </c>
      <c r="S12" s="1568">
        <f t="shared" si="0"/>
        <v>100</v>
      </c>
      <c r="T12" s="1567" t="s">
        <v>8</v>
      </c>
      <c r="U12" s="1568">
        <f t="shared" si="1"/>
        <v>100</v>
      </c>
      <c r="V12" s="1567" t="s">
        <v>8</v>
      </c>
      <c r="W12" s="1568">
        <f t="shared" si="2"/>
        <v>100</v>
      </c>
      <c r="X12" s="1569"/>
      <c r="Y12" s="3725"/>
      <c r="Z12" s="1148">
        <f t="shared" si="7"/>
        <v>111</v>
      </c>
      <c r="AA12" s="1570">
        <f>D12/F12</f>
        <v>1</v>
      </c>
      <c r="AB12" s="1570">
        <f>D12/H12</f>
        <v>1</v>
      </c>
      <c r="AC12" s="1570">
        <f>D12/J12</f>
        <v>1</v>
      </c>
    </row>
    <row r="13" spans="1:29" ht="15.75" thickBot="1">
      <c r="A13" s="2942"/>
      <c r="B13" s="2948">
        <v>111</v>
      </c>
      <c r="C13" s="538"/>
      <c r="D13" s="539">
        <v>100</v>
      </c>
      <c r="E13" s="878"/>
      <c r="F13" s="254">
        <f>SUMIF(59:59,E13,60:60)-SUMIF(59:59,C13,60:60)+100</f>
        <v>100</v>
      </c>
      <c r="G13" s="878"/>
      <c r="H13" s="539">
        <f>SUMIF(59:59,G13,60:60)-SUMIF(59:59,C13,60:60)+100</f>
        <v>100</v>
      </c>
      <c r="I13" s="878"/>
      <c r="J13" s="539">
        <f>SUMIF(59:59,I13,60:60)-SUMIF(59:59,C13,60:60)+100</f>
        <v>100</v>
      </c>
      <c r="K13" s="580"/>
      <c r="L13" s="2142"/>
      <c r="M13" s="2134"/>
      <c r="N13" s="2134"/>
      <c r="O13" s="2141"/>
      <c r="P13" s="3768"/>
      <c r="Q13" s="1149">
        <f t="shared" si="6"/>
        <v>111</v>
      </c>
      <c r="R13" s="1567" t="s">
        <v>8</v>
      </c>
      <c r="S13" s="1568">
        <f t="shared" si="0"/>
        <v>100</v>
      </c>
      <c r="T13" s="1567" t="s">
        <v>8</v>
      </c>
      <c r="U13" s="1568">
        <f t="shared" si="1"/>
        <v>100</v>
      </c>
      <c r="V13" s="1567" t="s">
        <v>8</v>
      </c>
      <c r="W13" s="1568">
        <f t="shared" si="2"/>
        <v>100</v>
      </c>
      <c r="X13" s="1569"/>
      <c r="Y13" s="3725"/>
      <c r="Z13" s="1148">
        <f t="shared" si="7"/>
        <v>111</v>
      </c>
      <c r="AA13" s="1570">
        <f t="shared" si="3"/>
        <v>1</v>
      </c>
      <c r="AB13" s="1570">
        <f t="shared" si="4"/>
        <v>1</v>
      </c>
      <c r="AC13" s="1570">
        <f t="shared" si="5"/>
        <v>1</v>
      </c>
    </row>
    <row r="14" spans="1:29" ht="85.5">
      <c r="A14" s="2934"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2"/>
      <c r="M14" s="2134"/>
      <c r="N14" s="2134"/>
      <c r="O14" s="2141"/>
      <c r="P14" s="3770" t="s">
        <v>540</v>
      </c>
      <c r="Q14" s="1571" t="str">
        <f t="shared" si="6"/>
        <v>交通便捷度</v>
      </c>
      <c r="R14" s="1572" t="s">
        <v>8</v>
      </c>
      <c r="S14" s="1573">
        <f t="shared" si="0"/>
        <v>100</v>
      </c>
      <c r="T14" s="1572" t="s">
        <v>8</v>
      </c>
      <c r="U14" s="1573">
        <f t="shared" si="1"/>
        <v>100</v>
      </c>
      <c r="V14" s="1572" t="s">
        <v>8</v>
      </c>
      <c r="W14" s="1573">
        <f t="shared" si="2"/>
        <v>100</v>
      </c>
      <c r="X14" s="1566"/>
      <c r="Y14" s="3770" t="s">
        <v>540</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7"/>
      <c r="L15" s="2142"/>
      <c r="M15" s="2134"/>
      <c r="N15" s="2134"/>
      <c r="O15" s="2141"/>
      <c r="P15" s="3771"/>
      <c r="Q15" s="1571"/>
      <c r="R15" s="1572"/>
      <c r="S15" s="1573"/>
      <c r="T15" s="1572"/>
      <c r="U15" s="1573"/>
      <c r="V15" s="1572"/>
      <c r="W15" s="1573"/>
      <c r="X15" s="1566"/>
      <c r="Y15" s="3771"/>
      <c r="Z15" s="1574"/>
      <c r="AA15" s="1575">
        <v>1</v>
      </c>
      <c r="AB15" s="1575">
        <v>1</v>
      </c>
      <c r="AC15" s="1575">
        <v>1</v>
      </c>
    </row>
    <row r="16" spans="1:29" ht="42.75">
      <c r="A16" s="531"/>
      <c r="B16" s="2627" t="s">
        <v>2544</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2"/>
      <c r="M16" s="2134"/>
      <c r="N16" s="2134"/>
      <c r="O16" s="2141"/>
      <c r="P16" s="3771"/>
      <c r="Q16" s="1571" t="str">
        <f>B16</f>
        <v>公共配套设施</v>
      </c>
      <c r="R16" s="1572" t="s">
        <v>8</v>
      </c>
      <c r="S16" s="1573">
        <f>F16</f>
        <v>100</v>
      </c>
      <c r="T16" s="1572" t="s">
        <v>8</v>
      </c>
      <c r="U16" s="1573">
        <f>H16</f>
        <v>100</v>
      </c>
      <c r="V16" s="1572" t="s">
        <v>8</v>
      </c>
      <c r="W16" s="1573">
        <f>J16</f>
        <v>100</v>
      </c>
      <c r="X16" s="1566"/>
      <c r="Y16" s="3771"/>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7"/>
      <c r="L17" s="2142"/>
      <c r="M17" s="2134"/>
      <c r="N17" s="2134"/>
      <c r="O17" s="2141"/>
      <c r="P17" s="3771"/>
      <c r="Q17" s="1571"/>
      <c r="R17" s="1572"/>
      <c r="S17" s="1573"/>
      <c r="T17" s="1572"/>
      <c r="U17" s="1573"/>
      <c r="V17" s="1572"/>
      <c r="W17" s="1573"/>
      <c r="X17" s="1566"/>
      <c r="Y17" s="3771"/>
      <c r="Z17" s="1574"/>
      <c r="AA17" s="1575">
        <v>1</v>
      </c>
      <c r="AB17" s="1575">
        <v>1</v>
      </c>
      <c r="AC17" s="1575">
        <v>1</v>
      </c>
    </row>
    <row r="18" spans="1:29" ht="28.5">
      <c r="A18" s="531"/>
      <c r="B18" s="2615" t="s">
        <v>2556</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2"/>
      <c r="M18" s="2134"/>
      <c r="N18" s="2134"/>
      <c r="O18" s="2141"/>
      <c r="P18" s="3771"/>
      <c r="Q18" s="2603" t="str">
        <f>B18</f>
        <v>基础设施水平</v>
      </c>
      <c r="R18" s="1572" t="s">
        <v>8</v>
      </c>
      <c r="S18" s="1573">
        <f>F18</f>
        <v>100</v>
      </c>
      <c r="T18" s="1572" t="s">
        <v>8</v>
      </c>
      <c r="U18" s="1573">
        <f>H18</f>
        <v>100</v>
      </c>
      <c r="V18" s="1572" t="s">
        <v>8</v>
      </c>
      <c r="W18" s="1573">
        <f>J18</f>
        <v>100</v>
      </c>
      <c r="X18" s="2605"/>
      <c r="Y18" s="3771"/>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771"/>
      <c r="Q19" s="2603"/>
      <c r="R19" s="1572"/>
      <c r="S19" s="1573"/>
      <c r="T19" s="1572"/>
      <c r="U19" s="1573"/>
      <c r="V19" s="1572"/>
      <c r="W19" s="1573"/>
      <c r="X19" s="2605"/>
      <c r="Y19" s="3771"/>
      <c r="Z19" s="2604"/>
      <c r="AA19" s="1575">
        <v>1</v>
      </c>
      <c r="AB19" s="1575">
        <v>1</v>
      </c>
      <c r="AC19" s="1575">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2"/>
      <c r="M20" s="2134"/>
      <c r="N20" s="2134"/>
      <c r="O20" s="2141"/>
      <c r="P20" s="3771"/>
      <c r="Q20" s="1571" t="str">
        <f>B20</f>
        <v>自然及人文环境</v>
      </c>
      <c r="R20" s="1572" t="s">
        <v>8</v>
      </c>
      <c r="S20" s="1573">
        <f>F20</f>
        <v>100</v>
      </c>
      <c r="T20" s="1572" t="s">
        <v>8</v>
      </c>
      <c r="U20" s="1573">
        <f>H20</f>
        <v>100</v>
      </c>
      <c r="V20" s="1572" t="s">
        <v>8</v>
      </c>
      <c r="W20" s="1573">
        <f>J20</f>
        <v>100</v>
      </c>
      <c r="X20" s="1566"/>
      <c r="Y20" s="3771"/>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7"/>
      <c r="L21" s="2142"/>
      <c r="M21" s="2134"/>
      <c r="N21" s="2134"/>
      <c r="O21" s="2141"/>
      <c r="P21" s="3771"/>
      <c r="Q21" s="1571"/>
      <c r="R21" s="1572"/>
      <c r="S21" s="1573"/>
      <c r="T21" s="1572"/>
      <c r="U21" s="1573"/>
      <c r="V21" s="1572"/>
      <c r="W21" s="1573"/>
      <c r="X21" s="1566"/>
      <c r="Y21" s="3771"/>
      <c r="Z21" s="1574"/>
      <c r="AA21" s="1575">
        <v>1</v>
      </c>
      <c r="AB21" s="1575">
        <v>1</v>
      </c>
      <c r="AC21" s="1575">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771"/>
      <c r="Q22" s="1571" t="str">
        <f>B22</f>
        <v>楼层</v>
      </c>
      <c r="R22" s="1572" t="s">
        <v>8</v>
      </c>
      <c r="S22" s="1573">
        <f>F22</f>
        <v>100</v>
      </c>
      <c r="T22" s="1572" t="s">
        <v>8</v>
      </c>
      <c r="U22" s="1573">
        <f>H22</f>
        <v>100</v>
      </c>
      <c r="V22" s="1572" t="s">
        <v>8</v>
      </c>
      <c r="W22" s="1573">
        <f>J22</f>
        <v>100</v>
      </c>
      <c r="X22" s="1566"/>
      <c r="Y22" s="3771"/>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771"/>
      <c r="Q23" s="1571">
        <f>B23</f>
        <v>111</v>
      </c>
      <c r="R23" s="1572" t="s">
        <v>8</v>
      </c>
      <c r="S23" s="1573">
        <f>F23</f>
        <v>100</v>
      </c>
      <c r="T23" s="1572" t="s">
        <v>8</v>
      </c>
      <c r="U23" s="1573">
        <f>H23</f>
        <v>100</v>
      </c>
      <c r="V23" s="1572" t="s">
        <v>8</v>
      </c>
      <c r="W23" s="1573">
        <f>J23</f>
        <v>100</v>
      </c>
      <c r="X23" s="1566"/>
      <c r="Y23" s="3771"/>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771"/>
      <c r="Q24" s="1571">
        <f t="shared" ref="Q24:Q34" si="11">B24</f>
        <v>111</v>
      </c>
      <c r="R24" s="1572" t="s">
        <v>8</v>
      </c>
      <c r="S24" s="1573">
        <f>F24</f>
        <v>100</v>
      </c>
      <c r="T24" s="1572" t="s">
        <v>8</v>
      </c>
      <c r="U24" s="1573">
        <f>H24</f>
        <v>100</v>
      </c>
      <c r="V24" s="1572" t="s">
        <v>8</v>
      </c>
      <c r="W24" s="1573">
        <f>J24</f>
        <v>100</v>
      </c>
      <c r="X24" s="1566"/>
      <c r="Y24" s="3771"/>
      <c r="Z24" s="1574">
        <f>Q24</f>
        <v>111</v>
      </c>
      <c r="AA24" s="1575">
        <f t="shared" si="3"/>
        <v>1</v>
      </c>
      <c r="AB24" s="1575">
        <f t="shared" si="4"/>
        <v>1</v>
      </c>
      <c r="AC24" s="1575">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5"/>
      <c r="M25" s="2136"/>
      <c r="N25" s="2136"/>
      <c r="O25" s="2137"/>
      <c r="P25" s="3771"/>
      <c r="Q25" s="1149">
        <f t="shared" si="11"/>
        <v>111</v>
      </c>
      <c r="R25" s="1567" t="s">
        <v>8</v>
      </c>
      <c r="S25" s="1568">
        <f>F25</f>
        <v>100</v>
      </c>
      <c r="T25" s="1567" t="s">
        <v>8</v>
      </c>
      <c r="U25" s="1568">
        <f>H25</f>
        <v>100</v>
      </c>
      <c r="V25" s="1567" t="s">
        <v>8</v>
      </c>
      <c r="W25" s="1568">
        <f>J25</f>
        <v>100</v>
      </c>
      <c r="X25" s="1569"/>
      <c r="Y25" s="3771"/>
      <c r="Z25" s="1148">
        <f>Q25</f>
        <v>111</v>
      </c>
      <c r="AA25" s="1575">
        <f>D25/F25</f>
        <v>1</v>
      </c>
      <c r="AB25" s="1575">
        <f>D25/H25</f>
        <v>1</v>
      </c>
      <c r="AC25" s="1575">
        <f>D25/J25</f>
        <v>1</v>
      </c>
    </row>
    <row r="26" spans="1:29" ht="15">
      <c r="A26" s="2931" t="s">
        <v>2753</v>
      </c>
      <c r="B26" s="172" t="s">
        <v>807</v>
      </c>
      <c r="C26" s="914"/>
      <c r="D26" s="596">
        <v>100</v>
      </c>
      <c r="E26" s="914"/>
      <c r="F26" s="941">
        <f>SUMIF(77:77,E26,78:78)-SUMIF(77:77,C26,78:78)+100</f>
        <v>100</v>
      </c>
      <c r="G26" s="914"/>
      <c r="H26" s="596">
        <f>SUMIF(77:77,G26,78:78)-SUMIF(77:77,C26,78:78)+100</f>
        <v>100</v>
      </c>
      <c r="I26" s="914"/>
      <c r="J26" s="596">
        <f>SUMIF(77:77,I26,78:78)-SUMIF(77:77,C26,78:78)+100</f>
        <v>100</v>
      </c>
      <c r="K26" s="583"/>
      <c r="L26" s="2142"/>
      <c r="M26" s="2134"/>
      <c r="N26" s="2134"/>
      <c r="O26" s="2141"/>
      <c r="P26" s="377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773" t="s">
        <v>820</v>
      </c>
      <c r="Z26" s="1574" t="str">
        <f t="shared" ref="Z26:Z34" si="15">Q26</f>
        <v>公共部分装修</v>
      </c>
      <c r="AA26" s="1575">
        <f t="shared" si="3"/>
        <v>1</v>
      </c>
      <c r="AB26" s="1575">
        <f t="shared" si="4"/>
        <v>1</v>
      </c>
      <c r="AC26" s="1575">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40"/>
      <c r="M27" s="2171"/>
      <c r="N27" s="2171"/>
      <c r="O27" s="2143"/>
      <c r="P27" s="3773"/>
      <c r="Q27" s="1604" t="str">
        <f t="shared" si="11"/>
        <v>成新率</v>
      </c>
      <c r="R27" s="1576" t="s">
        <v>8</v>
      </c>
      <c r="S27" s="1577" t="e">
        <f t="shared" si="12"/>
        <v>#N/A</v>
      </c>
      <c r="T27" s="1576" t="s">
        <v>8</v>
      </c>
      <c r="U27" s="1577" t="e">
        <f t="shared" si="13"/>
        <v>#N/A</v>
      </c>
      <c r="V27" s="1576" t="s">
        <v>8</v>
      </c>
      <c r="W27" s="1577" t="e">
        <f t="shared" si="14"/>
        <v>#N/A</v>
      </c>
      <c r="X27" s="1578"/>
      <c r="Y27" s="3773"/>
      <c r="Z27" s="1579" t="str">
        <f t="shared" si="15"/>
        <v>成新率</v>
      </c>
      <c r="AA27" s="1575" t="e">
        <f t="shared" si="3"/>
        <v>#N/A</v>
      </c>
      <c r="AB27" s="1575" t="e">
        <f t="shared" si="4"/>
        <v>#N/A</v>
      </c>
      <c r="AC27" s="1575"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773"/>
      <c r="Q28" s="1571" t="str">
        <f t="shared" si="11"/>
        <v>物业等级</v>
      </c>
      <c r="R28" s="1572" t="s">
        <v>8</v>
      </c>
      <c r="S28" s="1573">
        <f t="shared" si="12"/>
        <v>100</v>
      </c>
      <c r="T28" s="1572" t="s">
        <v>8</v>
      </c>
      <c r="U28" s="1573">
        <f t="shared" si="13"/>
        <v>100</v>
      </c>
      <c r="V28" s="1572" t="s">
        <v>8</v>
      </c>
      <c r="W28" s="1573">
        <f t="shared" si="14"/>
        <v>100</v>
      </c>
      <c r="X28" s="1566"/>
      <c r="Y28" s="3773"/>
      <c r="Z28" s="1574" t="str">
        <f t="shared" si="15"/>
        <v>物业等级</v>
      </c>
      <c r="AA28" s="1575">
        <f t="shared" si="3"/>
        <v>1</v>
      </c>
      <c r="AB28" s="1575">
        <f t="shared" si="4"/>
        <v>1</v>
      </c>
      <c r="AC28" s="1575">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2"/>
      <c r="M29" s="2134"/>
      <c r="N29" s="2134"/>
      <c r="O29" s="2141"/>
      <c r="P29" s="3773"/>
      <c r="Q29" s="1571" t="str">
        <f t="shared" si="11"/>
        <v>有无电梯</v>
      </c>
      <c r="R29" s="1572" t="s">
        <v>8</v>
      </c>
      <c r="S29" s="1573">
        <f t="shared" si="12"/>
        <v>100</v>
      </c>
      <c r="T29" s="1572" t="s">
        <v>8</v>
      </c>
      <c r="U29" s="1573">
        <f t="shared" si="13"/>
        <v>100</v>
      </c>
      <c r="V29" s="1572" t="s">
        <v>8</v>
      </c>
      <c r="W29" s="1573">
        <f t="shared" si="14"/>
        <v>100</v>
      </c>
      <c r="X29" s="1566"/>
      <c r="Y29" s="3773"/>
      <c r="Z29" s="1574" t="str">
        <f t="shared" si="15"/>
        <v>有无电梯</v>
      </c>
      <c r="AA29" s="1575">
        <f t="shared" si="3"/>
        <v>1</v>
      </c>
      <c r="AB29" s="1575">
        <f t="shared" si="4"/>
        <v>1</v>
      </c>
      <c r="AC29" s="1575">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2"/>
      <c r="M30" s="2134"/>
      <c r="N30" s="2134"/>
      <c r="O30" s="2141"/>
      <c r="P30" s="3773"/>
      <c r="Q30" s="1571" t="str">
        <f t="shared" si="11"/>
        <v>建筑面积</v>
      </c>
      <c r="R30" s="1572" t="s">
        <v>8</v>
      </c>
      <c r="S30" s="1573" t="e">
        <f t="shared" si="12"/>
        <v>#N/A</v>
      </c>
      <c r="T30" s="1572" t="s">
        <v>8</v>
      </c>
      <c r="U30" s="1573" t="e">
        <f t="shared" si="13"/>
        <v>#N/A</v>
      </c>
      <c r="V30" s="1572" t="s">
        <v>8</v>
      </c>
      <c r="W30" s="1573" t="e">
        <f t="shared" si="14"/>
        <v>#N/A</v>
      </c>
      <c r="X30" s="1566"/>
      <c r="Y30" s="3773"/>
      <c r="Z30" s="1574" t="str">
        <f t="shared" si="15"/>
        <v>建筑面积</v>
      </c>
      <c r="AA30" s="1575" t="e">
        <f t="shared" si="3"/>
        <v>#N/A</v>
      </c>
      <c r="AB30" s="1575" t="e">
        <f t="shared" si="4"/>
        <v>#N/A</v>
      </c>
      <c r="AC30" s="1575"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5"/>
      <c r="M31" s="2136"/>
      <c r="N31" s="2136"/>
      <c r="O31" s="2137"/>
      <c r="P31" s="3773"/>
      <c r="Q31" s="1149" t="str">
        <f t="shared" si="11"/>
        <v>是否封闭</v>
      </c>
      <c r="R31" s="1567" t="s">
        <v>8</v>
      </c>
      <c r="S31" s="1568">
        <f t="shared" si="12"/>
        <v>100</v>
      </c>
      <c r="T31" s="1567" t="s">
        <v>8</v>
      </c>
      <c r="U31" s="1568">
        <f t="shared" si="13"/>
        <v>100</v>
      </c>
      <c r="V31" s="1567" t="s">
        <v>8</v>
      </c>
      <c r="W31" s="1568">
        <f t="shared" si="14"/>
        <v>100</v>
      </c>
      <c r="X31" s="1569"/>
      <c r="Y31" s="3773"/>
      <c r="Z31" s="1148" t="str">
        <f t="shared" si="15"/>
        <v>是否封闭</v>
      </c>
      <c r="AA31" s="1570">
        <f t="shared" si="3"/>
        <v>1</v>
      </c>
      <c r="AB31" s="1570">
        <f t="shared" si="4"/>
        <v>1</v>
      </c>
      <c r="AC31" s="1570">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2"/>
      <c r="M32" s="2134"/>
      <c r="N32" s="2134"/>
      <c r="O32" s="2141"/>
      <c r="P32" s="3773" t="s">
        <v>550</v>
      </c>
      <c r="Q32" s="1571">
        <f t="shared" si="11"/>
        <v>111</v>
      </c>
      <c r="R32" s="1572" t="s">
        <v>8</v>
      </c>
      <c r="S32" s="1573">
        <f t="shared" si="12"/>
        <v>100</v>
      </c>
      <c r="T32" s="1572" t="s">
        <v>8</v>
      </c>
      <c r="U32" s="1573">
        <f t="shared" si="13"/>
        <v>100</v>
      </c>
      <c r="V32" s="1572" t="s">
        <v>8</v>
      </c>
      <c r="W32" s="1573">
        <f t="shared" si="14"/>
        <v>100</v>
      </c>
      <c r="X32" s="1566"/>
      <c r="Y32" s="3773" t="s">
        <v>550</v>
      </c>
      <c r="Z32" s="1574">
        <f t="shared" si="15"/>
        <v>111</v>
      </c>
      <c r="AA32" s="1575">
        <f t="shared" si="3"/>
        <v>1</v>
      </c>
      <c r="AB32" s="1575">
        <f t="shared" si="4"/>
        <v>1</v>
      </c>
      <c r="AC32" s="1575">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2"/>
      <c r="M33" s="2134"/>
      <c r="N33" s="2134"/>
      <c r="O33" s="2141"/>
      <c r="P33" s="3773"/>
      <c r="Q33" s="1571">
        <f t="shared" si="11"/>
        <v>111</v>
      </c>
      <c r="R33" s="1572" t="s">
        <v>8</v>
      </c>
      <c r="S33" s="1573">
        <f t="shared" si="12"/>
        <v>100</v>
      </c>
      <c r="T33" s="1572" t="s">
        <v>8</v>
      </c>
      <c r="U33" s="1573">
        <f t="shared" si="13"/>
        <v>100</v>
      </c>
      <c r="V33" s="1572" t="s">
        <v>8</v>
      </c>
      <c r="W33" s="1573">
        <f t="shared" si="14"/>
        <v>100</v>
      </c>
      <c r="X33" s="1566"/>
      <c r="Y33" s="3773"/>
      <c r="Z33" s="1574">
        <f t="shared" si="15"/>
        <v>111</v>
      </c>
      <c r="AA33" s="1575">
        <f t="shared" si="3"/>
        <v>1</v>
      </c>
      <c r="AB33" s="1575">
        <f t="shared" si="4"/>
        <v>1</v>
      </c>
      <c r="AC33" s="1575">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2"/>
      <c r="M34" s="2134"/>
      <c r="N34" s="2134"/>
      <c r="O34" s="2141"/>
      <c r="P34" s="3773"/>
      <c r="Q34" s="1571">
        <f t="shared" si="11"/>
        <v>111</v>
      </c>
      <c r="R34" s="1572" t="s">
        <v>8</v>
      </c>
      <c r="S34" s="1573">
        <f t="shared" si="12"/>
        <v>100</v>
      </c>
      <c r="T34" s="1572" t="s">
        <v>8</v>
      </c>
      <c r="U34" s="1573">
        <f t="shared" si="13"/>
        <v>100</v>
      </c>
      <c r="V34" s="1572" t="s">
        <v>8</v>
      </c>
      <c r="W34" s="1573">
        <f t="shared" si="14"/>
        <v>100</v>
      </c>
      <c r="X34" s="1566"/>
      <c r="Y34" s="3773"/>
      <c r="Z34" s="1574">
        <f t="shared" si="15"/>
        <v>111</v>
      </c>
      <c r="AA34" s="1575">
        <f t="shared" si="3"/>
        <v>1</v>
      </c>
      <c r="AB34" s="1575">
        <f t="shared" si="4"/>
        <v>1</v>
      </c>
      <c r="AC34" s="1575">
        <f t="shared" si="5"/>
        <v>1</v>
      </c>
    </row>
    <row r="35" spans="1:29" ht="15">
      <c r="A35" s="606" t="s">
        <v>735</v>
      </c>
      <c r="B35" s="885"/>
      <c r="C35" s="2651" t="s">
        <v>1</v>
      </c>
      <c r="D35" s="2652"/>
      <c r="E35" s="2653"/>
      <c r="F35" s="2654"/>
      <c r="G35" s="2655"/>
      <c r="H35" s="2656"/>
      <c r="I35" s="2653"/>
      <c r="J35" s="2656"/>
      <c r="K35" s="1610"/>
      <c r="L35" s="2144"/>
      <c r="M35" s="2145"/>
      <c r="N35" s="2134"/>
      <c r="O35" s="2145"/>
      <c r="P35" s="3768" t="str">
        <f>A35</f>
        <v>成交单价（元/平方米）</v>
      </c>
      <c r="Q35" s="3768"/>
      <c r="R35" s="3911">
        <f>E35</f>
        <v>0</v>
      </c>
      <c r="S35" s="3911"/>
      <c r="T35" s="3911">
        <f>G35</f>
        <v>0</v>
      </c>
      <c r="U35" s="3911"/>
      <c r="V35" s="3911">
        <f>I35</f>
        <v>0</v>
      </c>
      <c r="W35" s="3911"/>
      <c r="X35" s="1558"/>
      <c r="Y35" s="1580"/>
      <c r="Z35" s="1558"/>
      <c r="AA35" s="1558"/>
      <c r="AB35" s="1558"/>
      <c r="AC35" s="1558"/>
    </row>
    <row r="36" spans="1:29" ht="15.75" thickBot="1">
      <c r="A36" s="614" t="s">
        <v>2758</v>
      </c>
      <c r="B36" s="886"/>
      <c r="C36" s="2657" t="e">
        <f>R37</f>
        <v>#DIV/0!</v>
      </c>
      <c r="D36" s="2658"/>
      <c r="E36" s="2659" t="e">
        <f>R36</f>
        <v>#DIV/0!</v>
      </c>
      <c r="F36" s="2659"/>
      <c r="G36" s="2657" t="e">
        <f>T36</f>
        <v>#DIV/0!</v>
      </c>
      <c r="H36" s="2658"/>
      <c r="I36" s="2659" t="e">
        <f>V36</f>
        <v>#DIV/0!</v>
      </c>
      <c r="J36" s="2658"/>
      <c r="K36" s="1611"/>
      <c r="L36" s="2144"/>
      <c r="M36" s="2145"/>
      <c r="N36" s="2134"/>
      <c r="O36" s="2145"/>
      <c r="P36" s="3768" t="str">
        <f>A36</f>
        <v>比较价格（元/平方米）</v>
      </c>
      <c r="Q36" s="3768"/>
      <c r="R36" s="3911" t="e">
        <f>IF(F1="售价",ROUND(PRODUCT(R35,AA7:AA34),0),ROUND(PRODUCT(R35,AA7:AA34),1))</f>
        <v>#DIV/0!</v>
      </c>
      <c r="S36" s="3911"/>
      <c r="T36" s="3911" t="e">
        <f>IF(F1="售价",ROUND(PRODUCT(T35,AB7:AB34),0),ROUND(PRODUCT(T35,AB7:AB34),1))</f>
        <v>#DIV/0!</v>
      </c>
      <c r="U36" s="3911"/>
      <c r="V36" s="3911" t="e">
        <f>IF(F1="售价",ROUND(PRODUCT(V35,AC7:AC34),0),ROUND(PRODUCT(V35,AC7:AC34),1))</f>
        <v>#DIV/0!</v>
      </c>
      <c r="W36" s="3911"/>
      <c r="X36" s="1558"/>
      <c r="Y36" s="1558"/>
      <c r="Z36" s="1558"/>
      <c r="AA36" s="1558"/>
      <c r="AB36" s="1558"/>
      <c r="AC36" s="1558"/>
    </row>
    <row r="37" spans="1:29" ht="15.75" thickBot="1">
      <c r="A37" s="620" t="s">
        <v>2931</v>
      </c>
      <c r="B37" s="621"/>
      <c r="C37" s="2660" t="e">
        <f>R37</f>
        <v>#DIV/0!</v>
      </c>
      <c r="D37" s="2660"/>
      <c r="E37" s="2660"/>
      <c r="F37" s="2660"/>
      <c r="G37" s="2660"/>
      <c r="H37" s="2660"/>
      <c r="I37" s="2660"/>
      <c r="J37" s="2660"/>
      <c r="K37" s="1612"/>
      <c r="L37" s="2144"/>
      <c r="M37" s="2145"/>
      <c r="N37" s="2145"/>
      <c r="O37" s="2145"/>
      <c r="P37" s="3789" t="str">
        <f>A37</f>
        <v>估价对象XX用房的比较价格（楼面单价，元/平方米）</v>
      </c>
      <c r="Q37" s="3790"/>
      <c r="R37" s="3910" t="e">
        <f>IF(F1="售价",ROUND(AVERAGE(R36:V36),0),ROUND(AVERAGE(R36:V36),1))</f>
        <v>#DIV/0!</v>
      </c>
      <c r="S37" s="3910"/>
      <c r="T37" s="3910"/>
      <c r="U37" s="3910"/>
      <c r="V37" s="3910"/>
      <c r="W37" s="3910"/>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3" customFormat="1" ht="13.5" customHeight="1">
      <c r="A42" s="2146"/>
      <c r="B42" s="2146"/>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3"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5" customFormat="1" ht="15">
      <c r="A46" s="644" t="s">
        <v>529</v>
      </c>
      <c r="B46" s="645"/>
      <c r="C46" s="2826" t="str">
        <f>YEAR(C7)&amp;"-"&amp;MONTH(C7)</f>
        <v>2018-12</v>
      </c>
      <c r="D46" s="2828">
        <f>EDATE(C46,-1)</f>
        <v>43405</v>
      </c>
      <c r="E46" s="2828">
        <f t="shared" ref="E46:O46" si="16">EDATE(D46,-1)</f>
        <v>43374</v>
      </c>
      <c r="F46" s="2828">
        <f t="shared" si="16"/>
        <v>43344</v>
      </c>
      <c r="G46" s="2828">
        <f t="shared" si="16"/>
        <v>43313</v>
      </c>
      <c r="H46" s="2828">
        <f t="shared" si="16"/>
        <v>43282</v>
      </c>
      <c r="I46" s="2828">
        <f t="shared" si="16"/>
        <v>43252</v>
      </c>
      <c r="J46" s="2828">
        <f t="shared" si="16"/>
        <v>43221</v>
      </c>
      <c r="K46" s="2828">
        <f t="shared" si="16"/>
        <v>43191</v>
      </c>
      <c r="L46" s="2828">
        <f t="shared" si="16"/>
        <v>43160</v>
      </c>
      <c r="M46" s="2828">
        <f t="shared" si="16"/>
        <v>43132</v>
      </c>
      <c r="N46" s="2828">
        <f t="shared" si="16"/>
        <v>43101</v>
      </c>
      <c r="O46" s="2828">
        <f t="shared" si="16"/>
        <v>43070</v>
      </c>
      <c r="P46" s="2160"/>
      <c r="Q46" s="2161"/>
      <c r="R46" s="2161"/>
      <c r="S46" s="2161"/>
      <c r="T46" s="2161"/>
      <c r="U46" s="2161"/>
      <c r="V46" s="2161"/>
      <c r="W46" s="2161"/>
      <c r="X46" s="2161"/>
      <c r="Y46" s="2161"/>
      <c r="Z46" s="2161"/>
      <c r="AA46" s="2161"/>
      <c r="AB46" s="2161"/>
      <c r="AC46" s="2161"/>
    </row>
    <row r="47" spans="1:29" s="1218"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8" customFormat="1" ht="15.75" thickBot="1">
      <c r="A48" s="652" t="s">
        <v>575</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8" customFormat="1" ht="15">
      <c r="A49" s="658" t="s">
        <v>531</v>
      </c>
      <c r="B49" s="647"/>
      <c r="C49" s="659" t="s">
        <v>576</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8"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577</v>
      </c>
      <c r="B51" s="664" t="s">
        <v>534</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537</v>
      </c>
      <c r="C53" s="673" t="s">
        <v>736</v>
      </c>
      <c r="D53" s="673" t="s">
        <v>737</v>
      </c>
      <c r="E53" s="673" t="s">
        <v>738</v>
      </c>
      <c r="F53" s="673" t="s">
        <v>739</v>
      </c>
      <c r="G53" s="673" t="s">
        <v>740</v>
      </c>
      <c r="H53" s="673" t="s">
        <v>741</v>
      </c>
      <c r="I53" s="673" t="s">
        <v>742</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3">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7"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7"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7"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7"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2555</v>
      </c>
      <c r="C63" s="707" t="s">
        <v>579</v>
      </c>
      <c r="D63" s="707" t="s">
        <v>580</v>
      </c>
      <c r="E63" s="707" t="s">
        <v>581</v>
      </c>
      <c r="F63" s="707" t="s">
        <v>582</v>
      </c>
      <c r="G63" s="707" t="s">
        <v>583</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2556</v>
      </c>
      <c r="C65" s="2622" t="s">
        <v>2557</v>
      </c>
      <c r="D65" s="2622" t="s">
        <v>2558</v>
      </c>
      <c r="E65" s="2622" t="s">
        <v>2559</v>
      </c>
      <c r="F65" s="2622" t="s">
        <v>2560</v>
      </c>
      <c r="G65" s="2622" t="s">
        <v>2561</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743</v>
      </c>
      <c r="C67" s="707" t="s">
        <v>579</v>
      </c>
      <c r="D67" s="707" t="s">
        <v>580</v>
      </c>
      <c r="E67" s="707" t="s">
        <v>581</v>
      </c>
      <c r="F67" s="707" t="s">
        <v>582</v>
      </c>
      <c r="G67" s="707" t="s">
        <v>583</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744</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8" customFormat="1" ht="15.75" thickTop="1">
      <c r="A71" s="708"/>
      <c r="B71" s="672">
        <f>B23</f>
        <v>111</v>
      </c>
      <c r="C71" s="540"/>
      <c r="D71" s="540"/>
      <c r="E71" s="540"/>
      <c r="F71" s="540"/>
      <c r="G71" s="687"/>
      <c r="H71" s="687"/>
      <c r="I71" s="687"/>
      <c r="J71" s="687"/>
      <c r="K71" s="687"/>
      <c r="L71" s="888"/>
      <c r="M71" s="889"/>
      <c r="N71" s="2162"/>
      <c r="O71" s="2162"/>
      <c r="P71" s="2165"/>
      <c r="Q71" s="2158"/>
      <c r="R71" s="1993"/>
      <c r="S71" s="1993"/>
      <c r="T71" s="1993"/>
      <c r="U71" s="1993"/>
      <c r="V71" s="1993"/>
      <c r="W71" s="1993"/>
      <c r="X71" s="1993"/>
      <c r="Y71" s="1993"/>
      <c r="Z71" s="1993"/>
      <c r="AA71" s="1993"/>
      <c r="AB71" s="1993"/>
      <c r="AC71" s="1993"/>
    </row>
    <row r="72" spans="1:29" s="1218"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8" customFormat="1" ht="15.75" thickTop="1">
      <c r="A73" s="708"/>
      <c r="B73" s="672">
        <f>B24</f>
        <v>111</v>
      </c>
      <c r="C73" s="540"/>
      <c r="D73" s="540"/>
      <c r="E73" s="540"/>
      <c r="F73" s="540"/>
      <c r="G73" s="687"/>
      <c r="H73" s="687"/>
      <c r="I73" s="687"/>
      <c r="J73" s="687"/>
      <c r="K73" s="687"/>
      <c r="L73" s="687"/>
      <c r="M73" s="889"/>
      <c r="N73" s="2162"/>
      <c r="O73" s="2162"/>
      <c r="P73" s="2165"/>
      <c r="Q73" s="2158"/>
      <c r="R73" s="1993"/>
      <c r="S73" s="1993"/>
      <c r="T73" s="1993"/>
      <c r="U73" s="1993"/>
      <c r="V73" s="1993"/>
      <c r="W73" s="1993"/>
      <c r="X73" s="1993"/>
      <c r="Y73" s="1993"/>
      <c r="Z73" s="1993"/>
      <c r="AA73" s="1993"/>
      <c r="AB73" s="1993"/>
      <c r="AC73" s="1993"/>
    </row>
    <row r="74" spans="1:29" s="1218"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7"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7"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551</v>
      </c>
      <c r="B77" s="664" t="s">
        <v>750</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2">
        <v>0.5</v>
      </c>
      <c r="D80" s="892">
        <v>0.6</v>
      </c>
      <c r="E80" s="892">
        <v>0.7</v>
      </c>
      <c r="F80" s="892">
        <v>0.8</v>
      </c>
      <c r="G80" s="892">
        <v>0.9</v>
      </c>
      <c r="H80" s="892">
        <v>1.0001</v>
      </c>
      <c r="I80" s="933"/>
      <c r="J80" s="933"/>
      <c r="K80" s="943"/>
      <c r="L80" s="944"/>
      <c r="M80" s="945"/>
      <c r="N80" s="2162"/>
      <c r="O80" s="2162"/>
      <c r="P80" s="2165"/>
      <c r="Q80" s="2158"/>
      <c r="R80" s="2145"/>
      <c r="S80" s="2145"/>
      <c r="T80" s="2145"/>
      <c r="U80" s="2145"/>
      <c r="V80" s="2145"/>
      <c r="W80" s="2145"/>
      <c r="X80" s="2145"/>
      <c r="Y80" s="2145"/>
      <c r="Z80" s="2145"/>
      <c r="AA80" s="2145"/>
      <c r="AB80" s="2145"/>
      <c r="AC80" s="2145"/>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816</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824</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7" customFormat="1" ht="15" thickTop="1">
      <c r="A89" s="727"/>
      <c r="B89" s="672" t="s">
        <v>826</v>
      </c>
      <c r="C89" s="687"/>
      <c r="D89" s="687"/>
      <c r="E89" s="687"/>
      <c r="F89" s="687"/>
      <c r="G89" s="687"/>
      <c r="H89" s="687"/>
      <c r="I89" s="687"/>
      <c r="J89" s="687"/>
      <c r="K89" s="687"/>
      <c r="L89" s="687"/>
      <c r="M89" s="889"/>
      <c r="N89" s="2167"/>
      <c r="O89" s="2167"/>
      <c r="P89" s="2168"/>
      <c r="Q89" s="2169"/>
      <c r="R89" s="2170"/>
      <c r="S89" s="2170"/>
      <c r="T89" s="2170"/>
      <c r="U89" s="2170"/>
      <c r="V89" s="2170"/>
      <c r="W89" s="2170"/>
      <c r="X89" s="2170"/>
      <c r="Y89" s="2170"/>
      <c r="Z89" s="2170"/>
      <c r="AA89" s="2170"/>
      <c r="AB89" s="2170"/>
      <c r="AC89" s="2170"/>
    </row>
    <row r="90" spans="1:29" s="1337"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5">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B28" sqref="B28"/>
      <selection pane="bottomLeft" activeCell="B28" sqref="B28"/>
    </sheetView>
  </sheetViews>
  <sheetFormatPr defaultColWidth="8.875" defaultRowHeight="12.75"/>
  <cols>
    <col min="1" max="1" width="11.5" style="1248" customWidth="1"/>
    <col min="2" max="2" width="9.125" style="1216" customWidth="1"/>
    <col min="3" max="3" width="5" style="1216" customWidth="1"/>
    <col min="4" max="4" width="8.875" style="1216"/>
    <col min="5" max="5" width="5" style="1216" customWidth="1"/>
    <col min="6" max="6" width="8.875" style="1216"/>
    <col min="7" max="7" width="5" style="1216" customWidth="1"/>
    <col min="8" max="8" width="8.875" style="1216"/>
    <col min="9" max="9" width="5" style="1216" customWidth="1"/>
    <col min="10" max="10" width="8.875" style="1216"/>
    <col min="11" max="11" width="5" style="1216" customWidth="1"/>
    <col min="12" max="12" width="8.875" style="1216"/>
    <col min="13" max="13" width="5" style="1216" customWidth="1"/>
    <col min="14" max="14" width="8.875" style="1216"/>
    <col min="15" max="15" width="5" style="1216" customWidth="1"/>
    <col min="16" max="16" width="8.875" style="1216"/>
    <col min="17" max="17" width="5" style="1216" customWidth="1"/>
    <col min="18" max="18" width="8.875" style="1615"/>
    <col min="19" max="19" width="8.875" style="1248"/>
    <col min="20" max="35" width="8.875" style="256"/>
    <col min="36" max="16384" width="8.875" style="1248"/>
  </cols>
  <sheetData>
    <row r="1" spans="1:45" s="256" customFormat="1" ht="14.25" customHeight="1" thickBot="1">
      <c r="A1" s="364"/>
      <c r="B1" s="2234" t="s">
        <v>2302</v>
      </c>
      <c r="C1" s="3920" t="s">
        <v>2303</v>
      </c>
      <c r="D1" s="3921"/>
      <c r="E1" s="3921"/>
      <c r="F1" s="3921"/>
      <c r="G1" s="3921"/>
      <c r="H1" s="3921"/>
      <c r="I1" s="3921"/>
      <c r="J1" s="3921"/>
      <c r="K1" s="3921"/>
      <c r="L1" s="3921"/>
      <c r="M1" s="3921"/>
      <c r="N1" s="3921"/>
      <c r="O1" s="3921"/>
      <c r="P1" s="3921"/>
      <c r="Q1" s="3921"/>
      <c r="R1" s="3921"/>
      <c r="S1" s="3922"/>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6" t="str">
        <f>S3&amp;"(含)"&amp;"-"</f>
        <v>(含)-</v>
      </c>
      <c r="T2" s="950"/>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1"/>
      <c r="C3" s="952"/>
      <c r="D3" s="953"/>
      <c r="E3" s="953"/>
      <c r="F3" s="953"/>
      <c r="G3" s="953"/>
      <c r="H3" s="953"/>
      <c r="I3" s="953"/>
      <c r="J3" s="954"/>
      <c r="K3" s="954"/>
      <c r="L3" s="955"/>
      <c r="M3" s="2239"/>
      <c r="N3" s="2240"/>
      <c r="O3" s="953"/>
      <c r="P3" s="953"/>
      <c r="Q3" s="953"/>
      <c r="R3" s="953"/>
      <c r="S3" s="2241"/>
      <c r="T3" s="956"/>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4" t="s">
        <v>2924</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6" t="s">
        <v>2923</v>
      </c>
      <c r="C7" s="1961"/>
      <c r="D7" s="1962"/>
      <c r="E7" s="1962"/>
      <c r="F7" s="1962"/>
      <c r="G7" s="1962"/>
      <c r="H7" s="1962"/>
      <c r="I7" s="1962"/>
      <c r="J7" s="1962"/>
      <c r="K7" s="1962"/>
      <c r="L7" s="1962"/>
      <c r="M7" s="2259"/>
      <c r="N7" s="2260"/>
      <c r="O7" s="2261"/>
      <c r="P7" s="2262"/>
      <c r="Q7" s="2263"/>
      <c r="R7" s="2264"/>
      <c r="S7" s="2265"/>
      <c r="T7" s="957"/>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6" t="s">
        <v>2922</v>
      </c>
      <c r="C9" s="1961"/>
      <c r="D9" s="1962"/>
      <c r="E9" s="1962"/>
      <c r="F9" s="1962"/>
      <c r="G9" s="1962"/>
      <c r="H9" s="1962"/>
      <c r="I9" s="1962"/>
      <c r="J9" s="1962"/>
      <c r="K9" s="1962"/>
      <c r="L9" s="1963"/>
      <c r="M9" s="2259"/>
      <c r="N9" s="2260"/>
      <c r="O9" s="2261"/>
      <c r="P9" s="2262"/>
      <c r="Q9" s="2263"/>
      <c r="R9" s="2264"/>
      <c r="S9" s="2265"/>
      <c r="T9" s="957"/>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4" t="s">
        <v>2937</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4" t="s">
        <v>2921</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4" t="s">
        <v>2920</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6"/>
      <c r="C19" s="1990"/>
      <c r="D19" s="1990"/>
      <c r="E19" s="1990"/>
      <c r="F19" s="1990"/>
      <c r="G19" s="1990"/>
      <c r="H19" s="1990"/>
      <c r="I19" s="1990"/>
      <c r="J19" s="1990"/>
      <c r="K19" s="1990"/>
      <c r="L19" s="1990"/>
      <c r="M19" s="1990"/>
      <c r="N19" s="1990"/>
      <c r="O19" s="1990"/>
      <c r="P19" s="1990"/>
      <c r="Q19" s="1990"/>
      <c r="R19" s="2225"/>
      <c r="S19" s="2028"/>
    </row>
    <row r="20" spans="1:45" ht="15.75">
      <c r="A20" s="958" t="s">
        <v>827</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8" t="s">
        <v>828</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829</v>
      </c>
      <c r="B22" s="53">
        <f>SUM(B24:B10000)</f>
        <v>0</v>
      </c>
      <c r="C22" s="3917" t="s">
        <v>20</v>
      </c>
      <c r="D22" s="3918"/>
      <c r="E22" s="3918"/>
      <c r="F22" s="3918"/>
      <c r="G22" s="3918"/>
      <c r="H22" s="3918"/>
      <c r="I22" s="3918"/>
      <c r="J22" s="3918"/>
      <c r="K22" s="3918"/>
      <c r="L22" s="3918"/>
      <c r="M22" s="3918"/>
      <c r="N22" s="3918"/>
      <c r="O22" s="3918"/>
      <c r="P22" s="3918"/>
      <c r="Q22" s="3919"/>
      <c r="R22" s="489"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4"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965" customWidth="1"/>
    <col min="2" max="2" width="13.125" style="2971" customWidth="1"/>
    <col min="3" max="3" width="15.625" style="2971" customWidth="1"/>
    <col min="4" max="4" width="9.375" style="2971" bestFit="1" customWidth="1"/>
    <col min="5" max="5" width="13.5" style="2971" customWidth="1"/>
    <col min="6" max="6" width="8.875" style="2971"/>
    <col min="7" max="7" width="9.375" style="2971" bestFit="1" customWidth="1"/>
    <col min="8" max="9" width="8.875" style="2971"/>
    <col min="10" max="10" width="9.375" style="2971" bestFit="1" customWidth="1"/>
    <col min="11" max="11" width="4" style="2965" customWidth="1"/>
    <col min="12" max="12" width="5.125" style="2971" customWidth="1"/>
    <col min="13" max="13" width="13.625" style="2971" customWidth="1"/>
    <col min="14" max="256" width="8.875" style="2971"/>
    <col min="257" max="257" width="4.875" style="2963" customWidth="1"/>
    <col min="258" max="258" width="13.125" style="2963" customWidth="1"/>
    <col min="259" max="259" width="15.625" style="2963" customWidth="1"/>
    <col min="260" max="260" width="9.375" style="2963" bestFit="1" customWidth="1"/>
    <col min="261" max="261" width="13.5" style="2963" customWidth="1"/>
    <col min="262" max="262" width="8.875" style="2963"/>
    <col min="263" max="263" width="9.375" style="2963" bestFit="1" customWidth="1"/>
    <col min="264" max="265" width="8.875" style="2963"/>
    <col min="266" max="266" width="9.375" style="2963" bestFit="1" customWidth="1"/>
    <col min="267" max="267" width="4" style="2963" customWidth="1"/>
    <col min="268" max="268" width="5.125" style="2963" customWidth="1"/>
    <col min="269" max="269" width="13.625" style="2963" customWidth="1"/>
    <col min="270" max="512" width="8.875" style="2963"/>
    <col min="513" max="513" width="4.875" style="2963" customWidth="1"/>
    <col min="514" max="514" width="13.125" style="2963" customWidth="1"/>
    <col min="515" max="515" width="15.625" style="2963" customWidth="1"/>
    <col min="516" max="516" width="9.375" style="2963" bestFit="1" customWidth="1"/>
    <col min="517" max="517" width="13.5" style="2963" customWidth="1"/>
    <col min="518" max="518" width="8.875" style="2963"/>
    <col min="519" max="519" width="9.375" style="2963" bestFit="1" customWidth="1"/>
    <col min="520" max="521" width="8.875" style="2963"/>
    <col min="522" max="522" width="9.375" style="2963" bestFit="1" customWidth="1"/>
    <col min="523" max="523" width="4" style="2963" customWidth="1"/>
    <col min="524" max="524" width="5.125" style="2963" customWidth="1"/>
    <col min="525" max="525" width="13.625" style="2963" customWidth="1"/>
    <col min="526" max="768" width="8.875" style="2963"/>
    <col min="769" max="769" width="4.875" style="2963" customWidth="1"/>
    <col min="770" max="770" width="13.125" style="2963" customWidth="1"/>
    <col min="771" max="771" width="15.625" style="2963" customWidth="1"/>
    <col min="772" max="772" width="9.375" style="2963" bestFit="1" customWidth="1"/>
    <col min="773" max="773" width="13.5" style="2963" customWidth="1"/>
    <col min="774" max="774" width="8.875" style="2963"/>
    <col min="775" max="775" width="9.375" style="2963" bestFit="1" customWidth="1"/>
    <col min="776" max="777" width="8.875" style="2963"/>
    <col min="778" max="778" width="9.375" style="2963" bestFit="1" customWidth="1"/>
    <col min="779" max="779" width="4" style="2963" customWidth="1"/>
    <col min="780" max="780" width="5.125" style="2963" customWidth="1"/>
    <col min="781" max="781" width="13.625" style="2963" customWidth="1"/>
    <col min="782" max="1024" width="8.875" style="2963"/>
    <col min="1025" max="1025" width="4.875" style="2963" customWidth="1"/>
    <col min="1026" max="1026" width="13.125" style="2963" customWidth="1"/>
    <col min="1027" max="1027" width="15.625" style="2963" customWidth="1"/>
    <col min="1028" max="1028" width="9.375" style="2963" bestFit="1" customWidth="1"/>
    <col min="1029" max="1029" width="13.5" style="2963" customWidth="1"/>
    <col min="1030" max="1030" width="8.875" style="2963"/>
    <col min="1031" max="1031" width="9.375" style="2963" bestFit="1" customWidth="1"/>
    <col min="1032" max="1033" width="8.875" style="2963"/>
    <col min="1034" max="1034" width="9.375" style="2963" bestFit="1" customWidth="1"/>
    <col min="1035" max="1035" width="4" style="2963" customWidth="1"/>
    <col min="1036" max="1036" width="5.125" style="2963" customWidth="1"/>
    <col min="1037" max="1037" width="13.625" style="2963" customWidth="1"/>
    <col min="1038" max="1280" width="8.875" style="2963"/>
    <col min="1281" max="1281" width="4.875" style="2963" customWidth="1"/>
    <col min="1282" max="1282" width="13.125" style="2963" customWidth="1"/>
    <col min="1283" max="1283" width="15.625" style="2963" customWidth="1"/>
    <col min="1284" max="1284" width="9.375" style="2963" bestFit="1" customWidth="1"/>
    <col min="1285" max="1285" width="13.5" style="2963" customWidth="1"/>
    <col min="1286" max="1286" width="8.875" style="2963"/>
    <col min="1287" max="1287" width="9.375" style="2963" bestFit="1" customWidth="1"/>
    <col min="1288" max="1289" width="8.875" style="2963"/>
    <col min="1290" max="1290" width="9.375" style="2963" bestFit="1" customWidth="1"/>
    <col min="1291" max="1291" width="4" style="2963" customWidth="1"/>
    <col min="1292" max="1292" width="5.125" style="2963" customWidth="1"/>
    <col min="1293" max="1293" width="13.625" style="2963" customWidth="1"/>
    <col min="1294" max="1536" width="8.875" style="2963"/>
    <col min="1537" max="1537" width="4.875" style="2963" customWidth="1"/>
    <col min="1538" max="1538" width="13.125" style="2963" customWidth="1"/>
    <col min="1539" max="1539" width="15.625" style="2963" customWidth="1"/>
    <col min="1540" max="1540" width="9.375" style="2963" bestFit="1" customWidth="1"/>
    <col min="1541" max="1541" width="13.5" style="2963" customWidth="1"/>
    <col min="1542" max="1542" width="8.875" style="2963"/>
    <col min="1543" max="1543" width="9.375" style="2963" bestFit="1" customWidth="1"/>
    <col min="1544" max="1545" width="8.875" style="2963"/>
    <col min="1546" max="1546" width="9.375" style="2963" bestFit="1" customWidth="1"/>
    <col min="1547" max="1547" width="4" style="2963" customWidth="1"/>
    <col min="1548" max="1548" width="5.125" style="2963" customWidth="1"/>
    <col min="1549" max="1549" width="13.625" style="2963" customWidth="1"/>
    <col min="1550" max="1792" width="8.875" style="2963"/>
    <col min="1793" max="1793" width="4.875" style="2963" customWidth="1"/>
    <col min="1794" max="1794" width="13.125" style="2963" customWidth="1"/>
    <col min="1795" max="1795" width="15.625" style="2963" customWidth="1"/>
    <col min="1796" max="1796" width="9.375" style="2963" bestFit="1" customWidth="1"/>
    <col min="1797" max="1797" width="13.5" style="2963" customWidth="1"/>
    <col min="1798" max="1798" width="8.875" style="2963"/>
    <col min="1799" max="1799" width="9.375" style="2963" bestFit="1" customWidth="1"/>
    <col min="1800" max="1801" width="8.875" style="2963"/>
    <col min="1802" max="1802" width="9.375" style="2963" bestFit="1" customWidth="1"/>
    <col min="1803" max="1803" width="4" style="2963" customWidth="1"/>
    <col min="1804" max="1804" width="5.125" style="2963" customWidth="1"/>
    <col min="1805" max="1805" width="13.625" style="2963" customWidth="1"/>
    <col min="1806" max="2048" width="8.875" style="2963"/>
    <col min="2049" max="2049" width="4.875" style="2963" customWidth="1"/>
    <col min="2050" max="2050" width="13.125" style="2963" customWidth="1"/>
    <col min="2051" max="2051" width="15.625" style="2963" customWidth="1"/>
    <col min="2052" max="2052" width="9.375" style="2963" bestFit="1" customWidth="1"/>
    <col min="2053" max="2053" width="13.5" style="2963" customWidth="1"/>
    <col min="2054" max="2054" width="8.875" style="2963"/>
    <col min="2055" max="2055" width="9.375" style="2963" bestFit="1" customWidth="1"/>
    <col min="2056" max="2057" width="8.875" style="2963"/>
    <col min="2058" max="2058" width="9.375" style="2963" bestFit="1" customWidth="1"/>
    <col min="2059" max="2059" width="4" style="2963" customWidth="1"/>
    <col min="2060" max="2060" width="5.125" style="2963" customWidth="1"/>
    <col min="2061" max="2061" width="13.625" style="2963" customWidth="1"/>
    <col min="2062" max="2304" width="8.875" style="2963"/>
    <col min="2305" max="2305" width="4.875" style="2963" customWidth="1"/>
    <col min="2306" max="2306" width="13.125" style="2963" customWidth="1"/>
    <col min="2307" max="2307" width="15.625" style="2963" customWidth="1"/>
    <col min="2308" max="2308" width="9.375" style="2963" bestFit="1" customWidth="1"/>
    <col min="2309" max="2309" width="13.5" style="2963" customWidth="1"/>
    <col min="2310" max="2310" width="8.875" style="2963"/>
    <col min="2311" max="2311" width="9.375" style="2963" bestFit="1" customWidth="1"/>
    <col min="2312" max="2313" width="8.875" style="2963"/>
    <col min="2314" max="2314" width="9.375" style="2963" bestFit="1" customWidth="1"/>
    <col min="2315" max="2315" width="4" style="2963" customWidth="1"/>
    <col min="2316" max="2316" width="5.125" style="2963" customWidth="1"/>
    <col min="2317" max="2317" width="13.625" style="2963" customWidth="1"/>
    <col min="2318" max="2560" width="8.875" style="2963"/>
    <col min="2561" max="2561" width="4.875" style="2963" customWidth="1"/>
    <col min="2562" max="2562" width="13.125" style="2963" customWidth="1"/>
    <col min="2563" max="2563" width="15.625" style="2963" customWidth="1"/>
    <col min="2564" max="2564" width="9.375" style="2963" bestFit="1" customWidth="1"/>
    <col min="2565" max="2565" width="13.5" style="2963" customWidth="1"/>
    <col min="2566" max="2566" width="8.875" style="2963"/>
    <col min="2567" max="2567" width="9.375" style="2963" bestFit="1" customWidth="1"/>
    <col min="2568" max="2569" width="8.875" style="2963"/>
    <col min="2570" max="2570" width="9.375" style="2963" bestFit="1" customWidth="1"/>
    <col min="2571" max="2571" width="4" style="2963" customWidth="1"/>
    <col min="2572" max="2572" width="5.125" style="2963" customWidth="1"/>
    <col min="2573" max="2573" width="13.625" style="2963" customWidth="1"/>
    <col min="2574" max="2816" width="8.875" style="2963"/>
    <col min="2817" max="2817" width="4.875" style="2963" customWidth="1"/>
    <col min="2818" max="2818" width="13.125" style="2963" customWidth="1"/>
    <col min="2819" max="2819" width="15.625" style="2963" customWidth="1"/>
    <col min="2820" max="2820" width="9.375" style="2963" bestFit="1" customWidth="1"/>
    <col min="2821" max="2821" width="13.5" style="2963" customWidth="1"/>
    <col min="2822" max="2822" width="8.875" style="2963"/>
    <col min="2823" max="2823" width="9.375" style="2963" bestFit="1" customWidth="1"/>
    <col min="2824" max="2825" width="8.875" style="2963"/>
    <col min="2826" max="2826" width="9.375" style="2963" bestFit="1" customWidth="1"/>
    <col min="2827" max="2827" width="4" style="2963" customWidth="1"/>
    <col min="2828" max="2828" width="5.125" style="2963" customWidth="1"/>
    <col min="2829" max="2829" width="13.625" style="2963" customWidth="1"/>
    <col min="2830" max="3072" width="8.875" style="2963"/>
    <col min="3073" max="3073" width="4.875" style="2963" customWidth="1"/>
    <col min="3074" max="3074" width="13.125" style="2963" customWidth="1"/>
    <col min="3075" max="3075" width="15.625" style="2963" customWidth="1"/>
    <col min="3076" max="3076" width="9.375" style="2963" bestFit="1" customWidth="1"/>
    <col min="3077" max="3077" width="13.5" style="2963" customWidth="1"/>
    <col min="3078" max="3078" width="8.875" style="2963"/>
    <col min="3079" max="3079" width="9.375" style="2963" bestFit="1" customWidth="1"/>
    <col min="3080" max="3081" width="8.875" style="2963"/>
    <col min="3082" max="3082" width="9.375" style="2963" bestFit="1" customWidth="1"/>
    <col min="3083" max="3083" width="4" style="2963" customWidth="1"/>
    <col min="3084" max="3084" width="5.125" style="2963" customWidth="1"/>
    <col min="3085" max="3085" width="13.625" style="2963" customWidth="1"/>
    <col min="3086" max="3328" width="8.875" style="2963"/>
    <col min="3329" max="3329" width="4.875" style="2963" customWidth="1"/>
    <col min="3330" max="3330" width="13.125" style="2963" customWidth="1"/>
    <col min="3331" max="3331" width="15.625" style="2963" customWidth="1"/>
    <col min="3332" max="3332" width="9.375" style="2963" bestFit="1" customWidth="1"/>
    <col min="3333" max="3333" width="13.5" style="2963" customWidth="1"/>
    <col min="3334" max="3334" width="8.875" style="2963"/>
    <col min="3335" max="3335" width="9.375" style="2963" bestFit="1" customWidth="1"/>
    <col min="3336" max="3337" width="8.875" style="2963"/>
    <col min="3338" max="3338" width="9.375" style="2963" bestFit="1" customWidth="1"/>
    <col min="3339" max="3339" width="4" style="2963" customWidth="1"/>
    <col min="3340" max="3340" width="5.125" style="2963" customWidth="1"/>
    <col min="3341" max="3341" width="13.625" style="2963" customWidth="1"/>
    <col min="3342" max="3584" width="8.875" style="2963"/>
    <col min="3585" max="3585" width="4.875" style="2963" customWidth="1"/>
    <col min="3586" max="3586" width="13.125" style="2963" customWidth="1"/>
    <col min="3587" max="3587" width="15.625" style="2963" customWidth="1"/>
    <col min="3588" max="3588" width="9.375" style="2963" bestFit="1" customWidth="1"/>
    <col min="3589" max="3589" width="13.5" style="2963" customWidth="1"/>
    <col min="3590" max="3590" width="8.875" style="2963"/>
    <col min="3591" max="3591" width="9.375" style="2963" bestFit="1" customWidth="1"/>
    <col min="3592" max="3593" width="8.875" style="2963"/>
    <col min="3594" max="3594" width="9.375" style="2963" bestFit="1" customWidth="1"/>
    <col min="3595" max="3595" width="4" style="2963" customWidth="1"/>
    <col min="3596" max="3596" width="5.125" style="2963" customWidth="1"/>
    <col min="3597" max="3597" width="13.625" style="2963" customWidth="1"/>
    <col min="3598" max="3840" width="8.875" style="2963"/>
    <col min="3841" max="3841" width="4.875" style="2963" customWidth="1"/>
    <col min="3842" max="3842" width="13.125" style="2963" customWidth="1"/>
    <col min="3843" max="3843" width="15.625" style="2963" customWidth="1"/>
    <col min="3844" max="3844" width="9.375" style="2963" bestFit="1" customWidth="1"/>
    <col min="3845" max="3845" width="13.5" style="2963" customWidth="1"/>
    <col min="3846" max="3846" width="8.875" style="2963"/>
    <col min="3847" max="3847" width="9.375" style="2963" bestFit="1" customWidth="1"/>
    <col min="3848" max="3849" width="8.875" style="2963"/>
    <col min="3850" max="3850" width="9.375" style="2963" bestFit="1" customWidth="1"/>
    <col min="3851" max="3851" width="4" style="2963" customWidth="1"/>
    <col min="3852" max="3852" width="5.125" style="2963" customWidth="1"/>
    <col min="3853" max="3853" width="13.625" style="2963" customWidth="1"/>
    <col min="3854" max="4096" width="8.875" style="2963"/>
    <col min="4097" max="4097" width="4.875" style="2963" customWidth="1"/>
    <col min="4098" max="4098" width="13.125" style="2963" customWidth="1"/>
    <col min="4099" max="4099" width="15.625" style="2963" customWidth="1"/>
    <col min="4100" max="4100" width="9.375" style="2963" bestFit="1" customWidth="1"/>
    <col min="4101" max="4101" width="13.5" style="2963" customWidth="1"/>
    <col min="4102" max="4102" width="8.875" style="2963"/>
    <col min="4103" max="4103" width="9.375" style="2963" bestFit="1" customWidth="1"/>
    <col min="4104" max="4105" width="8.875" style="2963"/>
    <col min="4106" max="4106" width="9.375" style="2963" bestFit="1" customWidth="1"/>
    <col min="4107" max="4107" width="4" style="2963" customWidth="1"/>
    <col min="4108" max="4108" width="5.125" style="2963" customWidth="1"/>
    <col min="4109" max="4109" width="13.625" style="2963" customWidth="1"/>
    <col min="4110" max="4352" width="8.875" style="2963"/>
    <col min="4353" max="4353" width="4.875" style="2963" customWidth="1"/>
    <col min="4354" max="4354" width="13.125" style="2963" customWidth="1"/>
    <col min="4355" max="4355" width="15.625" style="2963" customWidth="1"/>
    <col min="4356" max="4356" width="9.375" style="2963" bestFit="1" customWidth="1"/>
    <col min="4357" max="4357" width="13.5" style="2963" customWidth="1"/>
    <col min="4358" max="4358" width="8.875" style="2963"/>
    <col min="4359" max="4359" width="9.375" style="2963" bestFit="1" customWidth="1"/>
    <col min="4360" max="4361" width="8.875" style="2963"/>
    <col min="4362" max="4362" width="9.375" style="2963" bestFit="1" customWidth="1"/>
    <col min="4363" max="4363" width="4" style="2963" customWidth="1"/>
    <col min="4364" max="4364" width="5.125" style="2963" customWidth="1"/>
    <col min="4365" max="4365" width="13.625" style="2963" customWidth="1"/>
    <col min="4366" max="4608" width="8.875" style="2963"/>
    <col min="4609" max="4609" width="4.875" style="2963" customWidth="1"/>
    <col min="4610" max="4610" width="13.125" style="2963" customWidth="1"/>
    <col min="4611" max="4611" width="15.625" style="2963" customWidth="1"/>
    <col min="4612" max="4612" width="9.375" style="2963" bestFit="1" customWidth="1"/>
    <col min="4613" max="4613" width="13.5" style="2963" customWidth="1"/>
    <col min="4614" max="4614" width="8.875" style="2963"/>
    <col min="4615" max="4615" width="9.375" style="2963" bestFit="1" customWidth="1"/>
    <col min="4616" max="4617" width="8.875" style="2963"/>
    <col min="4618" max="4618" width="9.375" style="2963" bestFit="1" customWidth="1"/>
    <col min="4619" max="4619" width="4" style="2963" customWidth="1"/>
    <col min="4620" max="4620" width="5.125" style="2963" customWidth="1"/>
    <col min="4621" max="4621" width="13.625" style="2963" customWidth="1"/>
    <col min="4622" max="4864" width="8.875" style="2963"/>
    <col min="4865" max="4865" width="4.875" style="2963" customWidth="1"/>
    <col min="4866" max="4866" width="13.125" style="2963" customWidth="1"/>
    <col min="4867" max="4867" width="15.625" style="2963" customWidth="1"/>
    <col min="4868" max="4868" width="9.375" style="2963" bestFit="1" customWidth="1"/>
    <col min="4869" max="4869" width="13.5" style="2963" customWidth="1"/>
    <col min="4870" max="4870" width="8.875" style="2963"/>
    <col min="4871" max="4871" width="9.375" style="2963" bestFit="1" customWidth="1"/>
    <col min="4872" max="4873" width="8.875" style="2963"/>
    <col min="4874" max="4874" width="9.375" style="2963" bestFit="1" customWidth="1"/>
    <col min="4875" max="4875" width="4" style="2963" customWidth="1"/>
    <col min="4876" max="4876" width="5.125" style="2963" customWidth="1"/>
    <col min="4877" max="4877" width="13.625" style="2963" customWidth="1"/>
    <col min="4878" max="5120" width="8.875" style="2963"/>
    <col min="5121" max="5121" width="4.875" style="2963" customWidth="1"/>
    <col min="5122" max="5122" width="13.125" style="2963" customWidth="1"/>
    <col min="5123" max="5123" width="15.625" style="2963" customWidth="1"/>
    <col min="5124" max="5124" width="9.375" style="2963" bestFit="1" customWidth="1"/>
    <col min="5125" max="5125" width="13.5" style="2963" customWidth="1"/>
    <col min="5126" max="5126" width="8.875" style="2963"/>
    <col min="5127" max="5127" width="9.375" style="2963" bestFit="1" customWidth="1"/>
    <col min="5128" max="5129" width="8.875" style="2963"/>
    <col min="5130" max="5130" width="9.375" style="2963" bestFit="1" customWidth="1"/>
    <col min="5131" max="5131" width="4" style="2963" customWidth="1"/>
    <col min="5132" max="5132" width="5.125" style="2963" customWidth="1"/>
    <col min="5133" max="5133" width="13.625" style="2963" customWidth="1"/>
    <col min="5134" max="5376" width="8.875" style="2963"/>
    <col min="5377" max="5377" width="4.875" style="2963" customWidth="1"/>
    <col min="5378" max="5378" width="13.125" style="2963" customWidth="1"/>
    <col min="5379" max="5379" width="15.625" style="2963" customWidth="1"/>
    <col min="5380" max="5380" width="9.375" style="2963" bestFit="1" customWidth="1"/>
    <col min="5381" max="5381" width="13.5" style="2963" customWidth="1"/>
    <col min="5382" max="5382" width="8.875" style="2963"/>
    <col min="5383" max="5383" width="9.375" style="2963" bestFit="1" customWidth="1"/>
    <col min="5384" max="5385" width="8.875" style="2963"/>
    <col min="5386" max="5386" width="9.375" style="2963" bestFit="1" customWidth="1"/>
    <col min="5387" max="5387" width="4" style="2963" customWidth="1"/>
    <col min="5388" max="5388" width="5.125" style="2963" customWidth="1"/>
    <col min="5389" max="5389" width="13.625" style="2963" customWidth="1"/>
    <col min="5390" max="5632" width="8.875" style="2963"/>
    <col min="5633" max="5633" width="4.875" style="2963" customWidth="1"/>
    <col min="5634" max="5634" width="13.125" style="2963" customWidth="1"/>
    <col min="5635" max="5635" width="15.625" style="2963" customWidth="1"/>
    <col min="5636" max="5636" width="9.375" style="2963" bestFit="1" customWidth="1"/>
    <col min="5637" max="5637" width="13.5" style="2963" customWidth="1"/>
    <col min="5638" max="5638" width="8.875" style="2963"/>
    <col min="5639" max="5639" width="9.375" style="2963" bestFit="1" customWidth="1"/>
    <col min="5640" max="5641" width="8.875" style="2963"/>
    <col min="5642" max="5642" width="9.375" style="2963" bestFit="1" customWidth="1"/>
    <col min="5643" max="5643" width="4" style="2963" customWidth="1"/>
    <col min="5644" max="5644" width="5.125" style="2963" customWidth="1"/>
    <col min="5645" max="5645" width="13.625" style="2963" customWidth="1"/>
    <col min="5646" max="5888" width="8.875" style="2963"/>
    <col min="5889" max="5889" width="4.875" style="2963" customWidth="1"/>
    <col min="5890" max="5890" width="13.125" style="2963" customWidth="1"/>
    <col min="5891" max="5891" width="15.625" style="2963" customWidth="1"/>
    <col min="5892" max="5892" width="9.375" style="2963" bestFit="1" customWidth="1"/>
    <col min="5893" max="5893" width="13.5" style="2963" customWidth="1"/>
    <col min="5894" max="5894" width="8.875" style="2963"/>
    <col min="5895" max="5895" width="9.375" style="2963" bestFit="1" customWidth="1"/>
    <col min="5896" max="5897" width="8.875" style="2963"/>
    <col min="5898" max="5898" width="9.375" style="2963" bestFit="1" customWidth="1"/>
    <col min="5899" max="5899" width="4" style="2963" customWidth="1"/>
    <col min="5900" max="5900" width="5.125" style="2963" customWidth="1"/>
    <col min="5901" max="5901" width="13.625" style="2963" customWidth="1"/>
    <col min="5902" max="6144" width="8.875" style="2963"/>
    <col min="6145" max="6145" width="4.875" style="2963" customWidth="1"/>
    <col min="6146" max="6146" width="13.125" style="2963" customWidth="1"/>
    <col min="6147" max="6147" width="15.625" style="2963" customWidth="1"/>
    <col min="6148" max="6148" width="9.375" style="2963" bestFit="1" customWidth="1"/>
    <col min="6149" max="6149" width="13.5" style="2963" customWidth="1"/>
    <col min="6150" max="6150" width="8.875" style="2963"/>
    <col min="6151" max="6151" width="9.375" style="2963" bestFit="1" customWidth="1"/>
    <col min="6152" max="6153" width="8.875" style="2963"/>
    <col min="6154" max="6154" width="9.375" style="2963" bestFit="1" customWidth="1"/>
    <col min="6155" max="6155" width="4" style="2963" customWidth="1"/>
    <col min="6156" max="6156" width="5.125" style="2963" customWidth="1"/>
    <col min="6157" max="6157" width="13.625" style="2963" customWidth="1"/>
    <col min="6158" max="6400" width="8.875" style="2963"/>
    <col min="6401" max="6401" width="4.875" style="2963" customWidth="1"/>
    <col min="6402" max="6402" width="13.125" style="2963" customWidth="1"/>
    <col min="6403" max="6403" width="15.625" style="2963" customWidth="1"/>
    <col min="6404" max="6404" width="9.375" style="2963" bestFit="1" customWidth="1"/>
    <col min="6405" max="6405" width="13.5" style="2963" customWidth="1"/>
    <col min="6406" max="6406" width="8.875" style="2963"/>
    <col min="6407" max="6407" width="9.375" style="2963" bestFit="1" customWidth="1"/>
    <col min="6408" max="6409" width="8.875" style="2963"/>
    <col min="6410" max="6410" width="9.375" style="2963" bestFit="1" customWidth="1"/>
    <col min="6411" max="6411" width="4" style="2963" customWidth="1"/>
    <col min="6412" max="6412" width="5.125" style="2963" customWidth="1"/>
    <col min="6413" max="6413" width="13.625" style="2963" customWidth="1"/>
    <col min="6414" max="6656" width="8.875" style="2963"/>
    <col min="6657" max="6657" width="4.875" style="2963" customWidth="1"/>
    <col min="6658" max="6658" width="13.125" style="2963" customWidth="1"/>
    <col min="6659" max="6659" width="15.625" style="2963" customWidth="1"/>
    <col min="6660" max="6660" width="9.375" style="2963" bestFit="1" customWidth="1"/>
    <col min="6661" max="6661" width="13.5" style="2963" customWidth="1"/>
    <col min="6662" max="6662" width="8.875" style="2963"/>
    <col min="6663" max="6663" width="9.375" style="2963" bestFit="1" customWidth="1"/>
    <col min="6664" max="6665" width="8.875" style="2963"/>
    <col min="6666" max="6666" width="9.375" style="2963" bestFit="1" customWidth="1"/>
    <col min="6667" max="6667" width="4" style="2963" customWidth="1"/>
    <col min="6668" max="6668" width="5.125" style="2963" customWidth="1"/>
    <col min="6669" max="6669" width="13.625" style="2963" customWidth="1"/>
    <col min="6670" max="6912" width="8.875" style="2963"/>
    <col min="6913" max="6913" width="4.875" style="2963" customWidth="1"/>
    <col min="6914" max="6914" width="13.125" style="2963" customWidth="1"/>
    <col min="6915" max="6915" width="15.625" style="2963" customWidth="1"/>
    <col min="6916" max="6916" width="9.375" style="2963" bestFit="1" customWidth="1"/>
    <col min="6917" max="6917" width="13.5" style="2963" customWidth="1"/>
    <col min="6918" max="6918" width="8.875" style="2963"/>
    <col min="6919" max="6919" width="9.375" style="2963" bestFit="1" customWidth="1"/>
    <col min="6920" max="6921" width="8.875" style="2963"/>
    <col min="6922" max="6922" width="9.375" style="2963" bestFit="1" customWidth="1"/>
    <col min="6923" max="6923" width="4" style="2963" customWidth="1"/>
    <col min="6924" max="6924" width="5.125" style="2963" customWidth="1"/>
    <col min="6925" max="6925" width="13.625" style="2963" customWidth="1"/>
    <col min="6926" max="7168" width="8.875" style="2963"/>
    <col min="7169" max="7169" width="4.875" style="2963" customWidth="1"/>
    <col min="7170" max="7170" width="13.125" style="2963" customWidth="1"/>
    <col min="7171" max="7171" width="15.625" style="2963" customWidth="1"/>
    <col min="7172" max="7172" width="9.375" style="2963" bestFit="1" customWidth="1"/>
    <col min="7173" max="7173" width="13.5" style="2963" customWidth="1"/>
    <col min="7174" max="7174" width="8.875" style="2963"/>
    <col min="7175" max="7175" width="9.375" style="2963" bestFit="1" customWidth="1"/>
    <col min="7176" max="7177" width="8.875" style="2963"/>
    <col min="7178" max="7178" width="9.375" style="2963" bestFit="1" customWidth="1"/>
    <col min="7179" max="7179" width="4" style="2963" customWidth="1"/>
    <col min="7180" max="7180" width="5.125" style="2963" customWidth="1"/>
    <col min="7181" max="7181" width="13.625" style="2963" customWidth="1"/>
    <col min="7182" max="7424" width="8.875" style="2963"/>
    <col min="7425" max="7425" width="4.875" style="2963" customWidth="1"/>
    <col min="7426" max="7426" width="13.125" style="2963" customWidth="1"/>
    <col min="7427" max="7427" width="15.625" style="2963" customWidth="1"/>
    <col min="7428" max="7428" width="9.375" style="2963" bestFit="1" customWidth="1"/>
    <col min="7429" max="7429" width="13.5" style="2963" customWidth="1"/>
    <col min="7430" max="7430" width="8.875" style="2963"/>
    <col min="7431" max="7431" width="9.375" style="2963" bestFit="1" customWidth="1"/>
    <col min="7432" max="7433" width="8.875" style="2963"/>
    <col min="7434" max="7434" width="9.375" style="2963" bestFit="1" customWidth="1"/>
    <col min="7435" max="7435" width="4" style="2963" customWidth="1"/>
    <col min="7436" max="7436" width="5.125" style="2963" customWidth="1"/>
    <col min="7437" max="7437" width="13.625" style="2963" customWidth="1"/>
    <col min="7438" max="7680" width="8.875" style="2963"/>
    <col min="7681" max="7681" width="4.875" style="2963" customWidth="1"/>
    <col min="7682" max="7682" width="13.125" style="2963" customWidth="1"/>
    <col min="7683" max="7683" width="15.625" style="2963" customWidth="1"/>
    <col min="7684" max="7684" width="9.375" style="2963" bestFit="1" customWidth="1"/>
    <col min="7685" max="7685" width="13.5" style="2963" customWidth="1"/>
    <col min="7686" max="7686" width="8.875" style="2963"/>
    <col min="7687" max="7687" width="9.375" style="2963" bestFit="1" customWidth="1"/>
    <col min="7688" max="7689" width="8.875" style="2963"/>
    <col min="7690" max="7690" width="9.375" style="2963" bestFit="1" customWidth="1"/>
    <col min="7691" max="7691" width="4" style="2963" customWidth="1"/>
    <col min="7692" max="7692" width="5.125" style="2963" customWidth="1"/>
    <col min="7693" max="7693" width="13.625" style="2963" customWidth="1"/>
    <col min="7694" max="7936" width="8.875" style="2963"/>
    <col min="7937" max="7937" width="4.875" style="2963" customWidth="1"/>
    <col min="7938" max="7938" width="13.125" style="2963" customWidth="1"/>
    <col min="7939" max="7939" width="15.625" style="2963" customWidth="1"/>
    <col min="7940" max="7940" width="9.375" style="2963" bestFit="1" customWidth="1"/>
    <col min="7941" max="7941" width="13.5" style="2963" customWidth="1"/>
    <col min="7942" max="7942" width="8.875" style="2963"/>
    <col min="7943" max="7943" width="9.375" style="2963" bestFit="1" customWidth="1"/>
    <col min="7944" max="7945" width="8.875" style="2963"/>
    <col min="7946" max="7946" width="9.375" style="2963" bestFit="1" customWidth="1"/>
    <col min="7947" max="7947" width="4" style="2963" customWidth="1"/>
    <col min="7948" max="7948" width="5.125" style="2963" customWidth="1"/>
    <col min="7949" max="7949" width="13.625" style="2963" customWidth="1"/>
    <col min="7950" max="8192" width="8.875" style="2963"/>
    <col min="8193" max="8193" width="4.875" style="2963" customWidth="1"/>
    <col min="8194" max="8194" width="13.125" style="2963" customWidth="1"/>
    <col min="8195" max="8195" width="15.625" style="2963" customWidth="1"/>
    <col min="8196" max="8196" width="9.375" style="2963" bestFit="1" customWidth="1"/>
    <col min="8197" max="8197" width="13.5" style="2963" customWidth="1"/>
    <col min="8198" max="8198" width="8.875" style="2963"/>
    <col min="8199" max="8199" width="9.375" style="2963" bestFit="1" customWidth="1"/>
    <col min="8200" max="8201" width="8.875" style="2963"/>
    <col min="8202" max="8202" width="9.375" style="2963" bestFit="1" customWidth="1"/>
    <col min="8203" max="8203" width="4" style="2963" customWidth="1"/>
    <col min="8204" max="8204" width="5.125" style="2963" customWidth="1"/>
    <col min="8205" max="8205" width="13.625" style="2963" customWidth="1"/>
    <col min="8206" max="8448" width="8.875" style="2963"/>
    <col min="8449" max="8449" width="4.875" style="2963" customWidth="1"/>
    <col min="8450" max="8450" width="13.125" style="2963" customWidth="1"/>
    <col min="8451" max="8451" width="15.625" style="2963" customWidth="1"/>
    <col min="8452" max="8452" width="9.375" style="2963" bestFit="1" customWidth="1"/>
    <col min="8453" max="8453" width="13.5" style="2963" customWidth="1"/>
    <col min="8454" max="8454" width="8.875" style="2963"/>
    <col min="8455" max="8455" width="9.375" style="2963" bestFit="1" customWidth="1"/>
    <col min="8456" max="8457" width="8.875" style="2963"/>
    <col min="8458" max="8458" width="9.375" style="2963" bestFit="1" customWidth="1"/>
    <col min="8459" max="8459" width="4" style="2963" customWidth="1"/>
    <col min="8460" max="8460" width="5.125" style="2963" customWidth="1"/>
    <col min="8461" max="8461" width="13.625" style="2963" customWidth="1"/>
    <col min="8462" max="8704" width="8.875" style="2963"/>
    <col min="8705" max="8705" width="4.875" style="2963" customWidth="1"/>
    <col min="8706" max="8706" width="13.125" style="2963" customWidth="1"/>
    <col min="8707" max="8707" width="15.625" style="2963" customWidth="1"/>
    <col min="8708" max="8708" width="9.375" style="2963" bestFit="1" customWidth="1"/>
    <col min="8709" max="8709" width="13.5" style="2963" customWidth="1"/>
    <col min="8710" max="8710" width="8.875" style="2963"/>
    <col min="8711" max="8711" width="9.375" style="2963" bestFit="1" customWidth="1"/>
    <col min="8712" max="8713" width="8.875" style="2963"/>
    <col min="8714" max="8714" width="9.375" style="2963" bestFit="1" customWidth="1"/>
    <col min="8715" max="8715" width="4" style="2963" customWidth="1"/>
    <col min="8716" max="8716" width="5.125" style="2963" customWidth="1"/>
    <col min="8717" max="8717" width="13.625" style="2963" customWidth="1"/>
    <col min="8718" max="8960" width="8.875" style="2963"/>
    <col min="8961" max="8961" width="4.875" style="2963" customWidth="1"/>
    <col min="8962" max="8962" width="13.125" style="2963" customWidth="1"/>
    <col min="8963" max="8963" width="15.625" style="2963" customWidth="1"/>
    <col min="8964" max="8964" width="9.375" style="2963" bestFit="1" customWidth="1"/>
    <col min="8965" max="8965" width="13.5" style="2963" customWidth="1"/>
    <col min="8966" max="8966" width="8.875" style="2963"/>
    <col min="8967" max="8967" width="9.375" style="2963" bestFit="1" customWidth="1"/>
    <col min="8968" max="8969" width="8.875" style="2963"/>
    <col min="8970" max="8970" width="9.375" style="2963" bestFit="1" customWidth="1"/>
    <col min="8971" max="8971" width="4" style="2963" customWidth="1"/>
    <col min="8972" max="8972" width="5.125" style="2963" customWidth="1"/>
    <col min="8973" max="8973" width="13.625" style="2963" customWidth="1"/>
    <col min="8974" max="9216" width="8.875" style="2963"/>
    <col min="9217" max="9217" width="4.875" style="2963" customWidth="1"/>
    <col min="9218" max="9218" width="13.125" style="2963" customWidth="1"/>
    <col min="9219" max="9219" width="15.625" style="2963" customWidth="1"/>
    <col min="9220" max="9220" width="9.375" style="2963" bestFit="1" customWidth="1"/>
    <col min="9221" max="9221" width="13.5" style="2963" customWidth="1"/>
    <col min="9222" max="9222" width="8.875" style="2963"/>
    <col min="9223" max="9223" width="9.375" style="2963" bestFit="1" customWidth="1"/>
    <col min="9224" max="9225" width="8.875" style="2963"/>
    <col min="9226" max="9226" width="9.375" style="2963" bestFit="1" customWidth="1"/>
    <col min="9227" max="9227" width="4" style="2963" customWidth="1"/>
    <col min="9228" max="9228" width="5.125" style="2963" customWidth="1"/>
    <col min="9229" max="9229" width="13.625" style="2963" customWidth="1"/>
    <col min="9230" max="9472" width="8.875" style="2963"/>
    <col min="9473" max="9473" width="4.875" style="2963" customWidth="1"/>
    <col min="9474" max="9474" width="13.125" style="2963" customWidth="1"/>
    <col min="9475" max="9475" width="15.625" style="2963" customWidth="1"/>
    <col min="9476" max="9476" width="9.375" style="2963" bestFit="1" customWidth="1"/>
    <col min="9477" max="9477" width="13.5" style="2963" customWidth="1"/>
    <col min="9478" max="9478" width="8.875" style="2963"/>
    <col min="9479" max="9479" width="9.375" style="2963" bestFit="1" customWidth="1"/>
    <col min="9480" max="9481" width="8.875" style="2963"/>
    <col min="9482" max="9482" width="9.375" style="2963" bestFit="1" customWidth="1"/>
    <col min="9483" max="9483" width="4" style="2963" customWidth="1"/>
    <col min="9484" max="9484" width="5.125" style="2963" customWidth="1"/>
    <col min="9485" max="9485" width="13.625" style="2963" customWidth="1"/>
    <col min="9486" max="9728" width="8.875" style="2963"/>
    <col min="9729" max="9729" width="4.875" style="2963" customWidth="1"/>
    <col min="9730" max="9730" width="13.125" style="2963" customWidth="1"/>
    <col min="9731" max="9731" width="15.625" style="2963" customWidth="1"/>
    <col min="9732" max="9732" width="9.375" style="2963" bestFit="1" customWidth="1"/>
    <col min="9733" max="9733" width="13.5" style="2963" customWidth="1"/>
    <col min="9734" max="9734" width="8.875" style="2963"/>
    <col min="9735" max="9735" width="9.375" style="2963" bestFit="1" customWidth="1"/>
    <col min="9736" max="9737" width="8.875" style="2963"/>
    <col min="9738" max="9738" width="9.375" style="2963" bestFit="1" customWidth="1"/>
    <col min="9739" max="9739" width="4" style="2963" customWidth="1"/>
    <col min="9740" max="9740" width="5.125" style="2963" customWidth="1"/>
    <col min="9741" max="9741" width="13.625" style="2963" customWidth="1"/>
    <col min="9742" max="9984" width="8.875" style="2963"/>
    <col min="9985" max="9985" width="4.875" style="2963" customWidth="1"/>
    <col min="9986" max="9986" width="13.125" style="2963" customWidth="1"/>
    <col min="9987" max="9987" width="15.625" style="2963" customWidth="1"/>
    <col min="9988" max="9988" width="9.375" style="2963" bestFit="1" customWidth="1"/>
    <col min="9989" max="9989" width="13.5" style="2963" customWidth="1"/>
    <col min="9990" max="9990" width="8.875" style="2963"/>
    <col min="9991" max="9991" width="9.375" style="2963" bestFit="1" customWidth="1"/>
    <col min="9992" max="9993" width="8.875" style="2963"/>
    <col min="9994" max="9994" width="9.375" style="2963" bestFit="1" customWidth="1"/>
    <col min="9995" max="9995" width="4" style="2963" customWidth="1"/>
    <col min="9996" max="9996" width="5.125" style="2963" customWidth="1"/>
    <col min="9997" max="9997" width="13.625" style="2963" customWidth="1"/>
    <col min="9998" max="10240" width="8.875" style="2963"/>
    <col min="10241" max="10241" width="4.875" style="2963" customWidth="1"/>
    <col min="10242" max="10242" width="13.125" style="2963" customWidth="1"/>
    <col min="10243" max="10243" width="15.625" style="2963" customWidth="1"/>
    <col min="10244" max="10244" width="9.375" style="2963" bestFit="1" customWidth="1"/>
    <col min="10245" max="10245" width="13.5" style="2963" customWidth="1"/>
    <col min="10246" max="10246" width="8.875" style="2963"/>
    <col min="10247" max="10247" width="9.375" style="2963" bestFit="1" customWidth="1"/>
    <col min="10248" max="10249" width="8.875" style="2963"/>
    <col min="10250" max="10250" width="9.375" style="2963" bestFit="1" customWidth="1"/>
    <col min="10251" max="10251" width="4" style="2963" customWidth="1"/>
    <col min="10252" max="10252" width="5.125" style="2963" customWidth="1"/>
    <col min="10253" max="10253" width="13.625" style="2963" customWidth="1"/>
    <col min="10254" max="10496" width="8.875" style="2963"/>
    <col min="10497" max="10497" width="4.875" style="2963" customWidth="1"/>
    <col min="10498" max="10498" width="13.125" style="2963" customWidth="1"/>
    <col min="10499" max="10499" width="15.625" style="2963" customWidth="1"/>
    <col min="10500" max="10500" width="9.375" style="2963" bestFit="1" customWidth="1"/>
    <col min="10501" max="10501" width="13.5" style="2963" customWidth="1"/>
    <col min="10502" max="10502" width="8.875" style="2963"/>
    <col min="10503" max="10503" width="9.375" style="2963" bestFit="1" customWidth="1"/>
    <col min="10504" max="10505" width="8.875" style="2963"/>
    <col min="10506" max="10506" width="9.375" style="2963" bestFit="1" customWidth="1"/>
    <col min="10507" max="10507" width="4" style="2963" customWidth="1"/>
    <col min="10508" max="10508" width="5.125" style="2963" customWidth="1"/>
    <col min="10509" max="10509" width="13.625" style="2963" customWidth="1"/>
    <col min="10510" max="10752" width="8.875" style="2963"/>
    <col min="10753" max="10753" width="4.875" style="2963" customWidth="1"/>
    <col min="10754" max="10754" width="13.125" style="2963" customWidth="1"/>
    <col min="10755" max="10755" width="15.625" style="2963" customWidth="1"/>
    <col min="10756" max="10756" width="9.375" style="2963" bestFit="1" customWidth="1"/>
    <col min="10757" max="10757" width="13.5" style="2963" customWidth="1"/>
    <col min="10758" max="10758" width="8.875" style="2963"/>
    <col min="10759" max="10759" width="9.375" style="2963" bestFit="1" customWidth="1"/>
    <col min="10760" max="10761" width="8.875" style="2963"/>
    <col min="10762" max="10762" width="9.375" style="2963" bestFit="1" customWidth="1"/>
    <col min="10763" max="10763" width="4" style="2963" customWidth="1"/>
    <col min="10764" max="10764" width="5.125" style="2963" customWidth="1"/>
    <col min="10765" max="10765" width="13.625" style="2963" customWidth="1"/>
    <col min="10766" max="11008" width="8.875" style="2963"/>
    <col min="11009" max="11009" width="4.875" style="2963" customWidth="1"/>
    <col min="11010" max="11010" width="13.125" style="2963" customWidth="1"/>
    <col min="11011" max="11011" width="15.625" style="2963" customWidth="1"/>
    <col min="11012" max="11012" width="9.375" style="2963" bestFit="1" customWidth="1"/>
    <col min="11013" max="11013" width="13.5" style="2963" customWidth="1"/>
    <col min="11014" max="11014" width="8.875" style="2963"/>
    <col min="11015" max="11015" width="9.375" style="2963" bestFit="1" customWidth="1"/>
    <col min="11016" max="11017" width="8.875" style="2963"/>
    <col min="11018" max="11018" width="9.375" style="2963" bestFit="1" customWidth="1"/>
    <col min="11019" max="11019" width="4" style="2963" customWidth="1"/>
    <col min="11020" max="11020" width="5.125" style="2963" customWidth="1"/>
    <col min="11021" max="11021" width="13.625" style="2963" customWidth="1"/>
    <col min="11022" max="11264" width="8.875" style="2963"/>
    <col min="11265" max="11265" width="4.875" style="2963" customWidth="1"/>
    <col min="11266" max="11266" width="13.125" style="2963" customWidth="1"/>
    <col min="11267" max="11267" width="15.625" style="2963" customWidth="1"/>
    <col min="11268" max="11268" width="9.375" style="2963" bestFit="1" customWidth="1"/>
    <col min="11269" max="11269" width="13.5" style="2963" customWidth="1"/>
    <col min="11270" max="11270" width="8.875" style="2963"/>
    <col min="11271" max="11271" width="9.375" style="2963" bestFit="1" customWidth="1"/>
    <col min="11272" max="11273" width="8.875" style="2963"/>
    <col min="11274" max="11274" width="9.375" style="2963" bestFit="1" customWidth="1"/>
    <col min="11275" max="11275" width="4" style="2963" customWidth="1"/>
    <col min="11276" max="11276" width="5.125" style="2963" customWidth="1"/>
    <col min="11277" max="11277" width="13.625" style="2963" customWidth="1"/>
    <col min="11278" max="11520" width="8.875" style="2963"/>
    <col min="11521" max="11521" width="4.875" style="2963" customWidth="1"/>
    <col min="11522" max="11522" width="13.125" style="2963" customWidth="1"/>
    <col min="11523" max="11523" width="15.625" style="2963" customWidth="1"/>
    <col min="11524" max="11524" width="9.375" style="2963" bestFit="1" customWidth="1"/>
    <col min="11525" max="11525" width="13.5" style="2963" customWidth="1"/>
    <col min="11526" max="11526" width="8.875" style="2963"/>
    <col min="11527" max="11527" width="9.375" style="2963" bestFit="1" customWidth="1"/>
    <col min="11528" max="11529" width="8.875" style="2963"/>
    <col min="11530" max="11530" width="9.375" style="2963" bestFit="1" customWidth="1"/>
    <col min="11531" max="11531" width="4" style="2963" customWidth="1"/>
    <col min="11532" max="11532" width="5.125" style="2963" customWidth="1"/>
    <col min="11533" max="11533" width="13.625" style="2963" customWidth="1"/>
    <col min="11534" max="11776" width="8.875" style="2963"/>
    <col min="11777" max="11777" width="4.875" style="2963" customWidth="1"/>
    <col min="11778" max="11778" width="13.125" style="2963" customWidth="1"/>
    <col min="11779" max="11779" width="15.625" style="2963" customWidth="1"/>
    <col min="11780" max="11780" width="9.375" style="2963" bestFit="1" customWidth="1"/>
    <col min="11781" max="11781" width="13.5" style="2963" customWidth="1"/>
    <col min="11782" max="11782" width="8.875" style="2963"/>
    <col min="11783" max="11783" width="9.375" style="2963" bestFit="1" customWidth="1"/>
    <col min="11784" max="11785" width="8.875" style="2963"/>
    <col min="11786" max="11786" width="9.375" style="2963" bestFit="1" customWidth="1"/>
    <col min="11787" max="11787" width="4" style="2963" customWidth="1"/>
    <col min="11788" max="11788" width="5.125" style="2963" customWidth="1"/>
    <col min="11789" max="11789" width="13.625" style="2963" customWidth="1"/>
    <col min="11790" max="12032" width="8.875" style="2963"/>
    <col min="12033" max="12033" width="4.875" style="2963" customWidth="1"/>
    <col min="12034" max="12034" width="13.125" style="2963" customWidth="1"/>
    <col min="12035" max="12035" width="15.625" style="2963" customWidth="1"/>
    <col min="12036" max="12036" width="9.375" style="2963" bestFit="1" customWidth="1"/>
    <col min="12037" max="12037" width="13.5" style="2963" customWidth="1"/>
    <col min="12038" max="12038" width="8.875" style="2963"/>
    <col min="12039" max="12039" width="9.375" style="2963" bestFit="1" customWidth="1"/>
    <col min="12040" max="12041" width="8.875" style="2963"/>
    <col min="12042" max="12042" width="9.375" style="2963" bestFit="1" customWidth="1"/>
    <col min="12043" max="12043" width="4" style="2963" customWidth="1"/>
    <col min="12044" max="12044" width="5.125" style="2963" customWidth="1"/>
    <col min="12045" max="12045" width="13.625" style="2963" customWidth="1"/>
    <col min="12046" max="12288" width="8.875" style="2963"/>
    <col min="12289" max="12289" width="4.875" style="2963" customWidth="1"/>
    <col min="12290" max="12290" width="13.125" style="2963" customWidth="1"/>
    <col min="12291" max="12291" width="15.625" style="2963" customWidth="1"/>
    <col min="12292" max="12292" width="9.375" style="2963" bestFit="1" customWidth="1"/>
    <col min="12293" max="12293" width="13.5" style="2963" customWidth="1"/>
    <col min="12294" max="12294" width="8.875" style="2963"/>
    <col min="12295" max="12295" width="9.375" style="2963" bestFit="1" customWidth="1"/>
    <col min="12296" max="12297" width="8.875" style="2963"/>
    <col min="12298" max="12298" width="9.375" style="2963" bestFit="1" customWidth="1"/>
    <col min="12299" max="12299" width="4" style="2963" customWidth="1"/>
    <col min="12300" max="12300" width="5.125" style="2963" customWidth="1"/>
    <col min="12301" max="12301" width="13.625" style="2963" customWidth="1"/>
    <col min="12302" max="12544" width="8.875" style="2963"/>
    <col min="12545" max="12545" width="4.875" style="2963" customWidth="1"/>
    <col min="12546" max="12546" width="13.125" style="2963" customWidth="1"/>
    <col min="12547" max="12547" width="15.625" style="2963" customWidth="1"/>
    <col min="12548" max="12548" width="9.375" style="2963" bestFit="1" customWidth="1"/>
    <col min="12549" max="12549" width="13.5" style="2963" customWidth="1"/>
    <col min="12550" max="12550" width="8.875" style="2963"/>
    <col min="12551" max="12551" width="9.375" style="2963" bestFit="1" customWidth="1"/>
    <col min="12552" max="12553" width="8.875" style="2963"/>
    <col min="12554" max="12554" width="9.375" style="2963" bestFit="1" customWidth="1"/>
    <col min="12555" max="12555" width="4" style="2963" customWidth="1"/>
    <col min="12556" max="12556" width="5.125" style="2963" customWidth="1"/>
    <col min="12557" max="12557" width="13.625" style="2963" customWidth="1"/>
    <col min="12558" max="12800" width="8.875" style="2963"/>
    <col min="12801" max="12801" width="4.875" style="2963" customWidth="1"/>
    <col min="12802" max="12802" width="13.125" style="2963" customWidth="1"/>
    <col min="12803" max="12803" width="15.625" style="2963" customWidth="1"/>
    <col min="12804" max="12804" width="9.375" style="2963" bestFit="1" customWidth="1"/>
    <col min="12805" max="12805" width="13.5" style="2963" customWidth="1"/>
    <col min="12806" max="12806" width="8.875" style="2963"/>
    <col min="12807" max="12807" width="9.375" style="2963" bestFit="1" customWidth="1"/>
    <col min="12808" max="12809" width="8.875" style="2963"/>
    <col min="12810" max="12810" width="9.375" style="2963" bestFit="1" customWidth="1"/>
    <col min="12811" max="12811" width="4" style="2963" customWidth="1"/>
    <col min="12812" max="12812" width="5.125" style="2963" customWidth="1"/>
    <col min="12813" max="12813" width="13.625" style="2963" customWidth="1"/>
    <col min="12814" max="13056" width="8.875" style="2963"/>
    <col min="13057" max="13057" width="4.875" style="2963" customWidth="1"/>
    <col min="13058" max="13058" width="13.125" style="2963" customWidth="1"/>
    <col min="13059" max="13059" width="15.625" style="2963" customWidth="1"/>
    <col min="13060" max="13060" width="9.375" style="2963" bestFit="1" customWidth="1"/>
    <col min="13061" max="13061" width="13.5" style="2963" customWidth="1"/>
    <col min="13062" max="13062" width="8.875" style="2963"/>
    <col min="13063" max="13063" width="9.375" style="2963" bestFit="1" customWidth="1"/>
    <col min="13064" max="13065" width="8.875" style="2963"/>
    <col min="13066" max="13066" width="9.375" style="2963" bestFit="1" customWidth="1"/>
    <col min="13067" max="13067" width="4" style="2963" customWidth="1"/>
    <col min="13068" max="13068" width="5.125" style="2963" customWidth="1"/>
    <col min="13069" max="13069" width="13.625" style="2963" customWidth="1"/>
    <col min="13070" max="13312" width="8.875" style="2963"/>
    <col min="13313" max="13313" width="4.875" style="2963" customWidth="1"/>
    <col min="13314" max="13314" width="13.125" style="2963" customWidth="1"/>
    <col min="13315" max="13315" width="15.625" style="2963" customWidth="1"/>
    <col min="13316" max="13316" width="9.375" style="2963" bestFit="1" customWidth="1"/>
    <col min="13317" max="13317" width="13.5" style="2963" customWidth="1"/>
    <col min="13318" max="13318" width="8.875" style="2963"/>
    <col min="13319" max="13319" width="9.375" style="2963" bestFit="1" customWidth="1"/>
    <col min="13320" max="13321" width="8.875" style="2963"/>
    <col min="13322" max="13322" width="9.375" style="2963" bestFit="1" customWidth="1"/>
    <col min="13323" max="13323" width="4" style="2963" customWidth="1"/>
    <col min="13324" max="13324" width="5.125" style="2963" customWidth="1"/>
    <col min="13325" max="13325" width="13.625" style="2963" customWidth="1"/>
    <col min="13326" max="13568" width="8.875" style="2963"/>
    <col min="13569" max="13569" width="4.875" style="2963" customWidth="1"/>
    <col min="13570" max="13570" width="13.125" style="2963" customWidth="1"/>
    <col min="13571" max="13571" width="15.625" style="2963" customWidth="1"/>
    <col min="13572" max="13572" width="9.375" style="2963" bestFit="1" customWidth="1"/>
    <col min="13573" max="13573" width="13.5" style="2963" customWidth="1"/>
    <col min="13574" max="13574" width="8.875" style="2963"/>
    <col min="13575" max="13575" width="9.375" style="2963" bestFit="1" customWidth="1"/>
    <col min="13576" max="13577" width="8.875" style="2963"/>
    <col min="13578" max="13578" width="9.375" style="2963" bestFit="1" customWidth="1"/>
    <col min="13579" max="13579" width="4" style="2963" customWidth="1"/>
    <col min="13580" max="13580" width="5.125" style="2963" customWidth="1"/>
    <col min="13581" max="13581" width="13.625" style="2963" customWidth="1"/>
    <col min="13582" max="13824" width="8.875" style="2963"/>
    <col min="13825" max="13825" width="4.875" style="2963" customWidth="1"/>
    <col min="13826" max="13826" width="13.125" style="2963" customWidth="1"/>
    <col min="13827" max="13827" width="15.625" style="2963" customWidth="1"/>
    <col min="13828" max="13828" width="9.375" style="2963" bestFit="1" customWidth="1"/>
    <col min="13829" max="13829" width="13.5" style="2963" customWidth="1"/>
    <col min="13830" max="13830" width="8.875" style="2963"/>
    <col min="13831" max="13831" width="9.375" style="2963" bestFit="1" customWidth="1"/>
    <col min="13832" max="13833" width="8.875" style="2963"/>
    <col min="13834" max="13834" width="9.375" style="2963" bestFit="1" customWidth="1"/>
    <col min="13835" max="13835" width="4" style="2963" customWidth="1"/>
    <col min="13836" max="13836" width="5.125" style="2963" customWidth="1"/>
    <col min="13837" max="13837" width="13.625" style="2963" customWidth="1"/>
    <col min="13838" max="14080" width="8.875" style="2963"/>
    <col min="14081" max="14081" width="4.875" style="2963" customWidth="1"/>
    <col min="14082" max="14082" width="13.125" style="2963" customWidth="1"/>
    <col min="14083" max="14083" width="15.625" style="2963" customWidth="1"/>
    <col min="14084" max="14084" width="9.375" style="2963" bestFit="1" customWidth="1"/>
    <col min="14085" max="14085" width="13.5" style="2963" customWidth="1"/>
    <col min="14086" max="14086" width="8.875" style="2963"/>
    <col min="14087" max="14087" width="9.375" style="2963" bestFit="1" customWidth="1"/>
    <col min="14088" max="14089" width="8.875" style="2963"/>
    <col min="14090" max="14090" width="9.375" style="2963" bestFit="1" customWidth="1"/>
    <col min="14091" max="14091" width="4" style="2963" customWidth="1"/>
    <col min="14092" max="14092" width="5.125" style="2963" customWidth="1"/>
    <col min="14093" max="14093" width="13.625" style="2963" customWidth="1"/>
    <col min="14094" max="14336" width="8.875" style="2963"/>
    <col min="14337" max="14337" width="4.875" style="2963" customWidth="1"/>
    <col min="14338" max="14338" width="13.125" style="2963" customWidth="1"/>
    <col min="14339" max="14339" width="15.625" style="2963" customWidth="1"/>
    <col min="14340" max="14340" width="9.375" style="2963" bestFit="1" customWidth="1"/>
    <col min="14341" max="14341" width="13.5" style="2963" customWidth="1"/>
    <col min="14342" max="14342" width="8.875" style="2963"/>
    <col min="14343" max="14343" width="9.375" style="2963" bestFit="1" customWidth="1"/>
    <col min="14344" max="14345" width="8.875" style="2963"/>
    <col min="14346" max="14346" width="9.375" style="2963" bestFit="1" customWidth="1"/>
    <col min="14347" max="14347" width="4" style="2963" customWidth="1"/>
    <col min="14348" max="14348" width="5.125" style="2963" customWidth="1"/>
    <col min="14349" max="14349" width="13.625" style="2963" customWidth="1"/>
    <col min="14350" max="14592" width="8.875" style="2963"/>
    <col min="14593" max="14593" width="4.875" style="2963" customWidth="1"/>
    <col min="14594" max="14594" width="13.125" style="2963" customWidth="1"/>
    <col min="14595" max="14595" width="15.625" style="2963" customWidth="1"/>
    <col min="14596" max="14596" width="9.375" style="2963" bestFit="1" customWidth="1"/>
    <col min="14597" max="14597" width="13.5" style="2963" customWidth="1"/>
    <col min="14598" max="14598" width="8.875" style="2963"/>
    <col min="14599" max="14599" width="9.375" style="2963" bestFit="1" customWidth="1"/>
    <col min="14600" max="14601" width="8.875" style="2963"/>
    <col min="14602" max="14602" width="9.375" style="2963" bestFit="1" customWidth="1"/>
    <col min="14603" max="14603" width="4" style="2963" customWidth="1"/>
    <col min="14604" max="14604" width="5.125" style="2963" customWidth="1"/>
    <col min="14605" max="14605" width="13.625" style="2963" customWidth="1"/>
    <col min="14606" max="14848" width="8.875" style="2963"/>
    <col min="14849" max="14849" width="4.875" style="2963" customWidth="1"/>
    <col min="14850" max="14850" width="13.125" style="2963" customWidth="1"/>
    <col min="14851" max="14851" width="15.625" style="2963" customWidth="1"/>
    <col min="14852" max="14852" width="9.375" style="2963" bestFit="1" customWidth="1"/>
    <col min="14853" max="14853" width="13.5" style="2963" customWidth="1"/>
    <col min="14854" max="14854" width="8.875" style="2963"/>
    <col min="14855" max="14855" width="9.375" style="2963" bestFit="1" customWidth="1"/>
    <col min="14856" max="14857" width="8.875" style="2963"/>
    <col min="14858" max="14858" width="9.375" style="2963" bestFit="1" customWidth="1"/>
    <col min="14859" max="14859" width="4" style="2963" customWidth="1"/>
    <col min="14860" max="14860" width="5.125" style="2963" customWidth="1"/>
    <col min="14861" max="14861" width="13.625" style="2963" customWidth="1"/>
    <col min="14862" max="15104" width="8.875" style="2963"/>
    <col min="15105" max="15105" width="4.875" style="2963" customWidth="1"/>
    <col min="15106" max="15106" width="13.125" style="2963" customWidth="1"/>
    <col min="15107" max="15107" width="15.625" style="2963" customWidth="1"/>
    <col min="15108" max="15108" width="9.375" style="2963" bestFit="1" customWidth="1"/>
    <col min="15109" max="15109" width="13.5" style="2963" customWidth="1"/>
    <col min="15110" max="15110" width="8.875" style="2963"/>
    <col min="15111" max="15111" width="9.375" style="2963" bestFit="1" customWidth="1"/>
    <col min="15112" max="15113" width="8.875" style="2963"/>
    <col min="15114" max="15114" width="9.375" style="2963" bestFit="1" customWidth="1"/>
    <col min="15115" max="15115" width="4" style="2963" customWidth="1"/>
    <col min="15116" max="15116" width="5.125" style="2963" customWidth="1"/>
    <col min="15117" max="15117" width="13.625" style="2963" customWidth="1"/>
    <col min="15118" max="15360" width="8.875" style="2963"/>
    <col min="15361" max="15361" width="4.875" style="2963" customWidth="1"/>
    <col min="15362" max="15362" width="13.125" style="2963" customWidth="1"/>
    <col min="15363" max="15363" width="15.625" style="2963" customWidth="1"/>
    <col min="15364" max="15364" width="9.375" style="2963" bestFit="1" customWidth="1"/>
    <col min="15365" max="15365" width="13.5" style="2963" customWidth="1"/>
    <col min="15366" max="15366" width="8.875" style="2963"/>
    <col min="15367" max="15367" width="9.375" style="2963" bestFit="1" customWidth="1"/>
    <col min="15368" max="15369" width="8.875" style="2963"/>
    <col min="15370" max="15370" width="9.375" style="2963" bestFit="1" customWidth="1"/>
    <col min="15371" max="15371" width="4" style="2963" customWidth="1"/>
    <col min="15372" max="15372" width="5.125" style="2963" customWidth="1"/>
    <col min="15373" max="15373" width="13.625" style="2963" customWidth="1"/>
    <col min="15374" max="15616" width="8.875" style="2963"/>
    <col min="15617" max="15617" width="4.875" style="2963" customWidth="1"/>
    <col min="15618" max="15618" width="13.125" style="2963" customWidth="1"/>
    <col min="15619" max="15619" width="15.625" style="2963" customWidth="1"/>
    <col min="15620" max="15620" width="9.375" style="2963" bestFit="1" customWidth="1"/>
    <col min="15621" max="15621" width="13.5" style="2963" customWidth="1"/>
    <col min="15622" max="15622" width="8.875" style="2963"/>
    <col min="15623" max="15623" width="9.375" style="2963" bestFit="1" customWidth="1"/>
    <col min="15624" max="15625" width="8.875" style="2963"/>
    <col min="15626" max="15626" width="9.375" style="2963" bestFit="1" customWidth="1"/>
    <col min="15627" max="15627" width="4" style="2963" customWidth="1"/>
    <col min="15628" max="15628" width="5.125" style="2963" customWidth="1"/>
    <col min="15629" max="15629" width="13.625" style="2963" customWidth="1"/>
    <col min="15630" max="15872" width="8.875" style="2963"/>
    <col min="15873" max="15873" width="4.875" style="2963" customWidth="1"/>
    <col min="15874" max="15874" width="13.125" style="2963" customWidth="1"/>
    <col min="15875" max="15875" width="15.625" style="2963" customWidth="1"/>
    <col min="15876" max="15876" width="9.375" style="2963" bestFit="1" customWidth="1"/>
    <col min="15877" max="15877" width="13.5" style="2963" customWidth="1"/>
    <col min="15878" max="15878" width="8.875" style="2963"/>
    <col min="15879" max="15879" width="9.375" style="2963" bestFit="1" customWidth="1"/>
    <col min="15880" max="15881" width="8.875" style="2963"/>
    <col min="15882" max="15882" width="9.375" style="2963" bestFit="1" customWidth="1"/>
    <col min="15883" max="15883" width="4" style="2963" customWidth="1"/>
    <col min="15884" max="15884" width="5.125" style="2963" customWidth="1"/>
    <col min="15885" max="15885" width="13.625" style="2963" customWidth="1"/>
    <col min="15886" max="16128" width="8.875" style="2963"/>
    <col min="16129" max="16129" width="4.875" style="2963" customWidth="1"/>
    <col min="16130" max="16130" width="13.125" style="2963" customWidth="1"/>
    <col min="16131" max="16131" width="15.625" style="2963" customWidth="1"/>
    <col min="16132" max="16132" width="9.375" style="2963" bestFit="1" customWidth="1"/>
    <col min="16133" max="16133" width="13.5" style="2963" customWidth="1"/>
    <col min="16134" max="16134" width="8.875" style="2963"/>
    <col min="16135" max="16135" width="9.375" style="2963" bestFit="1" customWidth="1"/>
    <col min="16136" max="16137" width="8.875" style="2963"/>
    <col min="16138" max="16138" width="9.375" style="2963" bestFit="1" customWidth="1"/>
    <col min="16139" max="16139" width="4" style="2963" customWidth="1"/>
    <col min="16140" max="16140" width="5.125" style="2963" customWidth="1"/>
    <col min="16141" max="16141" width="13.625" style="2963" customWidth="1"/>
    <col min="16142" max="16384" width="8.875" style="2963"/>
  </cols>
  <sheetData>
    <row r="1" spans="1:257" s="3023" customFormat="1" ht="14.25" thickBot="1">
      <c r="A1" s="3022"/>
      <c r="B1" s="3024" t="s">
        <v>2786</v>
      </c>
      <c r="C1" s="3028">
        <f>项目基本情况!D3</f>
        <v>43438</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2817</v>
      </c>
      <c r="C2" s="3029">
        <f>'数据-取费表'!B22</f>
        <v>1.5</v>
      </c>
      <c r="D2" s="3024" t="s">
        <v>2787</v>
      </c>
      <c r="E2" s="3027">
        <f ca="1">INDIRECT("I"&amp;$I$1)/100</f>
        <v>4.7500000000000001E-2</v>
      </c>
      <c r="G2" s="2964"/>
      <c r="H2" s="2964"/>
      <c r="I2" s="2964" t="s">
        <v>2788</v>
      </c>
      <c r="K2" s="2964"/>
      <c r="L2" s="2964"/>
      <c r="M2" s="2964"/>
      <c r="N2" s="2964" t="s">
        <v>2789</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2819</v>
      </c>
      <c r="C3" s="3026">
        <f>'数据-取费表'!B19</f>
        <v>0</v>
      </c>
      <c r="D3" s="3024" t="s">
        <v>2787</v>
      </c>
      <c r="E3" s="3027">
        <f ca="1">INDIRECT("J"&amp;$J$1)/100</f>
        <v>0</v>
      </c>
      <c r="G3" s="2966" t="s">
        <v>2790</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2818</v>
      </c>
      <c r="C4" s="3027">
        <f ca="1">N4/100</f>
        <v>1.4999999999999999E-2</v>
      </c>
      <c r="G4" s="2972" t="s">
        <v>2791</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2792</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2793</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2794</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2795</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2796</v>
      </c>
      <c r="C10" s="2991"/>
      <c r="D10" s="2991"/>
      <c r="E10" s="2991"/>
      <c r="F10" s="2991"/>
      <c r="G10" s="2991"/>
      <c r="H10" s="2991"/>
      <c r="I10" s="2965"/>
      <c r="J10" s="2965"/>
      <c r="K10" s="2991"/>
      <c r="L10" s="2992" t="s">
        <v>2797</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2798</v>
      </c>
      <c r="C11" s="2996" t="s">
        <v>2799</v>
      </c>
      <c r="D11" s="2997" t="s">
        <v>2800</v>
      </c>
      <c r="E11" s="2998"/>
      <c r="F11" s="2997" t="s">
        <v>2801</v>
      </c>
      <c r="G11" s="2999"/>
      <c r="H11" s="2998"/>
      <c r="I11" s="2997" t="s">
        <v>2802</v>
      </c>
      <c r="J11" s="2998"/>
      <c r="K11" s="2994"/>
      <c r="L11" s="2995" t="s">
        <v>2798</v>
      </c>
      <c r="M11" s="2996" t="s">
        <v>2799</v>
      </c>
      <c r="N11" s="2995" t="s">
        <v>2803</v>
      </c>
      <c r="O11" s="2997" t="s">
        <v>2804</v>
      </c>
      <c r="P11" s="2999"/>
      <c r="Q11" s="2999"/>
      <c r="R11" s="2999"/>
      <c r="S11" s="2999"/>
      <c r="T11" s="2998"/>
      <c r="U11" s="2997" t="s">
        <v>2805</v>
      </c>
      <c r="V11" s="2999"/>
      <c r="W11" s="2998"/>
      <c r="X11" s="2995" t="s">
        <v>2806</v>
      </c>
      <c r="Y11" s="2995" t="s">
        <v>2807</v>
      </c>
      <c r="Z11" s="2995" t="s">
        <v>2808</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2809</v>
      </c>
      <c r="E12" s="3004" t="s">
        <v>2810</v>
      </c>
      <c r="F12" s="3004" t="s">
        <v>2811</v>
      </c>
      <c r="G12" s="3004" t="s">
        <v>2812</v>
      </c>
      <c r="H12" s="3004" t="s">
        <v>2794</v>
      </c>
      <c r="I12" s="3005" t="s">
        <v>2813</v>
      </c>
      <c r="J12" s="3005" t="s">
        <v>2813</v>
      </c>
      <c r="K12" s="3001"/>
      <c r="L12" s="3002"/>
      <c r="M12" s="3003"/>
      <c r="N12" s="3002"/>
      <c r="O12" s="3005" t="s">
        <v>2814</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2815</v>
      </c>
      <c r="C13" s="3009">
        <v>42301</v>
      </c>
      <c r="D13" s="3010">
        <v>4.3499999999999996</v>
      </c>
      <c r="E13" s="3010">
        <v>4.3499999999999996</v>
      </c>
      <c r="F13" s="3010">
        <v>4.75</v>
      </c>
      <c r="G13" s="3010">
        <v>4.75</v>
      </c>
      <c r="H13" s="3010">
        <v>4.9000000000000004</v>
      </c>
      <c r="I13" s="3010">
        <v>2.75</v>
      </c>
      <c r="J13" s="3010">
        <v>3.25</v>
      </c>
      <c r="K13" s="3007"/>
      <c r="L13" s="3008" t="s">
        <v>2815</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2816</v>
      </c>
      <c r="Y42" s="3014" t="s">
        <v>2816</v>
      </c>
      <c r="Z42" s="3014" t="s">
        <v>2816</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2816</v>
      </c>
      <c r="Y43" s="3014" t="s">
        <v>2816</v>
      </c>
      <c r="Z43" s="3014" t="s">
        <v>2816</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2816</v>
      </c>
      <c r="Y44" s="3014" t="s">
        <v>2816</v>
      </c>
      <c r="Z44" s="3014" t="s">
        <v>2816</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2816</v>
      </c>
      <c r="Y45" s="3014" t="s">
        <v>2816</v>
      </c>
      <c r="Z45" s="3014" t="s">
        <v>2816</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2816</v>
      </c>
      <c r="Y46" s="3014" t="s">
        <v>2816</v>
      </c>
      <c r="Z46" s="3014" t="s">
        <v>2816</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2816</v>
      </c>
      <c r="Y47" s="3014" t="s">
        <v>2816</v>
      </c>
      <c r="Z47" s="3014" t="s">
        <v>2816</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2816</v>
      </c>
      <c r="Y48" s="3014" t="s">
        <v>2816</v>
      </c>
      <c r="Z48" s="3014" t="s">
        <v>2816</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2816</v>
      </c>
      <c r="Y49" s="3014" t="s">
        <v>2816</v>
      </c>
      <c r="Z49" s="3014" t="s">
        <v>2816</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2816</v>
      </c>
      <c r="Y50" s="3014" t="s">
        <v>2816</v>
      </c>
      <c r="Z50" s="3014" t="s">
        <v>2816</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2816</v>
      </c>
      <c r="V51" s="3014" t="s">
        <v>2816</v>
      </c>
      <c r="W51" s="3014" t="s">
        <v>2816</v>
      </c>
      <c r="X51" s="3014" t="s">
        <v>2816</v>
      </c>
      <c r="Y51" s="3014" t="s">
        <v>2816</v>
      </c>
      <c r="Z51" s="3014" t="s">
        <v>2816</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2816</v>
      </c>
      <c r="J55" s="3014" t="s">
        <v>2816</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A13" zoomScale="80" zoomScaleNormal="80" zoomScalePageLayoutView="80" workbookViewId="0">
      <selection activeCell="K31" sqref="K31"/>
    </sheetView>
  </sheetViews>
  <sheetFormatPr defaultColWidth="8.875" defaultRowHeight="15"/>
  <cols>
    <col min="1" max="1" width="9" style="2060" customWidth="1"/>
    <col min="2" max="2" width="20.625" style="2099" customWidth="1"/>
    <col min="3" max="3" width="11.875" style="2099" customWidth="1"/>
    <col min="4" max="4" width="40.5" style="2060" customWidth="1"/>
    <col min="5" max="5" width="15.625" style="2060" customWidth="1"/>
    <col min="6" max="6" width="10.625" style="2060" customWidth="1"/>
    <col min="7" max="7" width="4.875" style="2060" customWidth="1"/>
    <col min="8" max="8" width="8.5" style="2060" customWidth="1"/>
    <col min="9" max="9" width="21.125" style="2060" customWidth="1"/>
    <col min="10" max="10" width="12.1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625" style="2097" customWidth="1"/>
    <col min="18" max="18" width="23.5" style="2059" customWidth="1"/>
    <col min="19" max="19" width="1.5" style="2059" customWidth="1"/>
    <col min="20" max="33" width="8.875" style="2059"/>
    <col min="34" max="16384" width="8.875" style="2060"/>
  </cols>
  <sheetData>
    <row r="1" spans="1:33" s="2054" customFormat="1" ht="21">
      <c r="A1" s="831" t="s">
        <v>1725</v>
      </c>
      <c r="B1" s="737"/>
      <c r="C1" s="772" t="s">
        <v>2978</v>
      </c>
      <c r="D1" s="3156" t="s">
        <v>2982</v>
      </c>
      <c r="E1" s="2411" t="s">
        <v>2372</v>
      </c>
      <c r="F1" s="2412">
        <f ca="1">J53</f>
        <v>38.03</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1726</v>
      </c>
      <c r="B2" s="774">
        <f ca="1">C40+J29+L46</f>
        <v>20552</v>
      </c>
      <c r="C2" s="2057"/>
      <c r="D2" s="2055"/>
      <c r="E2" s="2056"/>
      <c r="F2" s="2056"/>
      <c r="G2" s="1589"/>
      <c r="H2" s="2057"/>
      <c r="I2" s="2057"/>
      <c r="J2" s="2057"/>
      <c r="K2" s="2058"/>
      <c r="L2" s="2057"/>
      <c r="M2" s="2057"/>
    </row>
    <row r="3" spans="1:33" ht="18" customHeight="1" thickBot="1">
      <c r="A3" s="832" t="s">
        <v>1727</v>
      </c>
      <c r="B3" s="833">
        <f ca="1">IF(ISERROR(B2*10000/F43),0,ROUND(B2*10000/F43,0))</f>
        <v>8980</v>
      </c>
      <c r="C3" s="2057"/>
      <c r="D3" s="2055"/>
      <c r="E3" s="2056"/>
      <c r="F3" s="2056"/>
      <c r="G3" s="1589"/>
      <c r="H3" s="775" t="s">
        <v>695</v>
      </c>
      <c r="I3" s="1361"/>
      <c r="J3" s="1361"/>
      <c r="K3" s="1590"/>
      <c r="L3" s="1361"/>
      <c r="M3" s="1361"/>
    </row>
    <row r="4" spans="1:33" ht="18" customHeight="1">
      <c r="A4" s="776" t="s">
        <v>1728</v>
      </c>
      <c r="B4" s="777" t="s">
        <v>1729</v>
      </c>
      <c r="C4" s="777" t="s">
        <v>1730</v>
      </c>
      <c r="D4" s="777" t="s">
        <v>633</v>
      </c>
      <c r="E4" s="778" t="s">
        <v>1731</v>
      </c>
      <c r="F4" s="779"/>
      <c r="G4" s="1591"/>
      <c r="H4" s="776" t="s">
        <v>1732</v>
      </c>
      <c r="I4" s="777" t="s">
        <v>1733</v>
      </c>
      <c r="J4" s="777" t="s">
        <v>1734</v>
      </c>
      <c r="K4" s="777" t="s">
        <v>1735</v>
      </c>
      <c r="L4" s="778" t="s">
        <v>1736</v>
      </c>
      <c r="M4" s="779"/>
    </row>
    <row r="5" spans="1:33" ht="18" customHeight="1">
      <c r="A5" s="780">
        <v>1</v>
      </c>
      <c r="B5" s="781" t="s">
        <v>2456</v>
      </c>
      <c r="C5" s="55">
        <f ca="1">C6+C10+C12</f>
        <v>1278</v>
      </c>
      <c r="D5" s="2520" t="s">
        <v>2459</v>
      </c>
      <c r="E5" s="2514"/>
      <c r="F5" s="2515"/>
      <c r="G5" s="1591"/>
      <c r="H5" s="780">
        <v>1</v>
      </c>
      <c r="I5" s="781" t="s">
        <v>2456</v>
      </c>
      <c r="J5" s="55">
        <f ca="1">J6+J10+J12</f>
        <v>0</v>
      </c>
      <c r="K5" s="2520" t="s">
        <v>2459</v>
      </c>
      <c r="L5" s="2514"/>
      <c r="M5" s="2515"/>
    </row>
    <row r="6" spans="1:33" ht="18" customHeight="1">
      <c r="A6" s="1830" t="s">
        <v>1824</v>
      </c>
      <c r="B6" s="3870" t="s">
        <v>2461</v>
      </c>
      <c r="C6" s="782">
        <f ca="1">ROUND(F6*F8*F7*(1-F9)/10000,0)</f>
        <v>1278</v>
      </c>
      <c r="D6" s="2521" t="s">
        <v>2460</v>
      </c>
      <c r="E6" s="783" t="s">
        <v>1738</v>
      </c>
      <c r="F6" s="784">
        <f ca="1">INDIRECT("'数据-取费表'!u"&amp;$G$1)</f>
        <v>1.7</v>
      </c>
      <c r="G6" s="1591"/>
      <c r="H6" s="2528" t="s">
        <v>2466</v>
      </c>
      <c r="I6" s="3870" t="s">
        <v>2461</v>
      </c>
      <c r="J6" s="782">
        <f ca="1">ROUND(M6*M8*M7*(1-M9)/10000,0)</f>
        <v>0</v>
      </c>
      <c r="K6" s="340" t="s">
        <v>1737</v>
      </c>
      <c r="L6" s="783" t="s">
        <v>1738</v>
      </c>
      <c r="M6" s="784">
        <f ca="1">INDIRECT("'数据-取费表'!z"&amp;$G$1)</f>
        <v>0</v>
      </c>
    </row>
    <row r="7" spans="1:33" ht="18" customHeight="1">
      <c r="A7" s="2524"/>
      <c r="B7" s="3871"/>
      <c r="C7" s="787"/>
      <c r="D7" s="788"/>
      <c r="E7" s="783" t="s">
        <v>1739</v>
      </c>
      <c r="F7" s="784">
        <f ca="1">IF(INDIRECT("'数据-取费表'!ah"&amp;$G$1)="",INDIRECT("'数据-取费表'!k"&amp;$G$1),INDIRECT("'数据-取费表'!ah"&amp;$G$1))</f>
        <v>22886.399999999994</v>
      </c>
      <c r="G7" s="1591"/>
      <c r="H7" s="2513"/>
      <c r="I7" s="3871"/>
      <c r="J7" s="787"/>
      <c r="K7" s="788"/>
      <c r="L7" s="783" t="s">
        <v>1739</v>
      </c>
      <c r="M7" s="784">
        <f ca="1">F7</f>
        <v>22886.399999999994</v>
      </c>
    </row>
    <row r="8" spans="1:33" ht="18" customHeight="1">
      <c r="A8" s="2517"/>
      <c r="B8" s="3872"/>
      <c r="C8" s="787"/>
      <c r="D8" s="788"/>
      <c r="E8" s="783" t="s">
        <v>1740</v>
      </c>
      <c r="F8" s="784">
        <f ca="1">INDIRECT("'数据-取费表'!ai"&amp;$G$1)</f>
        <v>365</v>
      </c>
      <c r="G8" s="1591"/>
      <c r="H8" s="2513"/>
      <c r="I8" s="3872"/>
      <c r="J8" s="787"/>
      <c r="K8" s="788"/>
      <c r="L8" s="783" t="s">
        <v>1740</v>
      </c>
      <c r="M8" s="784">
        <f ca="1">INDIRECT("'数据-取费表'!ai"&amp;$G$1)</f>
        <v>365</v>
      </c>
    </row>
    <row r="9" spans="1:33" ht="18" customHeight="1">
      <c r="A9" s="785"/>
      <c r="B9" s="3873"/>
      <c r="C9" s="787"/>
      <c r="D9" s="788"/>
      <c r="E9" s="783" t="s">
        <v>1741</v>
      </c>
      <c r="F9" s="793">
        <f ca="1">INDIRECT("'数据-取费表'!w"&amp;$G$1)</f>
        <v>0.1</v>
      </c>
      <c r="G9" s="1591"/>
      <c r="H9" s="2529"/>
      <c r="I9" s="3872"/>
      <c r="J9" s="787"/>
      <c r="K9" s="788"/>
      <c r="L9" s="794" t="s">
        <v>1741</v>
      </c>
      <c r="M9" s="795">
        <f ca="1">INDIRECT("'数据-取费表'!ab"&amp;$G$1)</f>
        <v>0</v>
      </c>
    </row>
    <row r="10" spans="1:33" ht="18" hidden="1" customHeight="1">
      <c r="A10" s="1830" t="s">
        <v>2464</v>
      </c>
      <c r="B10" s="2518" t="s">
        <v>2457</v>
      </c>
      <c r="C10" s="798">
        <f ca="1">ROUND(IF(F10="押一",C6/12*F11,IF(F10="押二",C6/12*2*F11,IF(F10="押三",C6/12*3*F11,C11*F11))),0)</f>
        <v>0</v>
      </c>
      <c r="D10" s="2525" t="s">
        <v>2973</v>
      </c>
      <c r="E10" s="2522" t="s">
        <v>2462</v>
      </c>
      <c r="F10" s="2645"/>
      <c r="G10" s="1591"/>
      <c r="H10" s="2585" t="s">
        <v>2467</v>
      </c>
      <c r="I10" s="2590" t="s">
        <v>2457</v>
      </c>
      <c r="J10" s="782">
        <f ca="1">ROUND(IF(M10="押一",J6/12*M11,IF(M10="押二",J6/12*2*M11,IF(M10="押三",J6/12*3*M11,J11*M11))),0)</f>
        <v>0</v>
      </c>
      <c r="K10" s="2525" t="s">
        <v>2973</v>
      </c>
      <c r="L10" s="2522" t="s">
        <v>2462</v>
      </c>
      <c r="M10" s="2645"/>
    </row>
    <row r="11" spans="1:33" ht="18" hidden="1" customHeight="1">
      <c r="A11" s="789"/>
      <c r="B11" s="2519" t="s">
        <v>2571</v>
      </c>
      <c r="C11" s="2523"/>
      <c r="D11" s="788"/>
      <c r="E11" s="2522" t="s">
        <v>2463</v>
      </c>
      <c r="F11" s="795">
        <f ca="1">'数据-取费表'!B39</f>
        <v>1.4999999999999999E-2</v>
      </c>
      <c r="G11" s="1591"/>
      <c r="H11" s="2586"/>
      <c r="I11" s="2519" t="s">
        <v>2571</v>
      </c>
      <c r="J11" s="2523"/>
      <c r="K11" s="2587"/>
      <c r="L11" s="2522" t="s">
        <v>2463</v>
      </c>
      <c r="M11" s="2516">
        <f ca="1">'数据-取费表'!B39</f>
        <v>1.4999999999999999E-2</v>
      </c>
    </row>
    <row r="12" spans="1:33" ht="18" hidden="1" customHeight="1" thickBot="1">
      <c r="A12" s="2561" t="s">
        <v>2465</v>
      </c>
      <c r="B12" s="2562" t="s">
        <v>2458</v>
      </c>
      <c r="C12" s="2563"/>
      <c r="D12" s="2564"/>
      <c r="E12" s="2565"/>
      <c r="F12" s="2566"/>
      <c r="G12" s="1591"/>
      <c r="H12" s="2575" t="s">
        <v>2468</v>
      </c>
      <c r="I12" s="2588" t="s">
        <v>2458</v>
      </c>
      <c r="J12" s="2589"/>
      <c r="K12" s="2564"/>
      <c r="L12" s="2565"/>
      <c r="M12" s="2578"/>
    </row>
    <row r="13" spans="1:33" ht="18" customHeight="1">
      <c r="A13" s="1829">
        <v>2</v>
      </c>
      <c r="B13" s="1827" t="s">
        <v>1742</v>
      </c>
      <c r="C13" s="791">
        <f ca="1">ROUND(C29*F13,0)</f>
        <v>6772</v>
      </c>
      <c r="D13" s="1834" t="s">
        <v>2296</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3" t="s">
        <v>645</v>
      </c>
      <c r="C14" s="803">
        <f ca="1">INDIRECT("'数据-取费表'!m"&amp;$G$1)+INDIRECT("'数据-取费表'!t"&amp;$G$1)</f>
        <v>4577</v>
      </c>
      <c r="D14" s="1979" t="s">
        <v>1745</v>
      </c>
      <c r="E14" s="1980"/>
      <c r="F14" s="804"/>
      <c r="G14" s="1591"/>
      <c r="H14" s="1648" t="s">
        <v>1830</v>
      </c>
      <c r="I14" s="2231" t="s">
        <v>2824</v>
      </c>
      <c r="J14" s="53">
        <f ca="1">C29</f>
        <v>6772</v>
      </c>
      <c r="K14" s="26"/>
      <c r="L14" s="800"/>
      <c r="M14" s="801"/>
    </row>
    <row r="15" spans="1:33" s="2064" customFormat="1" ht="18" customHeight="1" thickBot="1">
      <c r="A15" s="1647" t="s">
        <v>1885</v>
      </c>
      <c r="B15" s="783" t="s">
        <v>647</v>
      </c>
      <c r="C15" s="53">
        <f ca="1">ROUND(C14*F15,0)</f>
        <v>137</v>
      </c>
      <c r="D15" s="805" t="s">
        <v>1746</v>
      </c>
      <c r="E15" s="805" t="s">
        <v>1747</v>
      </c>
      <c r="F15" s="806">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3" t="s">
        <v>650</v>
      </c>
      <c r="C16" s="53">
        <f ca="1">ROUND(INDIRECT("'数据-取费表'!m"&amp;$G$1)*F16,0)</f>
        <v>0</v>
      </c>
      <c r="D16" s="783" t="s">
        <v>1746</v>
      </c>
      <c r="E16" s="783" t="s">
        <v>1747</v>
      </c>
      <c r="F16" s="808">
        <f ca="1">IF(INDIRECT("'数据-取费表'!c"&amp;$G$1)="住宅",'数据-取费表'!B34,0)</f>
        <v>0</v>
      </c>
      <c r="G16" s="1591"/>
      <c r="H16" s="1829" t="s">
        <v>1748</v>
      </c>
      <c r="I16" s="1827" t="s">
        <v>1749</v>
      </c>
      <c r="J16" s="791">
        <f ca="1">ROUND(J17+J22+J23+J24,0)</f>
        <v>676</v>
      </c>
      <c r="K16" s="1821" t="s">
        <v>1750</v>
      </c>
      <c r="L16" s="2510"/>
      <c r="M16" s="2515"/>
    </row>
    <row r="17" spans="1:33" s="2064" customFormat="1" ht="18" customHeight="1">
      <c r="A17" s="1647" t="s">
        <v>1887</v>
      </c>
      <c r="B17" s="783" t="s">
        <v>653</v>
      </c>
      <c r="C17" s="53">
        <f ca="1">ROUND(F17*(F43+INDIRECT("'数据-取费表'!S"&amp;$G$1))/10000,0)</f>
        <v>458</v>
      </c>
      <c r="D17" s="783" t="s">
        <v>1751</v>
      </c>
      <c r="E17" s="783" t="s">
        <v>1752</v>
      </c>
      <c r="F17" s="56">
        <f>'数据-取费表'!B35</f>
        <v>200</v>
      </c>
      <c r="G17" s="1592"/>
      <c r="H17" s="1648" t="s">
        <v>1830</v>
      </c>
      <c r="I17" s="783" t="s">
        <v>656</v>
      </c>
      <c r="J17" s="53">
        <f ca="1">ROUND(IF(项目基本情况!B11="自然人",J5*M17,J18+J19+J20),0)</f>
        <v>574</v>
      </c>
      <c r="K17" s="2509" t="s">
        <v>1753</v>
      </c>
      <c r="L17" s="2508" t="s">
        <v>1754</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3" t="s">
        <v>659</v>
      </c>
      <c r="C18" s="53">
        <f ca="1">ROUND(C14*F18,0)</f>
        <v>69</v>
      </c>
      <c r="D18" s="783" t="s">
        <v>1746</v>
      </c>
      <c r="E18" s="783" t="s">
        <v>1747</v>
      </c>
      <c r="F18" s="808">
        <f>'数据-取费表'!B36</f>
        <v>1.4999999999999999E-2</v>
      </c>
      <c r="G18" s="1592"/>
      <c r="H18" s="1647" t="s">
        <v>1884</v>
      </c>
      <c r="I18" s="783" t="s">
        <v>1755</v>
      </c>
      <c r="J18" s="53">
        <f ca="1">ROUND(J5*M18/1.05,1)</f>
        <v>0</v>
      </c>
      <c r="K18" s="2508" t="s">
        <v>1756</v>
      </c>
      <c r="L18" s="783" t="s">
        <v>1747</v>
      </c>
      <c r="M18" s="808">
        <f>'数据-取费表'!B41</f>
        <v>5.5000000000000007E-2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3" t="s">
        <v>662</v>
      </c>
      <c r="C19" s="53">
        <f ca="1">SUM(C14:C18)</f>
        <v>5241</v>
      </c>
      <c r="D19" s="260" t="s">
        <v>1757</v>
      </c>
      <c r="E19" s="1982"/>
      <c r="F19" s="56"/>
      <c r="G19" s="1591"/>
      <c r="H19" s="1647" t="s">
        <v>1885</v>
      </c>
      <c r="I19" s="783" t="s">
        <v>1758</v>
      </c>
      <c r="J19" s="53">
        <f ca="1">IF(K19="按租金收入计税",ROUND(J5*M19,1),ROUND(C29*F33*0.7,1))</f>
        <v>568.79999999999995</v>
      </c>
      <c r="K19" s="810" t="s">
        <v>665</v>
      </c>
      <c r="L19" s="783" t="s">
        <v>1747</v>
      </c>
      <c r="M19" s="808">
        <f>IF(K19="按租金收入计税",'数据-取费表'!B51,'数据-取费表'!B50)</f>
        <v>1.2E-2</v>
      </c>
    </row>
    <row r="20" spans="1:33" s="2064" customFormat="1" ht="18" customHeight="1">
      <c r="A20" s="1648" t="s">
        <v>1889</v>
      </c>
      <c r="B20" s="783" t="s">
        <v>666</v>
      </c>
      <c r="C20" s="53">
        <f ca="1">ROUND(C19*F20,0)</f>
        <v>105</v>
      </c>
      <c r="D20" s="811" t="s">
        <v>1759</v>
      </c>
      <c r="E20" s="783" t="s">
        <v>1747</v>
      </c>
      <c r="F20" s="808">
        <f>'数据-取费表'!B37</f>
        <v>0.02</v>
      </c>
      <c r="G20" s="1592"/>
      <c r="H20" s="1650" t="s">
        <v>1880</v>
      </c>
      <c r="I20" s="340" t="s">
        <v>1760</v>
      </c>
      <c r="J20" s="54">
        <f ca="1">ROUND(M20*M21/10000,0)</f>
        <v>5</v>
      </c>
      <c r="K20" s="813" t="s">
        <v>1761</v>
      </c>
      <c r="L20" s="783" t="s">
        <v>1762</v>
      </c>
      <c r="M20" s="639">
        <f>'数据-取费表'!B52</f>
        <v>6</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3" t="s">
        <v>1763</v>
      </c>
      <c r="C21" s="53" t="s">
        <v>1764</v>
      </c>
      <c r="D21" s="811" t="s">
        <v>2297</v>
      </c>
      <c r="E21" s="783" t="s">
        <v>1765</v>
      </c>
      <c r="F21" s="808">
        <f>'数据-取费表'!B38</f>
        <v>0.01</v>
      </c>
      <c r="G21" s="1592"/>
      <c r="H21" s="2530"/>
      <c r="I21" s="792"/>
      <c r="J21" s="69"/>
      <c r="K21" s="815"/>
      <c r="L21" s="783" t="s">
        <v>1766</v>
      </c>
      <c r="M21" s="784">
        <f ca="1">INDIRECT("'数据-取费表'!r"&amp;$G$1)</f>
        <v>7628.8</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3" t="s">
        <v>1767</v>
      </c>
      <c r="C22" s="53"/>
      <c r="D22" s="2596" t="str">
        <f>IF(F23&lt;=1,"单利计息。","复利计息。")&amp;"建造成本、管理费用、销售费用产生的利息。"</f>
        <v>复利计息。建造成本、管理费用、销售费用产生的利息。</v>
      </c>
      <c r="E22" s="1982"/>
      <c r="F22" s="56"/>
      <c r="G22" s="1591"/>
      <c r="H22" s="1648" t="s">
        <v>1889</v>
      </c>
      <c r="I22" s="783" t="s">
        <v>1768</v>
      </c>
      <c r="J22" s="53">
        <f ca="1">ROUND(J14*M22,0)</f>
        <v>102</v>
      </c>
      <c r="K22" s="2508" t="s">
        <v>1769</v>
      </c>
      <c r="L22" s="783" t="s">
        <v>1747</v>
      </c>
      <c r="M22" s="816">
        <f ca="1">INDIRECT("'数据-取费表'!Ak"&amp;$G$1)</f>
        <v>1.4999999999999999E-2</v>
      </c>
    </row>
    <row r="23" spans="1:33" s="2064" customFormat="1" ht="18" customHeight="1">
      <c r="A23" s="1647" t="s">
        <v>1831</v>
      </c>
      <c r="B23" s="783" t="s">
        <v>2533</v>
      </c>
      <c r="C23" s="53">
        <f ca="1">ROUND(IF('数据-取费表'!B22&lt;=1,(C19+C20)*F24*F23/2,(C19+C20)*(POWER((1+F24),F23/2)-1)),0)</f>
        <v>189</v>
      </c>
      <c r="D23" s="2595" t="str">
        <f>IF(F23&lt;=1,"(建造成本+管理费用)×利率×(建设周期÷2)","(建造成本+管理费用)×((1+利率)^(建设周期÷2)-1)")</f>
        <v>(建造成本+管理费用)×((1+利率)^(建设周期÷2)-1)</v>
      </c>
      <c r="E23" s="783" t="s">
        <v>1770</v>
      </c>
      <c r="F23" s="639">
        <f>'数据-取费表'!B20</f>
        <v>1.5</v>
      </c>
      <c r="G23" s="1592"/>
      <c r="H23" s="1648" t="s">
        <v>1890</v>
      </c>
      <c r="I23" s="783" t="s">
        <v>679</v>
      </c>
      <c r="J23" s="53">
        <f ca="1">ROUND(J13*M23,0)</f>
        <v>0</v>
      </c>
      <c r="K23" s="2508" t="s">
        <v>1771</v>
      </c>
      <c r="L23" s="783" t="s">
        <v>1747</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3" t="s">
        <v>1772</v>
      </c>
      <c r="C24" s="53">
        <f ca="1">ROUND(IF('数据-取费表'!B22&lt;=1,F21*F24*F23/2,F21*(POWER((1+F24),F23/2)-1)),4)</f>
        <v>4.0000000000000002E-4</v>
      </c>
      <c r="D24" s="2595" t="str">
        <f>IF(F23&lt;=1,"销售费用×利率×(建设周期÷2)","销售费用×((1+利率)^(建设周期÷2)-1)")</f>
        <v>销售费用×((1+利率)^(建设周期÷2)-1)</v>
      </c>
      <c r="E24" s="783" t="s">
        <v>1773</v>
      </c>
      <c r="F24" s="818">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3" t="s">
        <v>684</v>
      </c>
      <c r="C25" s="53"/>
      <c r="D25" s="260" t="s">
        <v>1775</v>
      </c>
      <c r="E25" s="1982"/>
      <c r="F25" s="56"/>
      <c r="G25" s="1591"/>
      <c r="H25" s="1829" t="s">
        <v>1776</v>
      </c>
      <c r="I25" s="3034" t="s">
        <v>2820</v>
      </c>
      <c r="J25" s="791">
        <f ca="1">J5-J16</f>
        <v>-676</v>
      </c>
      <c r="K25" s="2572" t="s">
        <v>1777</v>
      </c>
      <c r="L25" s="2573"/>
      <c r="M25" s="2574"/>
    </row>
    <row r="26" spans="1:33" ht="18" customHeight="1">
      <c r="A26" s="1647" t="s">
        <v>1831</v>
      </c>
      <c r="B26" s="783" t="s">
        <v>2436</v>
      </c>
      <c r="C26" s="53">
        <f ca="1">ROUND((C19+C20)*F26,0)</f>
        <v>802</v>
      </c>
      <c r="D26" s="811" t="s">
        <v>1778</v>
      </c>
      <c r="E26" s="794" t="s">
        <v>1779</v>
      </c>
      <c r="F26" s="793">
        <f ca="1">INDIRECT("'数据-取费表'!q"&amp;$G$1)</f>
        <v>0.15</v>
      </c>
      <c r="G26" s="1591"/>
      <c r="H26" s="2526" t="s">
        <v>1780</v>
      </c>
      <c r="I26" s="2232" t="s">
        <v>2825</v>
      </c>
      <c r="J26" s="782">
        <f ca="1">IF(J5&lt;&gt;0,ROUND(J25*(1-((1+M28)/(1+M26))^M27)/(M26-M28),0),0)</f>
        <v>0</v>
      </c>
      <c r="K26" s="813" t="s">
        <v>1781</v>
      </c>
      <c r="L26" s="783" t="s">
        <v>2417</v>
      </c>
      <c r="M26" s="793">
        <f ca="1">INDIRECT("'数据-取费表'!I"&amp;$G$1)</f>
        <v>0.06</v>
      </c>
    </row>
    <row r="27" spans="1:33" ht="18" customHeight="1">
      <c r="A27" s="1647" t="s">
        <v>1832</v>
      </c>
      <c r="B27" s="783" t="s">
        <v>686</v>
      </c>
      <c r="C27" s="53">
        <f ca="1">ROUND(F21*F26,4)</f>
        <v>1.5E-3</v>
      </c>
      <c r="D27" s="811" t="s">
        <v>1782</v>
      </c>
      <c r="E27" s="805"/>
      <c r="F27" s="806"/>
      <c r="G27" s="1591"/>
      <c r="H27" s="2527"/>
      <c r="I27" s="786"/>
      <c r="J27" s="787"/>
      <c r="K27" s="820" t="s">
        <v>1783</v>
      </c>
      <c r="L27" s="783" t="s">
        <v>1784</v>
      </c>
      <c r="M27" s="821">
        <f ca="1">INDIRECT("'数据-取费表'!ag"&amp;$G$1)</f>
        <v>0</v>
      </c>
    </row>
    <row r="28" spans="1:33" s="2064" customFormat="1" ht="18" customHeight="1">
      <c r="A28" s="1649" t="s">
        <v>1841</v>
      </c>
      <c r="B28" s="783" t="s">
        <v>687</v>
      </c>
      <c r="C28" s="53">
        <f>ROUND(F28/(1+'数据-取费表'!C42),4)</f>
        <v>5.2400000000000002E-2</v>
      </c>
      <c r="D28" s="811" t="s">
        <v>2298</v>
      </c>
      <c r="E28" s="783" t="s">
        <v>1785</v>
      </c>
      <c r="F28" s="808">
        <f>'数据-取费表'!B41</f>
        <v>5.5000000000000007E-2</v>
      </c>
      <c r="G28" s="1592"/>
      <c r="H28" s="1829"/>
      <c r="I28" s="790"/>
      <c r="J28" s="791"/>
      <c r="K28" s="815"/>
      <c r="L28" s="783" t="s">
        <v>1786</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2299</v>
      </c>
      <c r="C29" s="2568">
        <f ca="1">ROUND((C19+C20+C23+C26)/(1-F21-C24-C27-C28),0)</f>
        <v>6772</v>
      </c>
      <c r="D29" s="2569"/>
      <c r="E29" s="2570"/>
      <c r="F29" s="2571"/>
      <c r="G29" s="1592"/>
      <c r="H29" s="822" t="s">
        <v>1787</v>
      </c>
      <c r="I29" s="823" t="s">
        <v>1788</v>
      </c>
      <c r="J29" s="824">
        <f ca="1">ROUND(J26/(1+F40)^F41,0)</f>
        <v>0</v>
      </c>
      <c r="K29" s="825" t="s">
        <v>1789</v>
      </c>
      <c r="L29" s="826"/>
      <c r="M29" s="827">
        <f ca="1">INDIRECT("'数据-取费表'!k"&amp;$G$1)</f>
        <v>22886.399999999994</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1">
        <f ca="1">ROUND(C31+C36+C37+C38,0)</f>
        <v>350</v>
      </c>
      <c r="D30" s="1821" t="s">
        <v>1791</v>
      </c>
      <c r="E30" s="2510"/>
      <c r="F30" s="2515"/>
      <c r="G30" s="2062"/>
      <c r="H30" s="2065"/>
      <c r="I30" s="2066"/>
      <c r="J30" s="2067"/>
      <c r="K30" s="2068"/>
      <c r="L30" s="2069"/>
      <c r="M30" s="2070"/>
    </row>
    <row r="31" spans="1:33" ht="18" customHeight="1">
      <c r="A31" s="1648" t="s">
        <v>1830</v>
      </c>
      <c r="B31" s="783" t="s">
        <v>656</v>
      </c>
      <c r="C31" s="53">
        <f ca="1">ROUND(IF(项目基本情况!B11="自然人",C5*F31,C32+C33+C34),1)</f>
        <v>224.9</v>
      </c>
      <c r="D31" s="1979" t="s">
        <v>1792</v>
      </c>
      <c r="E31" s="1977" t="s">
        <v>1793</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3" t="s">
        <v>1794</v>
      </c>
      <c r="C32" s="53">
        <f ca="1">ROUND(C5*F32/1.05,1)</f>
        <v>66.900000000000006</v>
      </c>
      <c r="D32" s="1977" t="s">
        <v>1795</v>
      </c>
      <c r="E32" s="783" t="s">
        <v>1796</v>
      </c>
      <c r="F32" s="808">
        <f>'数据-取费表'!B41</f>
        <v>5.5000000000000007E-2</v>
      </c>
      <c r="G32" s="2062"/>
      <c r="H32" s="2071"/>
      <c r="I32" s="2072"/>
      <c r="J32" s="2073"/>
      <c r="K32" s="2074"/>
      <c r="L32" s="2075"/>
      <c r="M32" s="2076"/>
    </row>
    <row r="33" spans="1:18" ht="18" customHeight="1">
      <c r="A33" s="1647" t="s">
        <v>1832</v>
      </c>
      <c r="B33" s="783" t="s">
        <v>1797</v>
      </c>
      <c r="C33" s="53">
        <f ca="1">IF(D33="按租金收入计税",ROUND(C5*F33,1),IF(D33="按房产原值计税",ROUND(C29*F33*0.7,1),INDIRECT("'数据-取费表'!Aj"&amp;$G$1)))</f>
        <v>153.4</v>
      </c>
      <c r="D33" s="810" t="s">
        <v>2984</v>
      </c>
      <c r="E33" s="783" t="s">
        <v>1796</v>
      </c>
      <c r="F33" s="808">
        <f>IF(D33="按租金收入计税",'数据-取费表'!B51,'数据-取费表'!B50)</f>
        <v>0.12</v>
      </c>
      <c r="G33" s="2062"/>
      <c r="H33" s="2077"/>
      <c r="I33" s="2077"/>
      <c r="J33" s="2077"/>
      <c r="K33" s="2078"/>
      <c r="L33" s="2077"/>
      <c r="M33" s="2077"/>
    </row>
    <row r="34" spans="1:18" ht="18" customHeight="1">
      <c r="A34" s="1650" t="s">
        <v>1833</v>
      </c>
      <c r="B34" s="340" t="s">
        <v>1798</v>
      </c>
      <c r="C34" s="54">
        <f ca="1">ROUND(F34*F35/10000,1)</f>
        <v>4.5999999999999996</v>
      </c>
      <c r="D34" s="813" t="s">
        <v>1799</v>
      </c>
      <c r="E34" s="783" t="s">
        <v>1800</v>
      </c>
      <c r="F34" s="639">
        <f>'数据-取费表'!B52</f>
        <v>6</v>
      </c>
      <c r="G34" s="2062"/>
      <c r="H34" s="2065"/>
      <c r="I34" s="834" t="s">
        <v>1813</v>
      </c>
      <c r="J34" s="835"/>
      <c r="K34" s="2080"/>
      <c r="L34" s="2079"/>
      <c r="M34" s="2079"/>
    </row>
    <row r="35" spans="1:18" ht="18" customHeight="1">
      <c r="A35" s="814"/>
      <c r="B35" s="792"/>
      <c r="C35" s="69"/>
      <c r="D35" s="815"/>
      <c r="E35" s="783" t="s">
        <v>1801</v>
      </c>
      <c r="F35" s="784">
        <f ca="1">INDIRECT("'数据-取费表'!r"&amp;$G$1)</f>
        <v>7628.8</v>
      </c>
      <c r="G35" s="2062"/>
      <c r="H35" s="2065"/>
      <c r="I35" s="836" t="s">
        <v>1814</v>
      </c>
      <c r="J35" s="837">
        <f ca="1">ROUND(C13*J36,0)</f>
        <v>576</v>
      </c>
      <c r="K35" s="2078"/>
      <c r="L35" s="2077"/>
      <c r="M35" s="2077"/>
    </row>
    <row r="36" spans="1:18" ht="18" customHeight="1">
      <c r="A36" s="1648" t="s">
        <v>1889</v>
      </c>
      <c r="B36" s="783" t="s">
        <v>1802</v>
      </c>
      <c r="C36" s="53">
        <f ca="1">ROUND(C29*F36,1)</f>
        <v>101.6</v>
      </c>
      <c r="D36" s="1977" t="s">
        <v>1803</v>
      </c>
      <c r="E36" s="783" t="s">
        <v>1796</v>
      </c>
      <c r="F36" s="816">
        <f ca="1">INDIRECT("'数据-取费表'!Ak"&amp;$G$1)</f>
        <v>1.4999999999999999E-2</v>
      </c>
      <c r="G36" s="2062"/>
      <c r="H36" s="2077"/>
      <c r="I36" s="838" t="s">
        <v>1815</v>
      </c>
      <c r="J36" s="839">
        <f ca="1">INDIRECT("'数据-取费表'!j"&amp;$G$1)</f>
        <v>8.5000000000000006E-2</v>
      </c>
      <c r="K36" s="2082"/>
      <c r="L36" s="2077"/>
      <c r="M36" s="2077"/>
    </row>
    <row r="37" spans="1:18" ht="18" customHeight="1">
      <c r="A37" s="1648" t="s">
        <v>1890</v>
      </c>
      <c r="B37" s="783" t="s">
        <v>679</v>
      </c>
      <c r="C37" s="53">
        <f ca="1">ROUND(C13*F37,1)</f>
        <v>10.199999999999999</v>
      </c>
      <c r="D37" s="1977" t="s">
        <v>1804</v>
      </c>
      <c r="E37" s="783" t="s">
        <v>1796</v>
      </c>
      <c r="F37" s="817">
        <f ca="1">INDIRECT("'数据-取费表'!Al"&amp;$G$1)</f>
        <v>1.5E-3</v>
      </c>
      <c r="G37" s="2062"/>
      <c r="H37" s="2077"/>
      <c r="I37" s="840" t="s">
        <v>1816</v>
      </c>
      <c r="J37" s="841"/>
      <c r="K37" s="2082"/>
      <c r="L37" s="2077"/>
      <c r="M37" s="2077"/>
    </row>
    <row r="38" spans="1:18" ht="18" customHeight="1" thickBot="1">
      <c r="A38" s="2575" t="s">
        <v>1891</v>
      </c>
      <c r="B38" s="2570" t="s">
        <v>666</v>
      </c>
      <c r="C38" s="2568">
        <f ca="1">ROUND(C5*F38,1)</f>
        <v>12.8</v>
      </c>
      <c r="D38" s="2569" t="s">
        <v>1805</v>
      </c>
      <c r="E38" s="2570" t="s">
        <v>1796</v>
      </c>
      <c r="F38" s="2566">
        <f ca="1">INDIRECT("'数据-取费表'!Am"&amp;$G$1)</f>
        <v>0.01</v>
      </c>
      <c r="G38" s="2062"/>
      <c r="H38" s="2077"/>
      <c r="I38" s="842" t="s">
        <v>1817</v>
      </c>
      <c r="J38" s="843"/>
      <c r="K38" s="2083"/>
      <c r="L38" s="2077"/>
      <c r="M38" s="2077"/>
    </row>
    <row r="39" spans="1:18" ht="24.6" customHeight="1" thickTop="1">
      <c r="A39" s="1829" t="s">
        <v>1894</v>
      </c>
      <c r="B39" s="3034" t="s">
        <v>2820</v>
      </c>
      <c r="C39" s="791">
        <f ca="1">C5-C30</f>
        <v>928</v>
      </c>
      <c r="D39" s="2572" t="s">
        <v>1806</v>
      </c>
      <c r="E39" s="2573"/>
      <c r="F39" s="2574"/>
      <c r="G39" s="2062"/>
      <c r="H39" s="2077"/>
      <c r="I39" s="836" t="s">
        <v>1818</v>
      </c>
      <c r="J39" s="844">
        <f ca="1">ROUND(J35/C39,3)</f>
        <v>0.621</v>
      </c>
      <c r="K39" s="2083"/>
      <c r="L39" s="2077"/>
      <c r="M39" s="2077"/>
    </row>
    <row r="40" spans="1:18" ht="18" customHeight="1">
      <c r="A40" s="780" t="s">
        <v>1895</v>
      </c>
      <c r="B40" s="2232" t="s">
        <v>2300</v>
      </c>
      <c r="C40" s="782">
        <f ca="1">ROUND(C39*(1-((1+F42)/(1+F40))^F41)/(F40-F42),0)</f>
        <v>20552</v>
      </c>
      <c r="D40" s="813" t="s">
        <v>1807</v>
      </c>
      <c r="E40" s="783" t="s">
        <v>2417</v>
      </c>
      <c r="F40" s="793">
        <f ca="1">INDIRECT("'数据-取费表'!I"&amp;$G$1)</f>
        <v>0.06</v>
      </c>
      <c r="G40" s="2062"/>
      <c r="H40" s="2062"/>
      <c r="I40" s="836" t="s">
        <v>1819</v>
      </c>
      <c r="J40" s="844">
        <f ca="1">1-J39</f>
        <v>0.379</v>
      </c>
      <c r="K40" s="2083"/>
      <c r="L40" s="2062"/>
      <c r="M40" s="2062"/>
    </row>
    <row r="41" spans="1:18" ht="18" customHeight="1">
      <c r="A41" s="785"/>
      <c r="B41" s="786"/>
      <c r="C41" s="787"/>
      <c r="D41" s="820" t="s">
        <v>1808</v>
      </c>
      <c r="E41" s="783" t="s">
        <v>2963</v>
      </c>
      <c r="F41" s="821">
        <f ca="1">IF(INDIRECT("'数据-取费表'!af"&amp;$G$1)=0,INDIRECT("'数据-取费表'!ae"&amp;$G$1),INDIRECT("'数据-取费表'!af"&amp;$G$1))</f>
        <v>38.03</v>
      </c>
      <c r="G41" s="2062"/>
      <c r="H41" s="1988"/>
      <c r="I41" s="842" t="s">
        <v>1820</v>
      </c>
      <c r="J41" s="845"/>
      <c r="K41" s="2082"/>
      <c r="L41" s="1988"/>
      <c r="M41" s="1988"/>
    </row>
    <row r="42" spans="1:18" ht="18" customHeight="1">
      <c r="A42" s="789"/>
      <c r="B42" s="790"/>
      <c r="C42" s="791"/>
      <c r="D42" s="815"/>
      <c r="E42" s="783" t="s">
        <v>1809</v>
      </c>
      <c r="F42" s="793">
        <f ca="1">INDIRECT("'数据-取费表'!v"&amp;$G$1)</f>
        <v>0.03</v>
      </c>
      <c r="G42" s="2062"/>
      <c r="H42" s="1988"/>
      <c r="I42" s="846" t="s">
        <v>1821</v>
      </c>
      <c r="J42" s="844">
        <f ca="1">ROUND(C13/C40,3)</f>
        <v>0.33</v>
      </c>
      <c r="K42" s="2082"/>
      <c r="L42" s="1988"/>
      <c r="M42" s="1988"/>
    </row>
    <row r="43" spans="1:18" ht="18" customHeight="1" thickBot="1">
      <c r="A43" s="822" t="s">
        <v>1787</v>
      </c>
      <c r="B43" s="823" t="s">
        <v>1810</v>
      </c>
      <c r="C43" s="824">
        <f ca="1">ROUND(C40*10000/F43,0)</f>
        <v>8980</v>
      </c>
      <c r="D43" s="825" t="s">
        <v>1811</v>
      </c>
      <c r="E43" s="826" t="s">
        <v>1812</v>
      </c>
      <c r="F43" s="827">
        <f ca="1">INDIRECT("'数据-取费表'!k"&amp;$G$1)</f>
        <v>22886.399999999994</v>
      </c>
      <c r="G43" s="2062"/>
      <c r="H43" s="1988"/>
      <c r="I43" s="846" t="s">
        <v>1822</v>
      </c>
      <c r="J43" s="847">
        <f ca="1">1-J42</f>
        <v>0.66999999999999993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f ca="1">C67-C40</f>
        <v>-22275</v>
      </c>
      <c r="D46" s="2085"/>
      <c r="E46" s="2085"/>
      <c r="F46" s="2085"/>
      <c r="I46" s="2378" t="s">
        <v>2340</v>
      </c>
      <c r="J46" s="2379"/>
      <c r="K46" s="2380"/>
      <c r="L46" s="2381" t="str">
        <f ca="1">IF(M47="住宅",0,IF(L48&gt;J51,L60,J60))</f>
        <v>0</v>
      </c>
      <c r="O46" s="2418" t="s">
        <v>2408</v>
      </c>
      <c r="P46" s="1591"/>
      <c r="Q46" s="1603"/>
      <c r="R46" s="1591"/>
    </row>
    <row r="47" spans="1:18" s="2059" customFormat="1" ht="18" customHeight="1" thickBot="1">
      <c r="A47" s="2372">
        <v>1</v>
      </c>
      <c r="B47" s="2373" t="s">
        <v>635</v>
      </c>
      <c r="C47" s="2598">
        <f ca="1">C48+C52+C54</f>
        <v>0</v>
      </c>
      <c r="D47" s="2085"/>
      <c r="E47" s="2085"/>
      <c r="F47" s="2085"/>
      <c r="I47" s="2382" t="s">
        <v>2341</v>
      </c>
      <c r="J47" s="2387" t="s">
        <v>2983</v>
      </c>
      <c r="K47" s="2388" t="s">
        <v>2347</v>
      </c>
      <c r="L47" s="2389">
        <f ca="1">INDIRECT("'数据-取费表'!d"&amp;$G$1)</f>
        <v>40</v>
      </c>
      <c r="M47" s="1603" t="str">
        <f>IF(ISNUMBER(FIND("住宅",C1)),"住宅","非住宅")</f>
        <v>非住宅</v>
      </c>
      <c r="O47" s="2419" t="s">
        <v>2373</v>
      </c>
      <c r="P47" s="2420" t="s">
        <v>2374</v>
      </c>
      <c r="Q47" s="2421" t="s">
        <v>2375</v>
      </c>
      <c r="R47" s="2420" t="s">
        <v>2376</v>
      </c>
    </row>
    <row r="48" spans="1:18" s="2059" customFormat="1" ht="18" customHeight="1" thickBot="1">
      <c r="A48" s="2666" t="s">
        <v>2535</v>
      </c>
      <c r="B48" s="2667" t="s">
        <v>2536</v>
      </c>
      <c r="C48" s="2374">
        <f ca="1">ROUND(F48*F50*F49*(1-F51)/10000,0)</f>
        <v>0</v>
      </c>
      <c r="D48" s="2375" t="s">
        <v>636</v>
      </c>
      <c r="E48" s="2376" t="s">
        <v>2295</v>
      </c>
      <c r="F48" s="2377"/>
      <c r="G48" s="2090"/>
      <c r="I48" s="2383" t="s">
        <v>2342</v>
      </c>
      <c r="J48" s="2390" t="s">
        <v>2348</v>
      </c>
      <c r="K48" s="2391" t="s">
        <v>2349</v>
      </c>
      <c r="L48" s="2392">
        <f ca="1">INDIRECT("'数据-取费表'!f"&amp;$G$1)</f>
        <v>39.53</v>
      </c>
      <c r="O48" s="2422" t="s">
        <v>2377</v>
      </c>
      <c r="P48" s="2423" t="s">
        <v>2403</v>
      </c>
      <c r="Q48" s="2424">
        <f ca="1">C40+J29</f>
        <v>20552</v>
      </c>
      <c r="R48" s="2423" t="s">
        <v>2378</v>
      </c>
    </row>
    <row r="49" spans="1:18" s="2059" customFormat="1" ht="18" customHeight="1" thickBot="1">
      <c r="A49" s="785"/>
      <c r="B49" s="786"/>
      <c r="C49" s="787"/>
      <c r="D49" s="788"/>
      <c r="E49" s="783" t="s">
        <v>1739</v>
      </c>
      <c r="F49" s="784">
        <f ca="1">F7</f>
        <v>22886.399999999994</v>
      </c>
      <c r="G49" s="2090"/>
      <c r="H49" s="2093"/>
      <c r="I49" s="2383" t="s">
        <v>2343</v>
      </c>
      <c r="J49" s="2393"/>
      <c r="K49" s="2394" t="s">
        <v>2350</v>
      </c>
      <c r="L49" s="2395"/>
      <c r="O49" s="2422" t="s">
        <v>2379</v>
      </c>
      <c r="P49" s="2423" t="s">
        <v>2404</v>
      </c>
      <c r="Q49" s="2424" t="str">
        <f ca="1">J60</f>
        <v>0</v>
      </c>
      <c r="R49" s="2423" t="s">
        <v>2380</v>
      </c>
    </row>
    <row r="50" spans="1:18" s="2059" customFormat="1" ht="18" customHeight="1" thickBot="1">
      <c r="A50" s="785"/>
      <c r="B50" s="786"/>
      <c r="C50" s="787"/>
      <c r="D50" s="788"/>
      <c r="E50" s="783" t="s">
        <v>1740</v>
      </c>
      <c r="F50" s="784">
        <f ca="1">F8</f>
        <v>365</v>
      </c>
      <c r="G50" s="2095"/>
      <c r="H50" s="2093"/>
      <c r="I50" s="2383" t="s">
        <v>2344</v>
      </c>
      <c r="J50" s="2396">
        <f>SUMPRODUCT((I63:I65=J47)*(J62:L62=J48)*(J63:L65))</f>
        <v>60</v>
      </c>
      <c r="K50" s="2394" t="s">
        <v>2351</v>
      </c>
      <c r="L50" s="2395"/>
      <c r="O50" s="2425" t="s">
        <v>2381</v>
      </c>
      <c r="P50" s="2423" t="s">
        <v>2405</v>
      </c>
      <c r="Q50" s="2424">
        <f ca="1">C29</f>
        <v>6772</v>
      </c>
      <c r="R50" s="2423" t="s">
        <v>2378</v>
      </c>
    </row>
    <row r="51" spans="1:18" s="2059" customFormat="1" ht="18" customHeight="1" thickBot="1">
      <c r="A51" s="785"/>
      <c r="B51" s="786"/>
      <c r="C51" s="787"/>
      <c r="D51" s="788"/>
      <c r="E51" s="783" t="s">
        <v>640</v>
      </c>
      <c r="F51" s="2371"/>
      <c r="H51" s="2093"/>
      <c r="I51" s="2384" t="s">
        <v>2345</v>
      </c>
      <c r="J51" s="2397">
        <f>IF(J49="",J50,J49+J50-YEAR('数据-取费表'!B2))</f>
        <v>60</v>
      </c>
      <c r="K51" s="2383" t="s">
        <v>2352</v>
      </c>
      <c r="L51" s="2398">
        <f ca="1">ROUND(-PV(INDIRECT("'数据-取费表'!h"&amp;$G$1),L48,(C39-C13*J36),0),0)</f>
        <v>6023</v>
      </c>
      <c r="O51" s="2425" t="s">
        <v>2382</v>
      </c>
      <c r="P51" s="2423" t="s">
        <v>2383</v>
      </c>
      <c r="Q51" s="2426" t="e">
        <f ca="1">J58</f>
        <v>#VALUE!</v>
      </c>
      <c r="R51" s="2427"/>
    </row>
    <row r="52" spans="1:18" s="2059" customFormat="1" ht="18" customHeight="1" thickBot="1">
      <c r="A52" s="780" t="s">
        <v>2534</v>
      </c>
      <c r="B52" s="2518" t="s">
        <v>2457</v>
      </c>
      <c r="C52" s="798">
        <f ca="1">ROUND(IF(F52="押一",C48/12*F11,IF(F52="押二",C48/12*2*F11,IF(F52="押三",C48/12*3*F11,C53*F11))),0)</f>
        <v>0</v>
      </c>
      <c r="D52" s="2525" t="s">
        <v>2974</v>
      </c>
      <c r="E52" s="2522" t="s">
        <v>2462</v>
      </c>
      <c r="F52" s="2645"/>
      <c r="I52" s="2385" t="s">
        <v>2419</v>
      </c>
      <c r="J52" s="2399"/>
      <c r="K52" s="2385" t="s">
        <v>2418</v>
      </c>
      <c r="L52" s="2399"/>
      <c r="O52" s="2425" t="s">
        <v>2384</v>
      </c>
      <c r="P52" s="2423" t="s">
        <v>2385</v>
      </c>
      <c r="Q52" s="2426">
        <f>J52</f>
        <v>0</v>
      </c>
      <c r="R52" s="2427"/>
    </row>
    <row r="53" spans="1:18" s="2059" customFormat="1" ht="39.75" customHeight="1" thickBot="1">
      <c r="A53" s="785"/>
      <c r="B53" s="2519" t="s">
        <v>2571</v>
      </c>
      <c r="C53" s="2523"/>
      <c r="D53" s="2525"/>
      <c r="E53" s="2522"/>
      <c r="F53" s="799"/>
      <c r="I53" s="2386" t="s">
        <v>2346</v>
      </c>
      <c r="J53" s="2400">
        <f ca="1">IF(M47="住宅",J51,IF(D1="——",MIN(J51,L48),IF(D1="土地（套用方法）",MIN(J51,L48-'数据-取费表'!B20))))</f>
        <v>38.03</v>
      </c>
      <c r="K53" s="3923" t="s">
        <v>2965</v>
      </c>
      <c r="L53" s="3924"/>
      <c r="O53" s="2425" t="s">
        <v>2386</v>
      </c>
      <c r="P53" s="2423" t="s">
        <v>2387</v>
      </c>
      <c r="Q53" s="2424">
        <f ca="1">J53</f>
        <v>38.03</v>
      </c>
      <c r="R53" s="2423" t="s">
        <v>2388</v>
      </c>
    </row>
    <row r="54" spans="1:18" s="2059" customFormat="1" ht="18" customHeight="1" thickBot="1">
      <c r="A54" s="2561" t="s">
        <v>2465</v>
      </c>
      <c r="B54" s="2562" t="s">
        <v>2458</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2389</v>
      </c>
      <c r="P54" s="2423" t="s">
        <v>2406</v>
      </c>
      <c r="Q54" s="2424">
        <f ca="1">Q48+Q49</f>
        <v>20552</v>
      </c>
      <c r="R54" s="2427" t="s">
        <v>2390</v>
      </c>
    </row>
    <row r="55" spans="1:18" s="2059" customFormat="1" ht="18" customHeight="1" thickTop="1" thickBot="1">
      <c r="A55" s="796">
        <v>2</v>
      </c>
      <c r="B55" s="797" t="s">
        <v>644</v>
      </c>
      <c r="C55" s="798">
        <f ca="1">C13</f>
        <v>6772</v>
      </c>
      <c r="D55" s="794"/>
      <c r="E55" s="794"/>
      <c r="F55" s="799"/>
      <c r="I55" s="3127" t="s">
        <v>2353</v>
      </c>
      <c r="J55" s="3126" t="e">
        <f ca="1">ROUND(IF(J47="钢混",J57/J50,1-(1-2%)*(J50-J57)/J50),3)</f>
        <v>#VALUE!</v>
      </c>
      <c r="K55" s="2401" t="s">
        <v>2354</v>
      </c>
      <c r="L55" s="2402"/>
      <c r="O55" s="2428" t="s">
        <v>2409</v>
      </c>
      <c r="P55" s="1591"/>
      <c r="Q55" s="1603"/>
      <c r="R55" s="1591"/>
    </row>
    <row r="56" spans="1:18" s="2059" customFormat="1" ht="42.75" customHeight="1" thickBot="1">
      <c r="A56" s="1649"/>
      <c r="B56" s="2231" t="s">
        <v>2301</v>
      </c>
      <c r="C56" s="53">
        <f ca="1">C29</f>
        <v>6772</v>
      </c>
      <c r="D56" s="2663"/>
      <c r="E56" s="783"/>
      <c r="F56" s="808"/>
      <c r="I56" s="2403" t="s">
        <v>2355</v>
      </c>
      <c r="J56" s="3150" t="s">
        <v>1678</v>
      </c>
      <c r="K56" s="2383" t="s">
        <v>2360</v>
      </c>
      <c r="L56" s="2392" t="str">
        <f ca="1">IF(L48&lt;J51,"——",L48-J51)</f>
        <v>——</v>
      </c>
      <c r="O56" s="2419" t="s">
        <v>2373</v>
      </c>
      <c r="P56" s="2420" t="s">
        <v>2374</v>
      </c>
      <c r="Q56" s="2421" t="s">
        <v>2375</v>
      </c>
      <c r="R56" s="2420" t="s">
        <v>2376</v>
      </c>
    </row>
    <row r="57" spans="1:18" s="2059" customFormat="1" ht="28.5" customHeight="1" thickBot="1">
      <c r="A57" s="796" t="s">
        <v>1748</v>
      </c>
      <c r="B57" s="797" t="s">
        <v>651</v>
      </c>
      <c r="C57" s="798">
        <f ca="1">ROUND(C58+C63+C64+C65,0)</f>
        <v>116</v>
      </c>
      <c r="D57" s="26" t="s">
        <v>1750</v>
      </c>
      <c r="E57" s="2664"/>
      <c r="F57" s="56"/>
      <c r="I57" s="2404" t="s">
        <v>2356</v>
      </c>
      <c r="J57" s="2406" t="str">
        <f ca="1">IF(OR(M47="住宅",J51&lt;L48,J56="是"),"——",J51-L48)</f>
        <v>——</v>
      </c>
      <c r="K57" s="2383" t="s">
        <v>2361</v>
      </c>
      <c r="L57" s="2392" t="str">
        <f ca="1">IF(L48&lt;J51,"——",IF(L55="比较法",L49,IF(L55="基准地价",L50,L51)))</f>
        <v>——</v>
      </c>
      <c r="O57" s="2422" t="s">
        <v>2377</v>
      </c>
      <c r="P57" s="2423" t="s">
        <v>2407</v>
      </c>
      <c r="Q57" s="2424">
        <f ca="1">C40+J29</f>
        <v>20552</v>
      </c>
      <c r="R57" s="2423" t="s">
        <v>2378</v>
      </c>
    </row>
    <row r="58" spans="1:18" s="2059" customFormat="1" ht="28.5" customHeight="1" thickBot="1">
      <c r="A58" s="1648" t="s">
        <v>1824</v>
      </c>
      <c r="B58" s="783" t="s">
        <v>656</v>
      </c>
      <c r="C58" s="53">
        <f ca="1">ROUND(IF(项目基本情况!B11="自然人",C47*F58,C59+C60+C61),1)</f>
        <v>4.5999999999999996</v>
      </c>
      <c r="D58" s="2662" t="s">
        <v>657</v>
      </c>
      <c r="E58" s="2663" t="s">
        <v>690</v>
      </c>
      <c r="F58" s="809" t="str">
        <f ca="1">IF(项目基本情况!B11="企业","",IF(INDIRECT("'数据-取费表'!c"&amp;$G$1)="住宅",5%,IF(F48*F49*F50/12/(1+'数据-取费表'!C42)&gt;20000,12%,7%)))</f>
        <v/>
      </c>
      <c r="I58" s="2404" t="s">
        <v>2357</v>
      </c>
      <c r="J58" s="3128" t="e">
        <f ca="1">IF(J55&lt;0.4,0.4,J55)</f>
        <v>#VALUE!</v>
      </c>
      <c r="K58" s="2383" t="s">
        <v>2362</v>
      </c>
      <c r="L58" s="2392" t="e">
        <f ca="1">ROUND(POWER(1+L52,L47-L48)*(POWER(1+L52,L48)-1)/(POWER(1+L52,L47)-1),4)</f>
        <v>#DIV/0!</v>
      </c>
      <c r="O58" s="2422" t="s">
        <v>2379</v>
      </c>
      <c r="P58" s="2423" t="s">
        <v>2410</v>
      </c>
      <c r="Q58" s="2424">
        <f ca="1">L60</f>
        <v>0</v>
      </c>
      <c r="R58" s="2427" t="s">
        <v>2412</v>
      </c>
    </row>
    <row r="59" spans="1:18" s="2059" customFormat="1" ht="28.5" customHeight="1" thickBot="1">
      <c r="A59" s="1647" t="s">
        <v>1831</v>
      </c>
      <c r="B59" s="783" t="s">
        <v>660</v>
      </c>
      <c r="C59" s="53">
        <f ca="1">ROUND(C47*F59/1.05,1)</f>
        <v>0</v>
      </c>
      <c r="D59" s="2663" t="s">
        <v>1756</v>
      </c>
      <c r="E59" s="783" t="s">
        <v>1747</v>
      </c>
      <c r="F59" s="808">
        <f t="shared" ref="F59:F65" si="0">F32</f>
        <v>5.5000000000000007E-2</v>
      </c>
      <c r="I59" s="2404" t="s">
        <v>2358</v>
      </c>
      <c r="J59" s="2406"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2381</v>
      </c>
      <c r="P59" s="2423" t="s">
        <v>2411</v>
      </c>
      <c r="Q59" s="2424">
        <f>IF(L55="比较法",L49,IF(L55="基准地价",L50,0))</f>
        <v>0</v>
      </c>
      <c r="R59" s="2423" t="s">
        <v>2378</v>
      </c>
    </row>
    <row r="60" spans="1:18" s="2059" customFormat="1" ht="18" customHeight="1" thickBot="1">
      <c r="A60" s="1647" t="s">
        <v>1832</v>
      </c>
      <c r="B60" s="783" t="s">
        <v>1758</v>
      </c>
      <c r="C60" s="53">
        <f ca="1">IF(D60="按租金收入计税",ROUND(C47*F60,1),IF(D60="按房产原值计税",ROUND(C56*F60*0.7,1),INDIRECT("'数据-取费表'!Aj"&amp;$G$1)))</f>
        <v>0</v>
      </c>
      <c r="D60" s="2663" t="str">
        <f>D33</f>
        <v>按租金收入计税</v>
      </c>
      <c r="E60" s="783" t="s">
        <v>1747</v>
      </c>
      <c r="F60" s="808">
        <f t="shared" si="0"/>
        <v>0.12</v>
      </c>
      <c r="I60" s="2405" t="s">
        <v>2359</v>
      </c>
      <c r="J60" s="2407" t="str">
        <f ca="1">IF(OR(M47="住宅",J51&lt;L48,J56="是"),"0",ROUND(J59/(1+J52)^J53,0))</f>
        <v>0</v>
      </c>
      <c r="K60" s="2408" t="s">
        <v>2364</v>
      </c>
      <c r="L60" s="2407">
        <f ca="1">IF(OR(M47="住宅",L48&lt;J51),0,ROUND(L57*(L58/L59-1),0))</f>
        <v>0</v>
      </c>
      <c r="O60" s="2425" t="s">
        <v>2382</v>
      </c>
      <c r="P60" s="2423" t="s">
        <v>2391</v>
      </c>
      <c r="Q60" s="2426">
        <f>L52</f>
        <v>0</v>
      </c>
      <c r="R60" s="2427"/>
    </row>
    <row r="61" spans="1:18" s="2059" customFormat="1" ht="18" customHeight="1" thickBot="1">
      <c r="A61" s="1650" t="s">
        <v>1833</v>
      </c>
      <c r="B61" s="340" t="s">
        <v>668</v>
      </c>
      <c r="C61" s="54">
        <f ca="1">ROUND(F61*F62/10000,1)</f>
        <v>4.5999999999999996</v>
      </c>
      <c r="D61" s="813" t="s">
        <v>669</v>
      </c>
      <c r="E61" s="783" t="s">
        <v>670</v>
      </c>
      <c r="F61" s="639">
        <f t="shared" si="0"/>
        <v>6</v>
      </c>
      <c r="K61" s="2086"/>
      <c r="O61" s="2425" t="s">
        <v>2384</v>
      </c>
      <c r="P61" s="2423" t="s">
        <v>2392</v>
      </c>
      <c r="Q61" s="2424" t="e">
        <f ca="1">L58</f>
        <v>#DIV/0!</v>
      </c>
      <c r="R61" s="2427" t="s">
        <v>2393</v>
      </c>
    </row>
    <row r="62" spans="1:18" s="2059" customFormat="1" ht="15.75" thickBot="1">
      <c r="A62" s="814"/>
      <c r="B62" s="792"/>
      <c r="C62" s="69"/>
      <c r="D62" s="815"/>
      <c r="E62" s="783" t="s">
        <v>674</v>
      </c>
      <c r="F62" s="784">
        <f t="shared" ca="1" si="0"/>
        <v>7628.8</v>
      </c>
      <c r="I62" s="2409" t="s">
        <v>2365</v>
      </c>
      <c r="J62" s="2410" t="s">
        <v>2366</v>
      </c>
      <c r="K62" s="2410" t="s">
        <v>2367</v>
      </c>
      <c r="L62" s="2410" t="s">
        <v>2348</v>
      </c>
      <c r="M62" s="3129" t="s">
        <v>2940</v>
      </c>
      <c r="O62" s="2425" t="s">
        <v>2386</v>
      </c>
      <c r="P62" s="2423" t="str">
        <f>K59</f>
        <v>建设期及建筑物耐用年限下的土地年期修正系数Kn</v>
      </c>
      <c r="Q62" s="2424" t="e">
        <f ca="1">L59</f>
        <v>#DIV/0!</v>
      </c>
      <c r="R62" s="2427" t="s">
        <v>2395</v>
      </c>
    </row>
    <row r="63" spans="1:18" s="2059" customFormat="1" ht="15.75" thickBot="1">
      <c r="A63" s="1648" t="s">
        <v>1889</v>
      </c>
      <c r="B63" s="783" t="s">
        <v>676</v>
      </c>
      <c r="C63" s="53">
        <f ca="1">ROUND(C56*F63,1)</f>
        <v>101.6</v>
      </c>
      <c r="D63" s="2663" t="s">
        <v>1803</v>
      </c>
      <c r="E63" s="783" t="s">
        <v>1747</v>
      </c>
      <c r="F63" s="816">
        <f t="shared" ca="1" si="0"/>
        <v>1.4999999999999999E-2</v>
      </c>
      <c r="I63" s="2409" t="s">
        <v>2368</v>
      </c>
      <c r="J63" s="2410">
        <v>70</v>
      </c>
      <c r="K63" s="2410">
        <v>50</v>
      </c>
      <c r="L63" s="2410">
        <v>80</v>
      </c>
      <c r="M63" s="3130">
        <v>0.02</v>
      </c>
      <c r="O63" s="2422" t="s">
        <v>2389</v>
      </c>
      <c r="P63" s="2423" t="s">
        <v>2406</v>
      </c>
      <c r="Q63" s="2424">
        <f ca="1">Q57+Q58</f>
        <v>20552</v>
      </c>
      <c r="R63" s="2427" t="s">
        <v>2390</v>
      </c>
    </row>
    <row r="64" spans="1:18" s="2059" customFormat="1" ht="16.5" thickBot="1">
      <c r="A64" s="1648" t="s">
        <v>1890</v>
      </c>
      <c r="B64" s="783" t="s">
        <v>679</v>
      </c>
      <c r="C64" s="53">
        <f ca="1">ROUND(C55*F64,1)</f>
        <v>10.199999999999999</v>
      </c>
      <c r="D64" s="2663" t="s">
        <v>680</v>
      </c>
      <c r="E64" s="783" t="s">
        <v>1747</v>
      </c>
      <c r="F64" s="817">
        <f t="shared" ca="1" si="0"/>
        <v>1.5E-3</v>
      </c>
      <c r="I64" s="2409" t="s">
        <v>2369</v>
      </c>
      <c r="J64" s="2410">
        <v>50</v>
      </c>
      <c r="K64" s="2410">
        <v>35</v>
      </c>
      <c r="L64" s="2410">
        <v>60</v>
      </c>
      <c r="M64" s="3131">
        <v>0</v>
      </c>
      <c r="O64" s="2428" t="s">
        <v>2413</v>
      </c>
      <c r="P64" s="1591"/>
      <c r="Q64" s="1603"/>
      <c r="R64" s="1591"/>
    </row>
    <row r="65" spans="1:18" s="2059" customFormat="1" ht="15.75" thickBot="1">
      <c r="A65" s="1648" t="s">
        <v>1891</v>
      </c>
      <c r="B65" s="783" t="s">
        <v>666</v>
      </c>
      <c r="C65" s="53">
        <f ca="1">ROUND(C47*F65,1)</f>
        <v>0</v>
      </c>
      <c r="D65" s="2663" t="s">
        <v>683</v>
      </c>
      <c r="E65" s="783" t="s">
        <v>1747</v>
      </c>
      <c r="F65" s="793">
        <f t="shared" ca="1" si="0"/>
        <v>0.01</v>
      </c>
      <c r="I65" s="2409" t="s">
        <v>2370</v>
      </c>
      <c r="J65" s="2410">
        <v>40</v>
      </c>
      <c r="K65" s="2410">
        <v>30</v>
      </c>
      <c r="L65" s="2410">
        <v>50</v>
      </c>
      <c r="M65" s="3130">
        <v>0.02</v>
      </c>
      <c r="O65" s="2419" t="s">
        <v>2373</v>
      </c>
      <c r="P65" s="2420" t="s">
        <v>2374</v>
      </c>
      <c r="Q65" s="2421" t="s">
        <v>2375</v>
      </c>
      <c r="R65" s="2420" t="s">
        <v>2376</v>
      </c>
    </row>
    <row r="66" spans="1:18" s="2059" customFormat="1" ht="24.75" thickBot="1">
      <c r="A66" s="796" t="s">
        <v>1776</v>
      </c>
      <c r="B66" s="3035" t="s">
        <v>2820</v>
      </c>
      <c r="C66" s="798">
        <f ca="1">C47-C57</f>
        <v>-116</v>
      </c>
      <c r="D66" s="2662" t="s">
        <v>700</v>
      </c>
      <c r="E66" s="2661"/>
      <c r="F66" s="819"/>
      <c r="K66" s="2086"/>
      <c r="O66" s="2422" t="s">
        <v>2377</v>
      </c>
      <c r="P66" s="2423" t="s">
        <v>2407</v>
      </c>
      <c r="Q66" s="2424">
        <f ca="1">C40+J29</f>
        <v>20552</v>
      </c>
      <c r="R66" s="2423" t="s">
        <v>2378</v>
      </c>
    </row>
    <row r="67" spans="1:18" s="2059" customFormat="1" ht="20.25" thickBot="1">
      <c r="A67" s="780" t="s">
        <v>1780</v>
      </c>
      <c r="B67" s="2232" t="s">
        <v>2300</v>
      </c>
      <c r="C67" s="782">
        <f ca="1">ROUND(C66*(1-((1+F69)/(1+F67))^F68)/(F67-F69),0)</f>
        <v>-1723</v>
      </c>
      <c r="D67" s="813" t="s">
        <v>704</v>
      </c>
      <c r="E67" s="783" t="s">
        <v>705</v>
      </c>
      <c r="F67" s="793">
        <f ca="1">F40</f>
        <v>0.06</v>
      </c>
      <c r="K67" s="2086"/>
      <c r="O67" s="2422" t="s">
        <v>2379</v>
      </c>
      <c r="P67" s="2423" t="s">
        <v>2410</v>
      </c>
      <c r="Q67" s="2424">
        <f ca="1">L60</f>
        <v>0</v>
      </c>
      <c r="R67" s="2427" t="s">
        <v>2412</v>
      </c>
    </row>
    <row r="68" spans="1:18" ht="21.75" thickBot="1">
      <c r="A68" s="785"/>
      <c r="B68" s="786"/>
      <c r="C68" s="787"/>
      <c r="D68" s="820" t="s">
        <v>1808</v>
      </c>
      <c r="E68" s="783" t="s">
        <v>1784</v>
      </c>
      <c r="F68" s="821">
        <f ca="1">F41</f>
        <v>38.03</v>
      </c>
      <c r="O68" s="2425" t="s">
        <v>2381</v>
      </c>
      <c r="P68" s="2423" t="s">
        <v>2411</v>
      </c>
      <c r="Q68" s="2429">
        <f ca="1">L51</f>
        <v>6023</v>
      </c>
      <c r="R68" s="2430" t="s">
        <v>2414</v>
      </c>
    </row>
    <row r="69" spans="1:18" ht="20.25" thickBot="1">
      <c r="A69" s="789"/>
      <c r="B69" s="790"/>
      <c r="C69" s="791"/>
      <c r="D69" s="815"/>
      <c r="E69" s="783" t="s">
        <v>710</v>
      </c>
      <c r="F69" s="2371"/>
      <c r="O69" s="2425" t="s">
        <v>2382</v>
      </c>
      <c r="P69" s="2431" t="s">
        <v>2396</v>
      </c>
      <c r="Q69" s="2424">
        <f ca="1">ROUND(Q70-Q71*Q72,0)</f>
        <v>352</v>
      </c>
      <c r="R69" s="2427"/>
    </row>
    <row r="70" spans="1:18" ht="15.75" thickBot="1">
      <c r="A70" s="822" t="s">
        <v>1787</v>
      </c>
      <c r="B70" s="823" t="s">
        <v>1810</v>
      </c>
      <c r="C70" s="824">
        <f ca="1">ROUND(C67*10000/F70,0)</f>
        <v>-753</v>
      </c>
      <c r="D70" s="825" t="s">
        <v>1811</v>
      </c>
      <c r="E70" s="826" t="s">
        <v>1812</v>
      </c>
      <c r="F70" s="827">
        <f ca="1">F43</f>
        <v>22886.399999999994</v>
      </c>
      <c r="O70" s="2425" t="s">
        <v>2397</v>
      </c>
      <c r="P70" s="2431" t="s">
        <v>2398</v>
      </c>
      <c r="Q70" s="2424">
        <f ca="1">C39</f>
        <v>928</v>
      </c>
      <c r="R70" s="2423" t="s">
        <v>2378</v>
      </c>
    </row>
    <row r="71" spans="1:18" ht="15.75" thickBot="1">
      <c r="O71" s="2425" t="s">
        <v>2399</v>
      </c>
      <c r="P71" s="2431" t="s">
        <v>2400</v>
      </c>
      <c r="Q71" s="2424">
        <f ca="1">C13</f>
        <v>6772</v>
      </c>
      <c r="R71" s="2423" t="s">
        <v>2378</v>
      </c>
    </row>
    <row r="72" spans="1:18" ht="15.75" thickBot="1">
      <c r="O72" s="2425" t="s">
        <v>2401</v>
      </c>
      <c r="P72" s="2431" t="s">
        <v>2402</v>
      </c>
      <c r="Q72" s="2426">
        <f ca="1">J36</f>
        <v>8.5000000000000006E-2</v>
      </c>
      <c r="R72" s="2427"/>
    </row>
    <row r="73" spans="1:18" ht="15.75" thickBot="1">
      <c r="O73" s="2425" t="s">
        <v>2384</v>
      </c>
      <c r="P73" s="2423" t="s">
        <v>2391</v>
      </c>
      <c r="Q73" s="2426">
        <f>L52</f>
        <v>0</v>
      </c>
      <c r="R73" s="2427"/>
    </row>
    <row r="74" spans="1:18" ht="20.25" thickBot="1">
      <c r="O74" s="2425" t="s">
        <v>2386</v>
      </c>
      <c r="P74" s="2423" t="s">
        <v>2392</v>
      </c>
      <c r="Q74" s="2424" t="e">
        <f ca="1">L58</f>
        <v>#DIV/0!</v>
      </c>
      <c r="R74" s="2427" t="s">
        <v>2393</v>
      </c>
    </row>
    <row r="75" spans="1:18" ht="15.75" thickBot="1">
      <c r="O75" s="2425" t="s">
        <v>2415</v>
      </c>
      <c r="P75" s="2423" t="str">
        <f>K59</f>
        <v>建设期及建筑物耐用年限下的土地年期修正系数Kn</v>
      </c>
      <c r="Q75" s="2424" t="e">
        <f ca="1">L59</f>
        <v>#DIV/0!</v>
      </c>
      <c r="R75" s="2427" t="s">
        <v>2395</v>
      </c>
    </row>
    <row r="76" spans="1:18" ht="15.75" thickBot="1">
      <c r="O76" s="2422" t="s">
        <v>2389</v>
      </c>
      <c r="P76" s="2423" t="s">
        <v>2406</v>
      </c>
      <c r="Q76" s="2424">
        <f ca="1">Q66+Q67</f>
        <v>20552</v>
      </c>
      <c r="R76" s="2427"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590" t="s">
        <v>2037</v>
      </c>
      <c r="B1" s="3590"/>
      <c r="C1" s="3590"/>
      <c r="D1" s="3590"/>
      <c r="E1" s="3590"/>
      <c r="F1" s="3590"/>
      <c r="G1" s="3590"/>
      <c r="H1" s="3590"/>
      <c r="I1" s="3590"/>
      <c r="J1" s="3590"/>
      <c r="K1" s="3590"/>
      <c r="L1" s="3590"/>
      <c r="M1" s="3590"/>
      <c r="N1" s="3590"/>
      <c r="O1" s="3590"/>
      <c r="P1" s="3590"/>
      <c r="Q1" s="3590"/>
      <c r="R1" s="3590"/>
    </row>
    <row r="2" spans="1:18">
      <c r="A2" s="1807" t="s">
        <v>2039</v>
      </c>
      <c r="B2" s="1807"/>
      <c r="C2" s="1807"/>
      <c r="D2" s="1807"/>
      <c r="E2" s="1807"/>
      <c r="F2" s="1807"/>
      <c r="G2" s="1807"/>
      <c r="H2" s="1807"/>
      <c r="I2" s="1808"/>
      <c r="J2" s="1808"/>
      <c r="K2" s="1809" t="str">
        <f>"估价期日："&amp;TEXT(项目基本情况!D3,"yyyy年m月d日;;")</f>
        <v>估价期日：2018年12月4日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591" t="s">
        <v>2028</v>
      </c>
      <c r="B3" s="3591" t="s">
        <v>2729</v>
      </c>
      <c r="C3" s="3592" t="s">
        <v>2029</v>
      </c>
      <c r="D3" s="3591" t="s">
        <v>2733</v>
      </c>
      <c r="E3" s="3594" t="s">
        <v>2030</v>
      </c>
      <c r="F3" s="3594"/>
      <c r="G3" s="3594"/>
      <c r="H3" s="3594" t="s">
        <v>2031</v>
      </c>
      <c r="I3" s="3594"/>
      <c r="J3" s="3594"/>
      <c r="K3" s="3592" t="s">
        <v>2032</v>
      </c>
      <c r="L3" s="3592" t="s">
        <v>2033</v>
      </c>
      <c r="M3" s="3591" t="s">
        <v>2730</v>
      </c>
      <c r="N3" s="3593" t="str">
        <f>"（分摊）"&amp;项目基本情况!B16&amp;"国有建设用地使用权面积/㎡"</f>
        <v>（分摊）出让国有建设用地使用权面积/㎡</v>
      </c>
      <c r="O3" s="3591" t="s">
        <v>2062</v>
      </c>
      <c r="P3" s="3592" t="s">
        <v>2042</v>
      </c>
      <c r="Q3" s="3592" t="s">
        <v>2063</v>
      </c>
      <c r="R3" s="3592" t="s">
        <v>2034</v>
      </c>
    </row>
    <row r="4" spans="1:18" ht="36.75" customHeight="1">
      <c r="A4" s="3591"/>
      <c r="B4" s="3591"/>
      <c r="C4" s="3592"/>
      <c r="D4" s="3591"/>
      <c r="E4" s="2673" t="s">
        <v>2041</v>
      </c>
      <c r="F4" s="2673" t="s">
        <v>2742</v>
      </c>
      <c r="G4" s="2673" t="s">
        <v>2035</v>
      </c>
      <c r="H4" s="2673" t="s">
        <v>2036</v>
      </c>
      <c r="I4" s="2673" t="s">
        <v>2743</v>
      </c>
      <c r="J4" s="2673" t="s">
        <v>2035</v>
      </c>
      <c r="K4" s="3592"/>
      <c r="L4" s="3592"/>
      <c r="M4" s="3591"/>
      <c r="N4" s="3593"/>
      <c r="O4" s="3591"/>
      <c r="P4" s="3592"/>
      <c r="Q4" s="3592"/>
      <c r="R4" s="3592"/>
    </row>
    <row r="5" spans="1:18" ht="135" customHeight="1">
      <c r="A5" s="1943" t="s">
        <v>2653</v>
      </c>
      <c r="B5" s="2891" t="s">
        <v>2651</v>
      </c>
      <c r="C5" s="2672">
        <v>22</v>
      </c>
      <c r="D5" s="2671" t="s">
        <v>2652</v>
      </c>
      <c r="E5" s="1810" t="str">
        <f>项目基本情况!B12</f>
        <v>其他普通商品住房、其他商服用地</v>
      </c>
      <c r="F5" s="2671">
        <v>258</v>
      </c>
      <c r="G5" s="1810" t="str">
        <f>项目基本情况!B13</f>
        <v>住宅、商业</v>
      </c>
      <c r="H5" s="2671">
        <v>1.5</v>
      </c>
      <c r="I5" s="2671">
        <v>1.5</v>
      </c>
      <c r="J5" s="2671">
        <v>1.5</v>
      </c>
      <c r="K5" s="1810" t="str">
        <f>"红线外"&amp;项目基本情况!T40&amp;"、宗地红线内"&amp;项目基本情况!B35</f>
        <v>红线外七通、宗地红线内场地未平整</v>
      </c>
      <c r="L5" s="1810" t="str">
        <f>"红线外"&amp;项目基本情况!T40&amp;"、宗地红线内场地"&amp;项目基本情况!D36</f>
        <v>红线外七通、宗地红线内场地未平整</v>
      </c>
      <c r="M5" s="1810" t="str">
        <f>IF(项目基本情况!B16="出让",项目基本情况!D20,"——")</f>
        <v>住宅69年、商业39年</v>
      </c>
      <c r="N5" s="1810">
        <f>项目基本情况!C22</f>
        <v>38144</v>
      </c>
      <c r="O5" s="1810">
        <f>项目基本情况!C21</f>
        <v>114432</v>
      </c>
      <c r="P5" s="1810">
        <f ca="1">结果表!E42</f>
        <v>10257</v>
      </c>
      <c r="Q5" s="1810">
        <f ca="1">结果表!D42</f>
        <v>3419</v>
      </c>
      <c r="R5" s="1811">
        <f ca="1">结果表!C42</f>
        <v>39126</v>
      </c>
    </row>
    <row r="6" spans="1:18">
      <c r="A6" s="3587" t="str">
        <f>IF(项目基本情况!B9="市场价格","——","抵押价格")</f>
        <v>——</v>
      </c>
      <c r="B6" s="3588"/>
      <c r="C6" s="3588"/>
      <c r="D6" s="3588"/>
      <c r="E6" s="3588"/>
      <c r="F6" s="3588"/>
      <c r="G6" s="3588"/>
      <c r="H6" s="3588"/>
      <c r="I6" s="3588"/>
      <c r="J6" s="3588"/>
      <c r="K6" s="3588"/>
      <c r="L6" s="3588"/>
      <c r="M6" s="3588"/>
      <c r="N6" s="3588"/>
      <c r="O6" s="3588"/>
      <c r="P6" s="3588"/>
      <c r="Q6" s="3589"/>
      <c r="R6" s="1812" t="str">
        <f>结果表!O39</f>
        <v>——</v>
      </c>
    </row>
    <row r="7" spans="1:18">
      <c r="A7" s="3587" t="str">
        <f>IF(项目基本情况!B9="市场价格","——",IF(项目基本情况!E8="已注销及未注销","抵押担保权已注销时的抵押价格","——"))</f>
        <v>——</v>
      </c>
      <c r="B7" s="3588"/>
      <c r="C7" s="3588"/>
      <c r="D7" s="3588"/>
      <c r="E7" s="3588"/>
      <c r="F7" s="3588"/>
      <c r="G7" s="3588"/>
      <c r="H7" s="3588"/>
      <c r="I7" s="3588"/>
      <c r="J7" s="3588"/>
      <c r="K7" s="3588"/>
      <c r="L7" s="3588"/>
      <c r="M7" s="3588"/>
      <c r="N7" s="3588"/>
      <c r="O7" s="3588"/>
      <c r="P7" s="3588"/>
      <c r="Q7" s="3589"/>
      <c r="R7" s="1812" t="str">
        <f>结果表!O40</f>
        <v>——</v>
      </c>
    </row>
    <row r="8" spans="1:18">
      <c r="A8" s="3587" t="str">
        <f>IF(项目基本情况!B9="市场价格","——",项目基本情况!E9)</f>
        <v>——</v>
      </c>
      <c r="B8" s="3588"/>
      <c r="C8" s="3588"/>
      <c r="D8" s="3588"/>
      <c r="E8" s="3588"/>
      <c r="F8" s="3588"/>
      <c r="G8" s="3588"/>
      <c r="H8" s="3588"/>
      <c r="I8" s="3588"/>
      <c r="J8" s="3588"/>
      <c r="K8" s="3588"/>
      <c r="L8" s="3588"/>
      <c r="M8" s="3588"/>
      <c r="N8" s="3588"/>
      <c r="O8" s="3588"/>
      <c r="P8" s="3588"/>
      <c r="Q8" s="3589"/>
      <c r="R8" s="1812" t="str">
        <f>结果表!O41</f>
        <v>——</v>
      </c>
    </row>
    <row r="9" spans="1:18">
      <c r="A9" s="1813" t="s">
        <v>2040</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2027</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8.875" defaultRowHeight="14.25"/>
  <cols>
    <col min="1" max="1" width="15.625" style="1802" customWidth="1"/>
    <col min="2" max="3" width="21.375" style="1802" customWidth="1"/>
    <col min="4" max="4" width="19.875" style="1802" customWidth="1"/>
    <col min="5" max="16384" width="8.875" style="1802"/>
  </cols>
  <sheetData>
    <row r="1" spans="1:4">
      <c r="A1" s="3595" t="s">
        <v>2064</v>
      </c>
      <c r="B1" s="3595"/>
      <c r="C1" s="3595"/>
      <c r="D1" s="3595"/>
    </row>
    <row r="2" spans="1:4" ht="47.25" customHeight="1">
      <c r="A2" s="3599" t="str">
        <f>"1.权利限制："&amp;项目基本情况!L24&amp;"未设定租赁等其他他项权利。"</f>
        <v>1.权利限制：根据估价对象————，截至估价期日，估价对象抵押权未见登记。未设定租赁等其他他项权利。</v>
      </c>
      <c r="B2" s="3599"/>
      <c r="C2" s="3599"/>
      <c r="D2" s="3599"/>
    </row>
    <row r="3" spans="1:4" ht="48" customHeight="1">
      <c r="A3" s="3595"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2.基础设施条件：估价对象实际开发程度为红线外七通、宗地红线内场地未平整；本次评估设定开发程度为红线外七通、宗地红线内场地未平整。</v>
      </c>
      <c r="B3" s="3595"/>
      <c r="C3" s="3595"/>
      <c r="D3" s="3595"/>
    </row>
    <row r="4" spans="1:4" ht="36.75" customHeight="1">
      <c r="A4" s="3595" t="str">
        <f>"3.估价规划限制条件：详见"&amp;项目基本情况!E21&amp;"。"</f>
        <v>3.估价规划限制条件：详见《国有建设用地使用权出让合同》[电子监管号：3206212018B03254]、《不动产权证书》[苏（2018）海安市不动产权第0018525号]。</v>
      </c>
      <c r="B4" s="3595"/>
      <c r="C4" s="3595"/>
      <c r="D4" s="3595"/>
    </row>
    <row r="5" spans="1:4">
      <c r="A5" s="3598" t="s">
        <v>2065</v>
      </c>
      <c r="B5" s="3598"/>
      <c r="C5" s="3598"/>
      <c r="D5" s="3598"/>
    </row>
    <row r="6" spans="1:4">
      <c r="A6" s="3595" t="s">
        <v>2043</v>
      </c>
      <c r="B6" s="3595"/>
      <c r="C6" s="3595"/>
      <c r="D6" s="3595"/>
    </row>
    <row r="7" spans="1:4" ht="33" customHeight="1">
      <c r="A7" s="3595" t="s">
        <v>2573</v>
      </c>
      <c r="B7" s="3595"/>
      <c r="C7" s="3595"/>
      <c r="D7" s="3595"/>
    </row>
    <row r="8" spans="1:4" ht="32.25" customHeight="1">
      <c r="A8" s="359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95"/>
      <c r="C8" s="3595"/>
      <c r="D8" s="3595"/>
    </row>
    <row r="9" spans="1:4" ht="33.75" customHeight="1">
      <c r="A9" s="3595" t="str">
        <f>IF(项目基本情况!B8="抵押","3.抵押双方在办理抵押登记手续时，应使用本公司出具的正式《土地估价报告》，特提请报告使用者注意。","——")</f>
        <v>——</v>
      </c>
      <c r="B9" s="3595"/>
      <c r="C9" s="3595"/>
      <c r="D9" s="3595"/>
    </row>
    <row r="10" spans="1:4">
      <c r="A10" s="3595" t="str">
        <f>IF(项目基本情况!B8="抵押","4.估价师所知悉的法定优先受偿款情况为：","——")</f>
        <v>——</v>
      </c>
      <c r="B10" s="3595"/>
      <c r="C10" s="3595"/>
      <c r="D10" s="3595"/>
    </row>
    <row r="11" spans="1:4" ht="37.5" customHeight="1">
      <c r="A11" s="3597" t="str">
        <f>IF(项目基本情况!B8="抵押","（1）"&amp;CONCATENATE(项目基本情况!L24,项目基本情况!L25,项目基本情况!L26),"——")</f>
        <v>——</v>
      </c>
      <c r="B11" s="3597"/>
      <c r="C11" s="3597"/>
      <c r="D11" s="3597"/>
    </row>
    <row r="12" spans="1:4" ht="168" customHeight="1">
      <c r="A12" s="3598" t="s">
        <v>2067</v>
      </c>
      <c r="B12" s="3598"/>
      <c r="C12" s="3598"/>
      <c r="D12" s="3598"/>
    </row>
    <row r="13" spans="1:4">
      <c r="A13" s="3596" t="s">
        <v>2744</v>
      </c>
      <c r="B13" s="3596"/>
      <c r="C13" s="3596"/>
      <c r="D13" s="3596"/>
    </row>
    <row r="14" spans="1:4">
      <c r="A14" s="3597" t="str">
        <f>IF(项目基本情况!B8="抵押","综上，"&amp;结果表!K47,"——")</f>
        <v>——</v>
      </c>
      <c r="B14" s="3597"/>
      <c r="C14" s="3597"/>
      <c r="D14" s="3597"/>
    </row>
    <row r="15" spans="1:4" ht="58.5" customHeight="1">
      <c r="A15" s="359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95"/>
      <c r="C15" s="3595"/>
      <c r="D15" s="3595"/>
    </row>
    <row r="16" spans="1:4" ht="70.5" customHeight="1">
      <c r="A16" s="359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95"/>
      <c r="C16" s="3595"/>
      <c r="D16" s="3595"/>
    </row>
    <row r="17" spans="1:4">
      <c r="A17" s="3595" t="s">
        <v>2700</v>
      </c>
      <c r="B17" s="3595"/>
      <c r="C17" s="3595"/>
      <c r="D17" s="3595"/>
    </row>
    <row r="18" spans="1:4">
      <c r="A18" s="3595" t="s">
        <v>2692</v>
      </c>
      <c r="B18" s="3595"/>
      <c r="C18" s="3595"/>
      <c r="D18" s="3595"/>
    </row>
    <row r="19" spans="1:4">
      <c r="A19" s="2892" t="s">
        <v>2693</v>
      </c>
      <c r="B19" s="2892" t="s">
        <v>2694</v>
      </c>
      <c r="C19" s="2892" t="s">
        <v>2695</v>
      </c>
      <c r="D19" s="2892" t="s">
        <v>2696</v>
      </c>
    </row>
    <row r="20" spans="1:4">
      <c r="A20" s="2892" t="str">
        <f>项目基本情况!B4</f>
        <v>王鹏</v>
      </c>
      <c r="B20" s="2892">
        <f ca="1">项目基本情况!C4</f>
        <v>2002110030</v>
      </c>
      <c r="C20" s="2894"/>
      <c r="D20" s="1800" t="s">
        <v>2701</v>
      </c>
    </row>
    <row r="21" spans="1:4">
      <c r="A21" s="2892" t="str">
        <f>项目基本情况!D4</f>
        <v>郑燚</v>
      </c>
      <c r="B21" s="2892">
        <f>项目基本情况!E4</f>
        <v>2014110011</v>
      </c>
      <c r="C21" s="2894"/>
      <c r="D21" s="1800" t="s">
        <v>2702</v>
      </c>
    </row>
    <row r="23" spans="1:4">
      <c r="A23" s="3595" t="s">
        <v>2697</v>
      </c>
      <c r="B23" s="3595"/>
      <c r="C23" s="3595"/>
      <c r="D23" s="3595"/>
    </row>
    <row r="24" spans="1:4">
      <c r="A24" s="2892" t="s">
        <v>2693</v>
      </c>
      <c r="B24" s="2892" t="s">
        <v>2698</v>
      </c>
      <c r="C24" s="2892" t="s">
        <v>2695</v>
      </c>
      <c r="D24" s="2892" t="s">
        <v>2696</v>
      </c>
    </row>
    <row r="25" spans="1:4">
      <c r="A25" s="2895" t="s">
        <v>2699</v>
      </c>
      <c r="B25" s="2892" t="s">
        <v>951</v>
      </c>
      <c r="C25" s="2894"/>
      <c r="D25" s="1800" t="s">
        <v>2702</v>
      </c>
    </row>
    <row r="29" spans="1:4">
      <c r="D29" s="2893" t="s">
        <v>2038</v>
      </c>
    </row>
    <row r="30" spans="1:4">
      <c r="D30" s="289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B26" sqref="B26"/>
      <selection pane="bottomLeft" activeCell="B26" sqref="B26"/>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607" t="s">
        <v>53</v>
      </c>
      <c r="B15" s="3608" t="s">
        <v>845</v>
      </c>
      <c r="C15" s="3604"/>
    </row>
    <row r="16" spans="1:7" ht="14.25">
      <c r="A16" s="3607"/>
      <c r="B16" s="3605" t="s">
        <v>54</v>
      </c>
      <c r="C16" s="1170" t="s">
        <v>53</v>
      </c>
    </row>
    <row r="17" spans="1:3" ht="14.25">
      <c r="A17" s="3607"/>
      <c r="B17" s="3605"/>
      <c r="C17" s="1170" t="s">
        <v>55</v>
      </c>
    </row>
    <row r="18" spans="1:3" ht="14.25">
      <c r="A18" s="3607"/>
      <c r="B18" s="3605"/>
      <c r="C18" s="1170" t="s">
        <v>56</v>
      </c>
    </row>
    <row r="19" spans="1:3" ht="14.25">
      <c r="A19" s="3607"/>
      <c r="B19" s="3603" t="s">
        <v>57</v>
      </c>
      <c r="C19" s="3604"/>
    </row>
    <row r="20" spans="1:3" ht="14.25">
      <c r="A20" s="1171" t="s">
        <v>58</v>
      </c>
      <c r="B20" s="1172"/>
      <c r="C20" s="1173"/>
    </row>
    <row r="21" spans="1:3" ht="14.25">
      <c r="A21" s="3606" t="s">
        <v>59</v>
      </c>
      <c r="B21" s="3603" t="s">
        <v>60</v>
      </c>
      <c r="C21" s="3604"/>
    </row>
    <row r="22" spans="1:3" ht="14.25">
      <c r="A22" s="3606"/>
      <c r="B22" s="3603" t="s">
        <v>61</v>
      </c>
      <c r="C22" s="3604"/>
    </row>
    <row r="23" spans="1:3" ht="14.25">
      <c r="A23" s="3606"/>
      <c r="B23" s="3603" t="s">
        <v>62</v>
      </c>
      <c r="C23" s="3604"/>
    </row>
    <row r="24" spans="1:3" ht="14.25">
      <c r="A24" s="3606"/>
      <c r="B24" s="3609" t="s">
        <v>63</v>
      </c>
      <c r="C24" s="1174" t="s">
        <v>836</v>
      </c>
    </row>
    <row r="25" spans="1:3" ht="14.25">
      <c r="A25" s="3606"/>
      <c r="B25" s="3610"/>
      <c r="C25" s="1174" t="s">
        <v>837</v>
      </c>
    </row>
    <row r="26" spans="1:3" ht="14.25">
      <c r="A26" s="3606"/>
      <c r="B26" s="3610"/>
      <c r="C26" s="1174" t="s">
        <v>838</v>
      </c>
    </row>
    <row r="27" spans="1:3" ht="14.25">
      <c r="A27" s="3606"/>
      <c r="B27" s="3610"/>
      <c r="C27" s="1174" t="s">
        <v>839</v>
      </c>
    </row>
    <row r="28" spans="1:3" ht="14.25">
      <c r="A28" s="3606"/>
      <c r="B28" s="3610"/>
      <c r="C28" s="1174" t="s">
        <v>840</v>
      </c>
    </row>
    <row r="29" spans="1:3" ht="14.25">
      <c r="A29" s="3606"/>
      <c r="B29" s="3610"/>
      <c r="C29" s="1174" t="s">
        <v>841</v>
      </c>
    </row>
    <row r="30" spans="1:3" ht="14.25">
      <c r="A30" s="3606"/>
      <c r="B30" s="3610"/>
      <c r="C30" s="1174" t="s">
        <v>842</v>
      </c>
    </row>
    <row r="31" spans="1:3" ht="14.25">
      <c r="A31" s="3606"/>
      <c r="B31" s="3610"/>
      <c r="C31" s="1174" t="s">
        <v>843</v>
      </c>
    </row>
    <row r="32" spans="1:3" ht="14.25">
      <c r="A32" s="3606"/>
      <c r="B32" s="3610"/>
      <c r="C32" s="1174" t="s">
        <v>1646</v>
      </c>
    </row>
    <row r="33" spans="1:3" ht="14.25">
      <c r="A33" s="3606"/>
      <c r="B33" s="3600" t="s">
        <v>1652</v>
      </c>
      <c r="C33" s="1174" t="s">
        <v>1647</v>
      </c>
    </row>
    <row r="34" spans="1:3" ht="14.25">
      <c r="A34" s="3606"/>
      <c r="B34" s="3601"/>
      <c r="C34" s="1179" t="s">
        <v>1648</v>
      </c>
    </row>
    <row r="35" spans="1:3" ht="14.25">
      <c r="A35" s="3606"/>
      <c r="B35" s="3601"/>
      <c r="C35" s="1180" t="s">
        <v>1649</v>
      </c>
    </row>
    <row r="36" spans="1:3" ht="14.25">
      <c r="A36" s="3606"/>
      <c r="B36" s="3601"/>
      <c r="C36" s="1180" t="s">
        <v>1650</v>
      </c>
    </row>
    <row r="37" spans="1:3" ht="14.25">
      <c r="A37" s="3606"/>
      <c r="B37" s="3602"/>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B26" sqref="B26"/>
    </sheetView>
  </sheetViews>
  <sheetFormatPr defaultColWidth="22.625" defaultRowHeight="20.25" customHeight="1"/>
  <cols>
    <col min="1" max="1" width="24.625" style="2341" customWidth="1"/>
    <col min="2" max="5" width="22.625" style="2341"/>
    <col min="6" max="6" width="25.625" style="2341" customWidth="1"/>
    <col min="7" max="16384" width="22.625" style="2341"/>
  </cols>
  <sheetData>
    <row r="2" spans="1:6" ht="20.25" customHeight="1">
      <c r="A2" s="2338" t="s">
        <v>1907</v>
      </c>
      <c r="B2" s="1656">
        <f ca="1">TODAY()</f>
        <v>43510</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0">
        <v>43849</v>
      </c>
      <c r="D4" s="2343" t="s">
        <v>1914</v>
      </c>
      <c r="E4" s="2343">
        <f ca="1">IF(F4&lt;B2,"已过期",96010014)</f>
        <v>96010014</v>
      </c>
      <c r="F4" s="3031">
        <v>47118</v>
      </c>
    </row>
    <row r="5" spans="1:6" ht="20.25" customHeight="1">
      <c r="A5" s="2343" t="s">
        <v>1915</v>
      </c>
      <c r="B5" s="2343">
        <f ca="1">IF(C5&lt;B2,"已过期",1119970074)</f>
        <v>1119970074</v>
      </c>
      <c r="C5" s="3030">
        <v>43849</v>
      </c>
      <c r="D5" s="2343" t="s">
        <v>1915</v>
      </c>
      <c r="E5" s="2343">
        <f ca="1">IF(F5&lt;B2,"已过期",2002110027)</f>
        <v>2002110027</v>
      </c>
      <c r="F5" s="3031">
        <v>46752</v>
      </c>
    </row>
    <row r="6" spans="1:6" ht="20.25" customHeight="1">
      <c r="A6" s="2343" t="s">
        <v>1916</v>
      </c>
      <c r="B6" s="2343">
        <f ca="1">IF(C6&lt;B2,"已过期",1119970111)</f>
        <v>1119970111</v>
      </c>
      <c r="C6" s="3030">
        <v>43849</v>
      </c>
      <c r="D6" s="2343" t="s">
        <v>1916</v>
      </c>
      <c r="E6" s="2343">
        <f ca="1">IF(F6&lt;B2,"已过期",94010078)</f>
        <v>94010078</v>
      </c>
      <c r="F6" s="3031">
        <v>46387</v>
      </c>
    </row>
    <row r="7" spans="1:6" ht="20.25" customHeight="1">
      <c r="A7" s="2343" t="s">
        <v>1917</v>
      </c>
      <c r="B7" s="2343" t="str">
        <f ca="1">IF(C7&lt;B2,"已过期",1120050019)</f>
        <v>已过期</v>
      </c>
      <c r="C7" s="3030">
        <v>43359</v>
      </c>
      <c r="D7" s="2343" t="s">
        <v>1917</v>
      </c>
      <c r="E7" s="2343">
        <f ca="1">IF(F7&lt;B2,"已过期",2002110030)</f>
        <v>2002110030</v>
      </c>
      <c r="F7" s="3031">
        <v>46387</v>
      </c>
    </row>
    <row r="8" spans="1:6" ht="20.25" customHeight="1">
      <c r="A8" s="2343" t="s">
        <v>1918</v>
      </c>
      <c r="B8" s="2343">
        <f ca="1">IF(C8&lt;B2,"已过期",1120000080)</f>
        <v>1120000080</v>
      </c>
      <c r="C8" s="3030">
        <v>43849</v>
      </c>
      <c r="D8" s="2343" t="s">
        <v>1918</v>
      </c>
      <c r="E8" s="2343">
        <f ca="1">IF(F8&lt;B2,"已过期",2000110082)</f>
        <v>2000110082</v>
      </c>
      <c r="F8" s="3031">
        <v>46387</v>
      </c>
    </row>
    <row r="9" spans="1:6" ht="20.25" customHeight="1">
      <c r="A9" s="2343" t="s">
        <v>1919</v>
      </c>
      <c r="B9" s="2343">
        <f ca="1">IF(C9&lt;B2,"已过期",1419970001)</f>
        <v>1419970001</v>
      </c>
      <c r="C9" s="3030">
        <v>43867</v>
      </c>
      <c r="D9" s="2343" t="s">
        <v>1919</v>
      </c>
      <c r="E9" s="2343">
        <f ca="1">IF(F9&lt;B2,"已过期",2002110125)</f>
        <v>2002110125</v>
      </c>
      <c r="F9" s="3031">
        <v>47118</v>
      </c>
    </row>
    <row r="10" spans="1:6" ht="20.25" customHeight="1">
      <c r="A10" s="2343" t="s">
        <v>1920</v>
      </c>
      <c r="B10" s="2343" t="str">
        <f ca="1">IF(C10&lt;B2,"已过期",1120060040)</f>
        <v>已过期</v>
      </c>
      <c r="C10" s="3030">
        <v>43483</v>
      </c>
      <c r="D10" s="2343" t="s">
        <v>1920</v>
      </c>
      <c r="E10" s="2343">
        <f ca="1">IF(F10&lt;B2,"已过期",2004110096)</f>
        <v>2004110096</v>
      </c>
      <c r="F10" s="3031">
        <v>47118</v>
      </c>
    </row>
    <row r="11" spans="1:6" ht="20.25" customHeight="1">
      <c r="A11" s="2343" t="s">
        <v>1921</v>
      </c>
      <c r="B11" s="2343">
        <f ca="1">IF(C11&lt;B2,"已过期",1120100036)</f>
        <v>1120100036</v>
      </c>
      <c r="C11" s="3030">
        <v>43622</v>
      </c>
      <c r="D11" s="2343" t="s">
        <v>1921</v>
      </c>
      <c r="E11" s="2343">
        <f ca="1">IF(F11&lt;B2,"已过期",2010110070)</f>
        <v>2010110070</v>
      </c>
      <c r="F11" s="3031">
        <v>47907</v>
      </c>
    </row>
    <row r="12" spans="1:6" ht="20.25" customHeight="1">
      <c r="A12" s="2343"/>
      <c r="B12" s="2343"/>
      <c r="C12" s="3030"/>
      <c r="D12" s="2343"/>
      <c r="E12" s="2343"/>
      <c r="F12" s="2343"/>
    </row>
    <row r="13" spans="1:6" ht="20.25" customHeight="1">
      <c r="A13" s="2343" t="s">
        <v>1922</v>
      </c>
      <c r="B13" s="2343">
        <f ca="1">IF(C13&lt;B2,"已过期",1120070131)</f>
        <v>1120070131</v>
      </c>
      <c r="C13" s="3030">
        <v>43814</v>
      </c>
      <c r="D13" s="2343" t="s">
        <v>1922</v>
      </c>
      <c r="E13" s="2343">
        <v>2014110011</v>
      </c>
      <c r="F13" s="3031">
        <v>49302</v>
      </c>
    </row>
    <row r="14" spans="1:6" ht="20.25" customHeight="1">
      <c r="A14" s="2343" t="s">
        <v>1923</v>
      </c>
      <c r="B14" s="2343">
        <f ca="1">IF(C14&lt;B2,"已过期",1120130020)</f>
        <v>1120130020</v>
      </c>
      <c r="C14" s="3030">
        <v>43622</v>
      </c>
      <c r="D14" s="2343"/>
      <c r="E14" s="2343"/>
      <c r="F14" s="2343"/>
    </row>
    <row r="15" spans="1:6" ht="20.25" customHeight="1">
      <c r="A15" s="2343" t="s">
        <v>2572</v>
      </c>
      <c r="B15" s="2343">
        <v>1120070085</v>
      </c>
      <c r="C15" s="3030">
        <v>43814</v>
      </c>
      <c r="D15" s="2343" t="s">
        <v>2572</v>
      </c>
      <c r="E15" s="2343">
        <v>2004110128</v>
      </c>
      <c r="F15" s="3031">
        <v>47118</v>
      </c>
    </row>
    <row r="16" spans="1:6" ht="20.25" customHeight="1">
      <c r="A16" s="2343" t="s">
        <v>1924</v>
      </c>
      <c r="B16" s="2343">
        <f ca="1">IF(C16&lt;B2,"已过期",1120140022)</f>
        <v>1120140022</v>
      </c>
      <c r="C16" s="3030">
        <v>44029</v>
      </c>
      <c r="D16" s="2343" t="s">
        <v>1924</v>
      </c>
      <c r="E16" s="2343">
        <f ca="1">IF(F16&lt;B2,"已过期",2008110059)</f>
        <v>2008110059</v>
      </c>
      <c r="F16" s="3031">
        <v>47177</v>
      </c>
    </row>
    <row r="17" spans="1:7" ht="20.25" customHeight="1">
      <c r="A17" s="2343"/>
      <c r="B17" s="2343"/>
      <c r="C17" s="3030"/>
      <c r="D17" s="2343"/>
      <c r="E17" s="2343"/>
      <c r="F17" s="3031"/>
    </row>
    <row r="18" spans="1:7" ht="20.25" customHeight="1">
      <c r="A18" s="2343"/>
      <c r="B18" s="2343"/>
      <c r="C18" s="3030"/>
      <c r="D18" s="2343"/>
      <c r="E18" s="2343"/>
      <c r="F18" s="3031"/>
    </row>
    <row r="19" spans="1:7" ht="20.25" customHeight="1">
      <c r="A19" s="2343"/>
      <c r="B19" s="2343"/>
      <c r="C19" s="3030"/>
      <c r="D19" s="2343"/>
      <c r="E19" s="2343"/>
      <c r="F19" s="2343"/>
    </row>
    <row r="20" spans="1:7" ht="20.25" customHeight="1">
      <c r="A20" s="2343"/>
      <c r="B20" s="2343"/>
      <c r="C20" s="3030"/>
      <c r="D20" s="2343"/>
      <c r="E20" s="2343"/>
      <c r="F20" s="2343"/>
    </row>
    <row r="21" spans="1:7" ht="20.25" customHeight="1">
      <c r="A21" s="2343"/>
      <c r="B21" s="2343"/>
      <c r="C21" s="3030"/>
      <c r="D21" s="2343" t="s">
        <v>1925</v>
      </c>
      <c r="E21" s="2343">
        <f ca="1">IF(F21&lt;B2,"已过期",2011110090)</f>
        <v>2011110090</v>
      </c>
      <c r="F21" s="3031">
        <v>48302</v>
      </c>
    </row>
    <row r="22" spans="1:7" ht="20.25" customHeight="1">
      <c r="A22" s="2343" t="s">
        <v>1926</v>
      </c>
      <c r="B22" s="2343" t="str">
        <f ca="1">IF(C22&lt;B2,"已过期",1120020033)</f>
        <v>已过期</v>
      </c>
      <c r="C22" s="3030">
        <v>43304</v>
      </c>
      <c r="D22" s="2343" t="s">
        <v>1926</v>
      </c>
      <c r="E22" s="2343">
        <f ca="1">IF(F22&lt;B2,"已过期",2000110137)</f>
        <v>2000110137</v>
      </c>
      <c r="F22" s="3031">
        <v>46387</v>
      </c>
    </row>
    <row r="23" spans="1:7" ht="20.25" customHeight="1">
      <c r="A23" s="2343" t="s">
        <v>1927</v>
      </c>
      <c r="B23" s="2343">
        <f ca="1">IF(C23&lt;B2,"已过期",1120130048)</f>
        <v>1120130048</v>
      </c>
      <c r="C23" s="3030">
        <v>43686</v>
      </c>
      <c r="D23" s="2343"/>
      <c r="E23" s="2343"/>
      <c r="F23" s="2343"/>
    </row>
    <row r="24" spans="1:7" s="2347" customFormat="1" ht="20.25" customHeight="1">
      <c r="A24" s="2345" t="s">
        <v>2052</v>
      </c>
      <c r="B24" s="2345" t="s">
        <v>2052</v>
      </c>
      <c r="C24" s="3030"/>
      <c r="D24" s="3032" t="s">
        <v>2052</v>
      </c>
      <c r="E24" s="2345" t="s">
        <v>2052</v>
      </c>
      <c r="F24" s="2346"/>
    </row>
    <row r="25" spans="1:7" ht="20.25" customHeight="1">
      <c r="A25" s="3611" t="s">
        <v>1928</v>
      </c>
      <c r="B25" s="3611"/>
      <c r="C25" s="3611"/>
      <c r="D25" s="3611"/>
      <c r="E25" s="3611"/>
      <c r="F25" s="3611"/>
      <c r="G25" s="3611"/>
    </row>
    <row r="26" spans="1:7" ht="20.25" customHeight="1">
      <c r="A26" s="3612" t="s">
        <v>1929</v>
      </c>
      <c r="B26" s="3612"/>
      <c r="C26" s="3612"/>
      <c r="D26" s="3612" t="s">
        <v>1930</v>
      </c>
      <c r="E26" s="3612"/>
      <c r="F26" s="3612"/>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2941</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2"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W25" sqref="W25"/>
    </sheetView>
  </sheetViews>
  <sheetFormatPr defaultColWidth="8.875"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125" style="1161" customWidth="1"/>
    <col min="26" max="16384" width="8.875" style="1161"/>
  </cols>
  <sheetData>
    <row r="1" spans="1:23" s="1182" customFormat="1" ht="27">
      <c r="A1" s="965"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2543</v>
      </c>
      <c r="R1" s="2606" t="s">
        <v>2537</v>
      </c>
      <c r="S1" s="6" t="s">
        <v>146</v>
      </c>
      <c r="T1" s="7" t="s">
        <v>147</v>
      </c>
      <c r="U1" s="6" t="s">
        <v>148</v>
      </c>
      <c r="V1" s="6" t="s">
        <v>149</v>
      </c>
      <c r="W1" s="1002"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2538</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2539</v>
      </c>
      <c r="S3" s="9" t="s">
        <v>84</v>
      </c>
      <c r="T3" s="9" t="s">
        <v>85</v>
      </c>
      <c r="U3" s="9" t="s">
        <v>84</v>
      </c>
      <c r="V3" s="9" t="s">
        <v>86</v>
      </c>
      <c r="W3" s="9" t="s">
        <v>875</v>
      </c>
    </row>
    <row r="4" spans="1:23">
      <c r="A4" s="8" t="s">
        <v>87</v>
      </c>
      <c r="B4" s="8" t="s">
        <v>152</v>
      </c>
      <c r="C4" s="1550"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2540</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4" t="s">
        <v>546</v>
      </c>
      <c r="Q5" s="9" t="s">
        <v>97</v>
      </c>
      <c r="R5" s="1004" t="s">
        <v>2541</v>
      </c>
      <c r="S5" s="9" t="s">
        <v>97</v>
      </c>
      <c r="T5" s="9" t="s">
        <v>98</v>
      </c>
      <c r="U5" s="9" t="s">
        <v>97</v>
      </c>
      <c r="W5" s="9" t="s">
        <v>877</v>
      </c>
    </row>
    <row r="6" spans="1:23">
      <c r="A6" s="8" t="s">
        <v>99</v>
      </c>
      <c r="B6" s="1147" t="s">
        <v>1640</v>
      </c>
      <c r="C6" s="1552" t="s">
        <v>1713</v>
      </c>
      <c r="F6" s="9" t="s">
        <v>71</v>
      </c>
      <c r="H6" s="9" t="s">
        <v>72</v>
      </c>
      <c r="I6" s="9" t="s">
        <v>100</v>
      </c>
      <c r="K6" s="9" t="s">
        <v>101</v>
      </c>
      <c r="L6" s="9" t="s">
        <v>101</v>
      </c>
      <c r="M6" s="9" t="s">
        <v>101</v>
      </c>
      <c r="N6" s="9" t="s">
        <v>101</v>
      </c>
      <c r="O6" s="9" t="s">
        <v>101</v>
      </c>
      <c r="P6" s="1004" t="s">
        <v>880</v>
      </c>
      <c r="Q6" s="9" t="s">
        <v>101</v>
      </c>
      <c r="R6" s="1004" t="s">
        <v>2542</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41" t="s">
        <v>2954</v>
      </c>
      <c r="C18" s="1553"/>
    </row>
    <row r="19" spans="1:3">
      <c r="A19" s="8" t="s">
        <v>120</v>
      </c>
      <c r="B19" s="3141" t="s">
        <v>2962</v>
      </c>
      <c r="C19" s="1553"/>
    </row>
    <row r="20" spans="1:3">
      <c r="A20" s="8" t="s">
        <v>121</v>
      </c>
      <c r="B20" s="8" t="s">
        <v>1641</v>
      </c>
      <c r="C20" s="1553"/>
    </row>
    <row r="21" spans="1:3">
      <c r="A21" s="8" t="s">
        <v>122</v>
      </c>
      <c r="B21" s="3141" t="s">
        <v>3115</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海穗工业园区发展有限公司拟使用江苏省南通市海安市高新区祖师庙村1组320621108211GB00054W00000000号一宗住宅、商业用地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1986</v>
      </c>
      <c r="B52" s="1768" t="s">
        <v>1987</v>
      </c>
      <c r="C52" s="1766" t="s">
        <v>1988</v>
      </c>
      <c r="D52" s="1766" t="s">
        <v>1989</v>
      </c>
      <c r="E52" s="1767"/>
    </row>
    <row r="53" spans="1:5">
      <c r="A53" s="3613" t="s">
        <v>1990</v>
      </c>
      <c r="B53" s="1766" t="s">
        <v>1996</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12月4日，在规划利用条件下、设定土地开发程度为红线外“七通”、宗地内场地未平整，设定用途为住宅、商业，剩余土地使用年限为住宅69年、商业39年的出让国有建设用地使用权价格。</v>
      </c>
      <c r="D53" s="1767"/>
      <c r="E53" s="1767"/>
    </row>
    <row r="54" spans="1:5">
      <c r="A54" s="3613"/>
      <c r="B54" s="1766" t="s">
        <v>1997</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613"/>
      <c r="B55" s="1766" t="s">
        <v>1991</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613"/>
      <c r="B56" s="1766" t="s">
        <v>1992</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613"/>
      <c r="B57" s="1766" t="s">
        <v>1993</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2048</v>
      </c>
      <c r="B58" s="1766"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366</vt:i4>
      </vt:variant>
    </vt:vector>
  </HeadingPairs>
  <TitlesOfParts>
    <vt:vector size="41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比较法-住宅、综合 (2)</vt:lpstr>
      <vt:lpstr>土地案例</vt:lpstr>
      <vt:lpstr>土地案例（海安高新）</vt:lpstr>
      <vt:lpstr>土地案例（海安）</vt:lpstr>
      <vt:lpstr>案例位置</vt:lpstr>
      <vt:lpstr>剩余法-待开发</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八级</vt:lpstr>
      <vt:lpstr>案例位置!办公层高</vt:lpstr>
      <vt:lpstr>'土地案例（海安）'!办公层高</vt:lpstr>
      <vt:lpstr>办公层高</vt:lpstr>
      <vt:lpstr>案例位置!办公朝向</vt:lpstr>
      <vt:lpstr>'土地案例（海安）'!办公朝向</vt:lpstr>
      <vt:lpstr>办公朝向</vt:lpstr>
      <vt:lpstr>案例位置!办公道路级别</vt:lpstr>
      <vt:lpstr>'土地案例（海安）'!办公道路级别</vt:lpstr>
      <vt:lpstr>办公道路级别</vt:lpstr>
      <vt:lpstr>案例位置!办公公共部分装修</vt:lpstr>
      <vt:lpstr>'土地案例（海安）'!办公公共部分装修</vt:lpstr>
      <vt:lpstr>办公公共部分装修</vt:lpstr>
      <vt:lpstr>案例位置!办公基础设施水平</vt:lpstr>
      <vt:lpstr>'土地案例（海安）'!办公基础设施水平</vt:lpstr>
      <vt:lpstr>办公基础设施水平</vt:lpstr>
      <vt:lpstr>案例位置!办公集聚程度</vt:lpstr>
      <vt:lpstr>'土地案例（海安）'!办公集聚程度</vt:lpstr>
      <vt:lpstr>办公集聚程度</vt:lpstr>
      <vt:lpstr>案例位置!办公建筑结构</vt:lpstr>
      <vt:lpstr>'土地案例（海安）'!办公建筑结构</vt:lpstr>
      <vt:lpstr>办公建筑结构</vt:lpstr>
      <vt:lpstr>案例位置!办公建筑类型</vt:lpstr>
      <vt:lpstr>'土地案例（海安）'!办公建筑类型</vt:lpstr>
      <vt:lpstr>办公建筑类型</vt:lpstr>
      <vt:lpstr>案例位置!办公交易情况</vt:lpstr>
      <vt:lpstr>'土地案例（海安）'!办公交易情况</vt:lpstr>
      <vt:lpstr>办公交易情况</vt:lpstr>
      <vt:lpstr>案例位置!办公楼层</vt:lpstr>
      <vt:lpstr>'土地案例（海安）'!办公楼层</vt:lpstr>
      <vt:lpstr>办公楼层</vt:lpstr>
      <vt:lpstr>案例位置!办公内部装修</vt:lpstr>
      <vt:lpstr>'土地案例（海安）'!办公内部装修</vt:lpstr>
      <vt:lpstr>办公内部装修</vt:lpstr>
      <vt:lpstr>案例位置!办公物业管理</vt:lpstr>
      <vt:lpstr>'土地案例（海安）'!办公物业管理</vt:lpstr>
      <vt:lpstr>办公物业管理</vt:lpstr>
      <vt:lpstr>案例位置!办公用途</vt:lpstr>
      <vt:lpstr>'土地案例（海安）'!办公用途</vt:lpstr>
      <vt:lpstr>办公用途</vt:lpstr>
      <vt:lpstr>案例位置!仓储公共部分装修</vt:lpstr>
      <vt:lpstr>'土地案例（海安）'!仓储公共部分装修</vt:lpstr>
      <vt:lpstr>仓储公共部分装修</vt:lpstr>
      <vt:lpstr>案例位置!仓储交易情况</vt:lpstr>
      <vt:lpstr>'土地案例（海安）'!仓储交易情况</vt:lpstr>
      <vt:lpstr>仓储交易情况</vt:lpstr>
      <vt:lpstr>案例位置!仓储楼层</vt:lpstr>
      <vt:lpstr>'土地案例（海安）'!仓储楼层</vt:lpstr>
      <vt:lpstr>仓储楼层</vt:lpstr>
      <vt:lpstr>案例位置!仓储物业等级</vt:lpstr>
      <vt:lpstr>'土地案例（海安）'!仓储物业等级</vt:lpstr>
      <vt:lpstr>仓储物业等级</vt:lpstr>
      <vt:lpstr>案例位置!仓储用途</vt:lpstr>
      <vt:lpstr>'土地案例（海安）'!仓储用途</vt:lpstr>
      <vt:lpstr>仓储用途</vt:lpstr>
      <vt:lpstr>案例位置!产业集聚程度</vt:lpstr>
      <vt:lpstr>'土地案例（海安）'!产业集聚程度</vt:lpstr>
      <vt:lpstr>产业集聚程度</vt:lpstr>
      <vt:lpstr>案例位置!车位公共部分装修</vt:lpstr>
      <vt:lpstr>'土地案例（海安）'!车位公共部分装修</vt:lpstr>
      <vt:lpstr>车位公共部分装修</vt:lpstr>
      <vt:lpstr>案例位置!车位交易情况</vt:lpstr>
      <vt:lpstr>'土地案例（海安）'!车位交易情况</vt:lpstr>
      <vt:lpstr>车位交易情况</vt:lpstr>
      <vt:lpstr>案例位置!车位类型</vt:lpstr>
      <vt:lpstr>'土地案例（海安）'!车位类型</vt:lpstr>
      <vt:lpstr>车位类型</vt:lpstr>
      <vt:lpstr>案例位置!车位楼层</vt:lpstr>
      <vt:lpstr>'土地案例（海安）'!车位楼层</vt:lpstr>
      <vt:lpstr>车位楼层</vt:lpstr>
      <vt:lpstr>案例位置!车位配套类型</vt:lpstr>
      <vt:lpstr>'土地案例（海安）'!车位配套类型</vt:lpstr>
      <vt:lpstr>车位配套类型</vt:lpstr>
      <vt:lpstr>案例位置!车位物业等级</vt:lpstr>
      <vt:lpstr>'土地案例（海安）'!车位物业等级</vt:lpstr>
      <vt:lpstr>车位物业等级</vt:lpstr>
      <vt:lpstr>案例位置!车位用途</vt:lpstr>
      <vt:lpstr>'土地案例（海安）'!车位用途</vt:lpstr>
      <vt:lpstr>车位用途</vt:lpstr>
      <vt:lpstr>案例位置!城镇土地纳税等级分级范围</vt:lpstr>
      <vt:lpstr>'土地案例（海安）'!城镇土地纳税等级分级范围</vt:lpstr>
      <vt:lpstr>城镇土地纳税等级分级范围</vt:lpstr>
      <vt:lpstr>案例位置!单价内涵</vt:lpstr>
      <vt:lpstr>'土地案例（海安）'!单价内涵</vt:lpstr>
      <vt:lpstr>单价内涵</vt:lpstr>
      <vt:lpstr>案例位置!地类判定</vt:lpstr>
      <vt:lpstr>'土地案例（海安）'!地类判定</vt:lpstr>
      <vt:lpstr>地类判定</vt:lpstr>
      <vt:lpstr>二级</vt:lpstr>
      <vt:lpstr>案例位置!二级分类</vt:lpstr>
      <vt:lpstr>'土地案例（海安）'!二级分类</vt:lpstr>
      <vt:lpstr>二级分类</vt:lpstr>
      <vt:lpstr>案例位置!法定最高年限</vt:lpstr>
      <vt:lpstr>'土地案例（海安）'!法定最高年限</vt:lpstr>
      <vt:lpstr>法定最高年限</vt:lpstr>
      <vt:lpstr>案例位置!工业公共部分装修</vt:lpstr>
      <vt:lpstr>'土地案例（海安）'!工业公共部分装修</vt:lpstr>
      <vt:lpstr>工业公共部分装修</vt:lpstr>
      <vt:lpstr>案例位置!工业基础设施水平</vt:lpstr>
      <vt:lpstr>'土地案例（海安）'!工业基础设施水平</vt:lpstr>
      <vt:lpstr>工业基础设施水平</vt:lpstr>
      <vt:lpstr>案例位置!工业建筑结构</vt:lpstr>
      <vt:lpstr>'土地案例（海安）'!工业建筑结构</vt:lpstr>
      <vt:lpstr>工业建筑结构</vt:lpstr>
      <vt:lpstr>案例位置!工业建筑类型</vt:lpstr>
      <vt:lpstr>'土地案例（海安）'!工业建筑类型</vt:lpstr>
      <vt:lpstr>工业建筑类型</vt:lpstr>
      <vt:lpstr>案例位置!工业交易情况</vt:lpstr>
      <vt:lpstr>'土地案例（海安）'!工业交易情况</vt:lpstr>
      <vt:lpstr>工业交易情况</vt:lpstr>
      <vt:lpstr>案例位置!工业内部装修</vt:lpstr>
      <vt:lpstr>'土地案例（海安）'!工业内部装修</vt:lpstr>
      <vt:lpstr>工业内部装修</vt:lpstr>
      <vt:lpstr>案例位置!工业物业管理</vt:lpstr>
      <vt:lpstr>'土地案例（海安）'!工业物业管理</vt:lpstr>
      <vt:lpstr>工业物业管理</vt:lpstr>
      <vt:lpstr>案例位置!工业用途</vt:lpstr>
      <vt:lpstr>'土地案例（海安）'!工业用途</vt:lpstr>
      <vt:lpstr>工业用途</vt:lpstr>
      <vt:lpstr>案例位置!公共配套设施</vt:lpstr>
      <vt:lpstr>'土地案例（海安）'!公共配套设施</vt:lpstr>
      <vt:lpstr>公共配套设施</vt:lpstr>
      <vt:lpstr>案例位置!估价方法</vt:lpstr>
      <vt:lpstr>'土地案例（海安）'!估价方法</vt:lpstr>
      <vt:lpstr>估价方法</vt:lpstr>
      <vt:lpstr>案例位置!环境</vt:lpstr>
      <vt:lpstr>'土地案例（海安）'!环境</vt:lpstr>
      <vt:lpstr>环境</vt:lpstr>
      <vt:lpstr>案例位置!基础设施水平</vt:lpstr>
      <vt:lpstr>'土地案例（海安）'!基础设施水平</vt:lpstr>
      <vt:lpstr>基础设施水平</vt:lpstr>
      <vt:lpstr>季度</vt:lpstr>
      <vt:lpstr>季度2014</vt:lpstr>
      <vt:lpstr>案例位置!价值类型2</vt:lpstr>
      <vt:lpstr>'土地案例（海安）'!价值类型2</vt:lpstr>
      <vt:lpstr>价值类型2</vt:lpstr>
      <vt:lpstr>案例位置!交通便捷度</vt:lpstr>
      <vt:lpstr>'土地案例（海安）'!交通便捷度</vt:lpstr>
      <vt:lpstr>交通便捷度</vt:lpstr>
      <vt:lpstr>九级</vt:lpstr>
      <vt:lpstr>案例位置!居住社区成熟度</vt:lpstr>
      <vt:lpstr>'土地案例（海安）'!居住社区成熟度</vt:lpstr>
      <vt:lpstr>居住社区成熟度</vt:lpstr>
      <vt:lpstr>案例位置!类别</vt:lpstr>
      <vt:lpstr>'土地案例（海安）'!类别</vt:lpstr>
      <vt:lpstr>类别</vt:lpstr>
      <vt:lpstr>案例位置!临街状况</vt:lpstr>
      <vt:lpstr>'土地案例（海安）'!临街状况</vt:lpstr>
      <vt:lpstr>临街状况</vt:lpstr>
      <vt:lpstr>六级</vt:lpstr>
      <vt:lpstr>案例位置!内部装修维护情况</vt:lpstr>
      <vt:lpstr>'土地案例（海安）'!内部装修维护情况</vt:lpstr>
      <vt:lpstr>内部装修维护情况</vt:lpstr>
      <vt:lpstr>案例位置!判定</vt:lpstr>
      <vt:lpstr>'土地案例（海安）'!判定</vt:lpstr>
      <vt:lpstr>判定</vt:lpstr>
      <vt:lpstr>七级</vt:lpstr>
      <vt:lpstr>案例位置!七通一平</vt:lpstr>
      <vt:lpstr>'土地案例（海安）'!七通一平</vt:lpstr>
      <vt:lpstr>七通一平</vt:lpstr>
      <vt:lpstr>案例位置!区域土地利用方向</vt:lpstr>
      <vt:lpstr>'土地案例（海安）'!区域土地利用方向</vt:lpstr>
      <vt:lpstr>区域土地利用方向</vt:lpstr>
      <vt:lpstr>三级</vt:lpstr>
      <vt:lpstr>案例位置!商业层高</vt:lpstr>
      <vt:lpstr>'土地案例（海安）'!商业层高</vt:lpstr>
      <vt:lpstr>商业层高</vt:lpstr>
      <vt:lpstr>商业成新度</vt:lpstr>
      <vt:lpstr>案例位置!商业繁华度</vt:lpstr>
      <vt:lpstr>'土地案例（海安）'!商业繁华度</vt:lpstr>
      <vt:lpstr>商业繁华度</vt:lpstr>
      <vt:lpstr>案例位置!商业公共部分装修</vt:lpstr>
      <vt:lpstr>'土地案例（海安）'!商业公共部分装修</vt:lpstr>
      <vt:lpstr>商业公共部分装修</vt:lpstr>
      <vt:lpstr>案例位置!商业基础设施水平</vt:lpstr>
      <vt:lpstr>'土地案例（海安）'!商业基础设施水平</vt:lpstr>
      <vt:lpstr>商业基础设施水平</vt:lpstr>
      <vt:lpstr>案例位置!商业建筑结构</vt:lpstr>
      <vt:lpstr>'土地案例（海安）'!商业建筑结构</vt:lpstr>
      <vt:lpstr>商业建筑结构</vt:lpstr>
      <vt:lpstr>案例位置!商业交易情况</vt:lpstr>
      <vt:lpstr>'土地案例（海安）'!商业交易情况</vt:lpstr>
      <vt:lpstr>商业交易情况</vt:lpstr>
      <vt:lpstr>案例位置!商业街名称</vt:lpstr>
      <vt:lpstr>'土地案例（海安）'!商业街名称</vt:lpstr>
      <vt:lpstr>商业街名称</vt:lpstr>
      <vt:lpstr>案例位置!商业进深比</vt:lpstr>
      <vt:lpstr>'土地案例（海安）'!商业进深比</vt:lpstr>
      <vt:lpstr>商业进深比</vt:lpstr>
      <vt:lpstr>案例位置!商业类型</vt:lpstr>
      <vt:lpstr>'土地案例（海安）'!商业类型</vt:lpstr>
      <vt:lpstr>商业类型</vt:lpstr>
      <vt:lpstr>案例位置!商业临街状况</vt:lpstr>
      <vt:lpstr>'土地案例（海安）'!商业临街状况</vt:lpstr>
      <vt:lpstr>商业临街状况</vt:lpstr>
      <vt:lpstr>案例位置!商业楼层</vt:lpstr>
      <vt:lpstr>'土地案例（海安）'!商业楼层</vt:lpstr>
      <vt:lpstr>商业楼层</vt:lpstr>
      <vt:lpstr>案例位置!商业内部装修</vt:lpstr>
      <vt:lpstr>'土地案例（海安）'!商业内部装修</vt:lpstr>
      <vt:lpstr>商业内部装修</vt:lpstr>
      <vt:lpstr>案例位置!商业人流量</vt:lpstr>
      <vt:lpstr>'土地案例（海安）'!商业人流量</vt:lpstr>
      <vt:lpstr>商业人流量</vt:lpstr>
      <vt:lpstr>案例位置!商业业态</vt:lpstr>
      <vt:lpstr>'土地案例（海安）'!商业业态</vt:lpstr>
      <vt:lpstr>商业业态</vt:lpstr>
      <vt:lpstr>案例位置!商业用途</vt:lpstr>
      <vt:lpstr>'土地案例（海安）'!商业用途</vt:lpstr>
      <vt:lpstr>商业用途</vt:lpstr>
      <vt:lpstr>十二级</vt:lpstr>
      <vt:lpstr>十级</vt:lpstr>
      <vt:lpstr>十一级</vt:lpstr>
      <vt:lpstr>案例位置!是否封闭</vt:lpstr>
      <vt:lpstr>'土地案例（海安）'!是否封闭</vt:lpstr>
      <vt:lpstr>是否封闭</vt:lpstr>
      <vt:lpstr>案例位置!是否直接入户</vt:lpstr>
      <vt:lpstr>'土地案例（海安）'!是否直接入户</vt:lpstr>
      <vt:lpstr>是否直接入户</vt:lpstr>
      <vt:lpstr>四级</vt:lpstr>
      <vt:lpstr>案例位置!套工工程地质条件</vt:lpstr>
      <vt:lpstr>'土地案例（海安）'!套工工程地质条件</vt:lpstr>
      <vt:lpstr>套工工程地质条件</vt:lpstr>
      <vt:lpstr>案例位置!套工交易情况</vt:lpstr>
      <vt:lpstr>'比较法-住宅、综合 (2)'!套工交易情况</vt:lpstr>
      <vt:lpstr>'土地案例（海安）'!套工交易情况</vt:lpstr>
      <vt:lpstr>套工交易情况</vt:lpstr>
      <vt:lpstr>案例位置!套工开发程度</vt:lpstr>
      <vt:lpstr>'土地案例（海安）'!套工开发程度</vt:lpstr>
      <vt:lpstr>套工开发程度</vt:lpstr>
      <vt:lpstr>案例位置!套工临街等级</vt:lpstr>
      <vt:lpstr>'土地案例（海安）'!套工临街等级</vt:lpstr>
      <vt:lpstr>套工临街等级</vt:lpstr>
      <vt:lpstr>案例位置!套工土地级别</vt:lpstr>
      <vt:lpstr>'土地案例（海安）'!套工土地级别</vt:lpstr>
      <vt:lpstr>套工土地级别</vt:lpstr>
      <vt:lpstr>案例位置!套工用途</vt:lpstr>
      <vt:lpstr>'土地案例（海安）'!套工用途</vt:lpstr>
      <vt:lpstr>套工用途</vt:lpstr>
      <vt:lpstr>案例位置!套工宗地形状</vt:lpstr>
      <vt:lpstr>'土地案例（海安）'!套工宗地形状</vt:lpstr>
      <vt:lpstr>套工宗地形状</vt:lpstr>
      <vt:lpstr>案例位置!套综道路等级</vt:lpstr>
      <vt:lpstr>'比较法-住宅、综合 (2)'!套综道路等级</vt:lpstr>
      <vt:lpstr>'土地案例（海安）'!套综道路等级</vt:lpstr>
      <vt:lpstr>套综道路等级</vt:lpstr>
      <vt:lpstr>案例位置!套综工程地质条件</vt:lpstr>
      <vt:lpstr>'比较法-住宅、综合 (2)'!套综工程地质条件</vt:lpstr>
      <vt:lpstr>'土地案例（海安）'!套综工程地质条件</vt:lpstr>
      <vt:lpstr>套综工程地质条件</vt:lpstr>
      <vt:lpstr>案例位置!套综交易情况</vt:lpstr>
      <vt:lpstr>'比较法-住宅、综合 (2)'!套综交易情况</vt:lpstr>
      <vt:lpstr>'土地案例（海安）'!套综交易情况</vt:lpstr>
      <vt:lpstr>套综交易情况</vt:lpstr>
      <vt:lpstr>案例位置!套综临街宽度及深度</vt:lpstr>
      <vt:lpstr>'比较法-住宅、综合 (2)'!套综临街宽度及深度</vt:lpstr>
      <vt:lpstr>'土地案例（海安）'!套综临街宽度及深度</vt:lpstr>
      <vt:lpstr>套综临街宽度及深度</vt:lpstr>
      <vt:lpstr>案例位置!套综土地级别</vt:lpstr>
      <vt:lpstr>'比较法-住宅、综合 (2)'!套综土地级别</vt:lpstr>
      <vt:lpstr>'土地案例（海安）'!套综土地级别</vt:lpstr>
      <vt:lpstr>套综土地级别</vt:lpstr>
      <vt:lpstr>案例位置!套综用途</vt:lpstr>
      <vt:lpstr>'比较法-住宅、综合 (2)'!套综用途</vt:lpstr>
      <vt:lpstr>'土地案例（海安）'!套综用途</vt:lpstr>
      <vt:lpstr>套综用途</vt:lpstr>
      <vt:lpstr>案例位置!套综宗地内开发程度</vt:lpstr>
      <vt:lpstr>'比较法-住宅、综合 (2)'!套综宗地内开发程度</vt:lpstr>
      <vt:lpstr>'土地案例（海安）'!套综宗地内开发程度</vt:lpstr>
      <vt:lpstr>套综宗地内开发程度</vt:lpstr>
      <vt:lpstr>案例位置!套综宗地形状</vt:lpstr>
      <vt:lpstr>'比较法-住宅、综合 (2)'!套综宗地形状</vt:lpstr>
      <vt:lpstr>'土地案例（海安）'!套综宗地形状</vt:lpstr>
      <vt:lpstr>套综宗地形状</vt:lpstr>
      <vt:lpstr>案例位置!土地估价师</vt:lpstr>
      <vt:lpstr>'土地案例（海安）'!土地估价师</vt:lpstr>
      <vt:lpstr>土地估价师</vt:lpstr>
      <vt:lpstr>案例位置!土地级别</vt:lpstr>
      <vt:lpstr>'土地案例（海安）'!土地级别</vt:lpstr>
      <vt:lpstr>土地级别</vt:lpstr>
      <vt:lpstr>土地利用方向</vt:lpstr>
      <vt:lpstr>案例位置!土地年限区间</vt:lpstr>
      <vt:lpstr>'土地案例（海安）'!土地年限区间</vt:lpstr>
      <vt:lpstr>土地年限区间</vt:lpstr>
      <vt:lpstr>案例位置!位置</vt:lpstr>
      <vt:lpstr>'土地案例（海安）'!位置</vt:lpstr>
      <vt:lpstr>位置</vt:lpstr>
      <vt:lpstr>案例位置!五等判定</vt:lpstr>
      <vt:lpstr>'土地案例（海安）'!五等判定</vt:lpstr>
      <vt:lpstr>五等判定</vt:lpstr>
      <vt:lpstr>五级</vt:lpstr>
      <vt:lpstr>案例位置!项目类型</vt:lpstr>
      <vt:lpstr>'土地案例（海安）'!项目类型</vt:lpstr>
      <vt:lpstr>项目类型</vt:lpstr>
      <vt:lpstr>案例位置!写字楼等级</vt:lpstr>
      <vt:lpstr>'土地案例（海安）'!写字楼等级</vt:lpstr>
      <vt:lpstr>写字楼等级</vt:lpstr>
      <vt:lpstr>一级</vt:lpstr>
      <vt:lpstr>案例位置!一修多修正项2</vt:lpstr>
      <vt:lpstr>'土地案例（海安）'!一修多修正项2</vt:lpstr>
      <vt:lpstr>一修多修正项2</vt:lpstr>
      <vt:lpstr>案例位置!一修多修正项3</vt:lpstr>
      <vt:lpstr>'土地案例（海安）'!一修多修正项3</vt:lpstr>
      <vt:lpstr>一修多修正项3</vt:lpstr>
      <vt:lpstr>案例位置!一修多修正项4</vt:lpstr>
      <vt:lpstr>'土地案例（海安）'!一修多修正项4</vt:lpstr>
      <vt:lpstr>一修多修正项4</vt:lpstr>
      <vt:lpstr>案例位置!一修多修正项5</vt:lpstr>
      <vt:lpstr>'土地案例（海安）'!一修多修正项5</vt:lpstr>
      <vt:lpstr>一修多修正项5</vt:lpstr>
      <vt:lpstr>案例位置!一修多修正项6</vt:lpstr>
      <vt:lpstr>'土地案例（海安）'!一修多修正项6</vt:lpstr>
      <vt:lpstr>一修多修正项6</vt:lpstr>
      <vt:lpstr>案例位置!一修多修正项7</vt:lpstr>
      <vt:lpstr>'土地案例（海安）'!一修多修正项7</vt:lpstr>
      <vt:lpstr>一修多修正项7</vt:lpstr>
      <vt:lpstr>案例位置!一修多修正项8</vt:lpstr>
      <vt:lpstr>'土地案例（海安）'!一修多修正项8</vt:lpstr>
      <vt:lpstr>一修多修正项8</vt:lpstr>
      <vt:lpstr>案例位置!用途类型</vt:lpstr>
      <vt:lpstr>'土地案例（海安）'!用途类型</vt:lpstr>
      <vt:lpstr>用途类型</vt:lpstr>
      <vt:lpstr>案例位置!有无电梯</vt:lpstr>
      <vt:lpstr>'土地案例（海安）'!有无电梯</vt:lpstr>
      <vt:lpstr>有无电梯</vt:lpstr>
      <vt:lpstr>案例位置!主用途</vt:lpstr>
      <vt:lpstr>'土地案例（海安）'!主用途</vt:lpstr>
      <vt:lpstr>主用途</vt:lpstr>
      <vt:lpstr>案例位置!住宅朝向</vt:lpstr>
      <vt:lpstr>'土地案例（海安）'!住宅朝向</vt:lpstr>
      <vt:lpstr>住宅朝向</vt:lpstr>
      <vt:lpstr>案例位置!住宅房型</vt:lpstr>
      <vt:lpstr>'土地案例（海安）'!住宅房型</vt:lpstr>
      <vt:lpstr>住宅房型</vt:lpstr>
      <vt:lpstr>案例位置!住宅公共部分装修</vt:lpstr>
      <vt:lpstr>'土地案例（海安）'!住宅公共部分装修</vt:lpstr>
      <vt:lpstr>住宅公共部分装修</vt:lpstr>
      <vt:lpstr>案例位置!住宅基础设施水平</vt:lpstr>
      <vt:lpstr>'土地案例（海安）'!住宅基础设施水平</vt:lpstr>
      <vt:lpstr>住宅基础设施水平</vt:lpstr>
      <vt:lpstr>案例位置!住宅建筑结构</vt:lpstr>
      <vt:lpstr>'土地案例（海安）'!住宅建筑结构</vt:lpstr>
      <vt:lpstr>住宅建筑结构</vt:lpstr>
      <vt:lpstr>案例位置!住宅建筑类型</vt:lpstr>
      <vt:lpstr>'土地案例（海安）'!住宅建筑类型</vt:lpstr>
      <vt:lpstr>住宅建筑类型</vt:lpstr>
      <vt:lpstr>案例位置!住宅建筑品质</vt:lpstr>
      <vt:lpstr>'土地案例（海安）'!住宅建筑品质</vt:lpstr>
      <vt:lpstr>住宅建筑品质</vt:lpstr>
      <vt:lpstr>案例位置!住宅交易情况</vt:lpstr>
      <vt:lpstr>'土地案例（海安）'!住宅交易情况</vt:lpstr>
      <vt:lpstr>住宅交易情况</vt:lpstr>
      <vt:lpstr>案例位置!住宅楼层</vt:lpstr>
      <vt:lpstr>'土地案例（海安）'!住宅楼层</vt:lpstr>
      <vt:lpstr>住宅楼层</vt:lpstr>
      <vt:lpstr>案例位置!住宅内部装修</vt:lpstr>
      <vt:lpstr>'土地案例（海安）'!住宅内部装修</vt:lpstr>
      <vt:lpstr>住宅内部装修</vt:lpstr>
      <vt:lpstr>案例位置!住宅物业管理</vt:lpstr>
      <vt:lpstr>'土地案例（海安）'!住宅物业管理</vt:lpstr>
      <vt:lpstr>住宅物业管理</vt:lpstr>
      <vt:lpstr>案例位置!住宅用途</vt:lpstr>
      <vt:lpstr>'土地案例（海安）'!住宅用途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2019-02-14T09:55:01Z</dcterms:modified>
</cp:coreProperties>
</file>