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I34" i="34"/>
  <c r="E93" i="33" l="1"/>
  <c r="D93" i="33"/>
  <c r="G27" i="9" l="1"/>
  <c r="D77" i="33"/>
  <c r="E77" i="33" s="1"/>
  <c r="D79" i="33"/>
  <c r="E79" i="33"/>
  <c r="F17" i="33" s="1"/>
  <c r="R47" i="33"/>
  <c r="T47" i="33"/>
  <c r="V20" i="1"/>
  <c r="T19" i="1"/>
  <c r="F19" i="6"/>
  <c r="E19" i="6" s="1"/>
  <c r="U6" i="43" s="1"/>
  <c r="D3" i="4"/>
  <c r="B2" i="1" s="1"/>
  <c r="D15" i="4"/>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C25" i="31" s="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s="1"/>
  <c r="F60" i="67" s="1"/>
  <c r="H13" i="3"/>
  <c r="L19" i="6"/>
  <c r="B52" i="1"/>
  <c r="F34"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P23" i="31"/>
  <c r="N23" i="31"/>
  <c r="L23" i="31"/>
  <c r="J23" i="31"/>
  <c r="H23" i="31"/>
  <c r="F23" i="31"/>
  <c r="D23"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D126" i="34"/>
  <c r="E126" i="34" s="1"/>
  <c r="F126" i="34" s="1"/>
  <c r="G126" i="34" s="1"/>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E90" i="34" s="1"/>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G13" i="1" s="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G9" i="1" s="1"/>
  <c r="D9" i="1"/>
  <c r="B9" i="1"/>
  <c r="E9" i="1" s="1"/>
  <c r="A9" i="1"/>
  <c r="AG8" i="1"/>
  <c r="AE8" i="1"/>
  <c r="P8" i="1"/>
  <c r="O8" i="1"/>
  <c r="F8" i="1"/>
  <c r="G8" i="1" s="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Z7" i="43"/>
  <c r="N370" i="46"/>
  <c r="B116" i="43"/>
  <c r="D118" i="43" s="1"/>
  <c r="N94" i="46"/>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S15" i="34"/>
  <c r="AA15" i="34"/>
  <c r="F91" i="33"/>
  <c r="G91" i="33" s="1"/>
  <c r="H91" i="33" s="1"/>
  <c r="I91" i="33" s="1"/>
  <c r="J91" i="33" s="1"/>
  <c r="K91" i="33" s="1"/>
  <c r="L91" i="33" s="1"/>
  <c r="M91" i="33" s="1"/>
  <c r="H27" i="33"/>
  <c r="AB27" i="33" s="1"/>
  <c r="F28" i="15"/>
  <c r="F30" i="68"/>
  <c r="D68" i="9"/>
  <c r="F48" i="9"/>
  <c r="O52" i="9"/>
  <c r="M18" i="15"/>
  <c r="F31" i="12"/>
  <c r="F30" i="11"/>
  <c r="C48" i="11" s="1"/>
  <c r="F53" i="9"/>
  <c r="F52" i="9"/>
  <c r="M18" i="67"/>
  <c r="F32" i="15"/>
  <c r="F60" i="15" s="1"/>
  <c r="F30" i="69"/>
  <c r="F48" i="69" s="1"/>
  <c r="F54" i="9"/>
  <c r="D122" i="43"/>
  <c r="E122" i="43" s="1"/>
  <c r="F122" i="43" s="1"/>
  <c r="G122" i="43" s="1"/>
  <c r="H122" i="43" s="1"/>
  <c r="D121" i="43"/>
  <c r="E121" i="43" s="1"/>
  <c r="F121" i="43" s="1"/>
  <c r="D120" i="43"/>
  <c r="E120" i="43" s="1"/>
  <c r="F120" i="43" s="1"/>
  <c r="G120" i="43" s="1"/>
  <c r="H120" i="43" s="1"/>
  <c r="D119" i="43"/>
  <c r="E119" i="43" s="1"/>
  <c r="F119" i="43" s="1"/>
  <c r="G119" i="43" s="1"/>
  <c r="H119" i="43" s="1"/>
  <c r="E118" i="43"/>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C69" i="39"/>
  <c r="C20" i="71"/>
  <c r="C19" i="71" s="1"/>
  <c r="C19" i="69"/>
  <c r="R26" i="31"/>
  <c r="S26" i="31" s="1"/>
  <c r="R27" i="31"/>
  <c r="S27" i="31" s="1"/>
  <c r="F43" i="15"/>
  <c r="F41" i="15"/>
  <c r="M21" i="15"/>
  <c r="AO11" i="1"/>
  <c r="E2" i="69"/>
  <c r="F8" i="67"/>
  <c r="M26" i="15"/>
  <c r="B7" i="76"/>
  <c r="F6" i="67"/>
  <c r="D2" i="36"/>
  <c r="AO13" i="1"/>
  <c r="M22" i="15"/>
  <c r="F8" i="15"/>
  <c r="C76" i="67"/>
  <c r="F26" i="67"/>
  <c r="F20" i="31"/>
  <c r="M24" i="67"/>
  <c r="B13" i="76"/>
  <c r="F16" i="15"/>
  <c r="M28" i="15"/>
  <c r="D2" i="34"/>
  <c r="F6" i="15"/>
  <c r="F4" i="73"/>
  <c r="F37" i="15"/>
  <c r="F7" i="15"/>
  <c r="F38" i="15"/>
  <c r="E11" i="76"/>
  <c r="M8" i="15"/>
  <c r="M26" i="67"/>
  <c r="AO9" i="1"/>
  <c r="L47" i="67"/>
  <c r="F35" i="15"/>
  <c r="F36" i="67"/>
  <c r="F42" i="15"/>
  <c r="D2" i="21"/>
  <c r="E12" i="76"/>
  <c r="F5" i="73"/>
  <c r="F13" i="15"/>
  <c r="J15" i="67"/>
  <c r="M9" i="15"/>
  <c r="F40" i="15"/>
  <c r="L48" i="15"/>
  <c r="C76" i="15"/>
  <c r="AO12" i="1"/>
  <c r="J15" i="15"/>
  <c r="F3" i="73"/>
  <c r="E9" i="76"/>
  <c r="E2" i="68"/>
  <c r="AO8" i="1"/>
  <c r="E8" i="76"/>
  <c r="F38" i="67"/>
  <c r="F42" i="67"/>
  <c r="F26" i="15"/>
  <c r="D34" i="9"/>
  <c r="M28" i="67"/>
  <c r="M22" i="67"/>
  <c r="M8" i="67"/>
  <c r="M27" i="15"/>
  <c r="F16" i="67"/>
  <c r="E10" i="76"/>
  <c r="M29" i="15"/>
  <c r="E13" i="76"/>
  <c r="F40" i="67"/>
  <c r="M6" i="15"/>
  <c r="D2" i="33"/>
  <c r="AO7" i="1"/>
  <c r="B11" i="76"/>
  <c r="E7" i="76"/>
  <c r="F36" i="15"/>
  <c r="B8" i="76"/>
  <c r="D2" i="37"/>
  <c r="D35" i="9"/>
  <c r="M23" i="15"/>
  <c r="M9" i="67"/>
  <c r="F9" i="67"/>
  <c r="B10" i="76"/>
  <c r="D2" i="35"/>
  <c r="M23" i="67"/>
  <c r="AO10" i="1"/>
  <c r="L47" i="15"/>
  <c r="M6" i="67"/>
  <c r="B9" i="76"/>
  <c r="B12" i="76"/>
  <c r="M27" i="67"/>
  <c r="F7" i="73"/>
  <c r="F37" i="67"/>
  <c r="F9" i="15"/>
  <c r="M24" i="15"/>
  <c r="F6" i="73"/>
  <c r="T7" i="1" l="1"/>
  <c r="B22" i="31"/>
  <c r="W44" i="34"/>
  <c r="H27" i="34"/>
  <c r="U27" i="34" s="1"/>
  <c r="J27" i="34"/>
  <c r="F90" i="34"/>
  <c r="G90" i="34" s="1"/>
  <c r="H90" i="34" s="1"/>
  <c r="I90" i="34" s="1"/>
  <c r="J90" i="34" s="1"/>
  <c r="K90" i="34" s="1"/>
  <c r="L90" i="34" s="1"/>
  <c r="M90" i="34" s="1"/>
  <c r="F27" i="34"/>
  <c r="AA27" i="34" s="1"/>
  <c r="F28" i="67"/>
  <c r="D33" i="43"/>
  <c r="D1" i="43" s="1"/>
  <c r="B3" i="36"/>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C14" i="15"/>
  <c r="D5" i="73"/>
  <c r="D3" i="73"/>
  <c r="D7" i="73"/>
  <c r="F43" i="67"/>
  <c r="C16" i="15"/>
  <c r="C17" i="15"/>
  <c r="F7" i="67"/>
  <c r="L48" i="67"/>
  <c r="D4" i="73"/>
  <c r="M29" i="67"/>
  <c r="D6" i="73"/>
  <c r="C15" i="15" l="1"/>
  <c r="C18" i="15"/>
  <c r="AA34" i="34"/>
  <c r="AC27" i="34"/>
  <c r="W27" i="34"/>
  <c r="G5" i="3"/>
  <c r="B3" i="3" s="1"/>
  <c r="E534" i="3" s="1"/>
  <c r="BA5" i="3"/>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11" i="67"/>
  <c r="C53" i="67" s="1"/>
  <c r="M11" i="67"/>
  <c r="J10" i="67" s="1"/>
  <c r="F11" i="15"/>
  <c r="M11" i="15"/>
  <c r="J10" i="15" s="1"/>
  <c r="J5" i="15" s="1"/>
  <c r="Q60" i="15"/>
  <c r="Q73" i="15"/>
  <c r="Q74" i="15"/>
  <c r="Q61" i="15"/>
  <c r="C32" i="15"/>
  <c r="C33" i="15"/>
  <c r="C16" i="67"/>
  <c r="F13" i="67"/>
  <c r="E56" i="40" l="1"/>
  <c r="F22" i="68"/>
  <c r="F41" i="68" s="1"/>
  <c r="F22" i="69"/>
  <c r="F41" i="69" s="1"/>
  <c r="F25" i="12"/>
  <c r="C26" i="12" s="1"/>
  <c r="D25" i="12" s="1"/>
  <c r="F24" i="67"/>
  <c r="C24" i="67" s="1"/>
  <c r="L36" i="43"/>
  <c r="P36" i="43" s="1"/>
  <c r="AA7" i="34"/>
  <c r="Q57" i="67"/>
  <c r="F1" i="67"/>
  <c r="Q60" i="67"/>
  <c r="E51" i="40"/>
  <c r="F24" i="15"/>
  <c r="C24" i="15" s="1"/>
  <c r="W7" i="36"/>
  <c r="AC7" i="35"/>
  <c r="V38" i="35" s="1"/>
  <c r="I38" i="35" s="1"/>
  <c r="AC7" i="34"/>
  <c r="U7" i="36"/>
  <c r="J10" i="40"/>
  <c r="AC10" i="40" s="1"/>
  <c r="G69" i="39"/>
  <c r="H67" i="39"/>
  <c r="J10" i="39"/>
  <c r="AC10" i="39" s="1"/>
  <c r="E3" i="6"/>
  <c r="E6" i="6" s="1"/>
  <c r="AY6" i="3"/>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02" i="3"/>
  <c r="AY403" i="3"/>
  <c r="AY282" i="3"/>
  <c r="AY525" i="3"/>
  <c r="AY327" i="3"/>
  <c r="AY134" i="3"/>
  <c r="BR6" i="3"/>
  <c r="AY494" i="3"/>
  <c r="AY259" i="3"/>
  <c r="AY77" i="3"/>
  <c r="AY104" i="3"/>
  <c r="AY300" i="3"/>
  <c r="AY83" i="3"/>
  <c r="AY306" i="3"/>
  <c r="AY277" i="3"/>
  <c r="AY193" i="3"/>
  <c r="AY216" i="3"/>
  <c r="AY56" i="3"/>
  <c r="AY478" i="3"/>
  <c r="AY528" i="3"/>
  <c r="AY351" i="3"/>
  <c r="AY255" i="3"/>
  <c r="AY286" i="3"/>
  <c r="AY254" i="3"/>
  <c r="AY325" i="3"/>
  <c r="AY305" i="3"/>
  <c r="AY157" i="3"/>
  <c r="AY133" i="3"/>
  <c r="AY16" i="3"/>
  <c r="BA6" i="3"/>
  <c r="AY224" i="3"/>
  <c r="AY192" i="3"/>
  <c r="BT6" i="3"/>
  <c r="BD6" i="3"/>
  <c r="AY25" i="3"/>
  <c r="AY370" i="3"/>
  <c r="AY147" i="3"/>
  <c r="AY70" i="3"/>
  <c r="AY184" i="3"/>
  <c r="AY88" i="3"/>
  <c r="AY340" i="3"/>
  <c r="AY204" i="3"/>
  <c r="D14" i="12"/>
  <c r="D19" i="11"/>
  <c r="C19" i="11" s="1"/>
  <c r="C24" i="11" s="1"/>
  <c r="D3" i="37"/>
  <c r="B3" i="37" s="1"/>
  <c r="M18" i="9"/>
  <c r="B118" i="9" s="1"/>
  <c r="E65" i="39"/>
  <c r="AC6" i="3"/>
  <c r="H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F63" i="40"/>
  <c r="E65" i="40"/>
  <c r="G40" i="36"/>
  <c r="H40" i="36" s="1"/>
  <c r="G41" i="36"/>
  <c r="H41" i="36" s="1"/>
  <c r="H58" i="33"/>
  <c r="R49" i="21"/>
  <c r="E48" i="21"/>
  <c r="I40" i="36"/>
  <c r="J40" i="36" s="1"/>
  <c r="J26" i="15"/>
  <c r="J29" i="15" s="1"/>
  <c r="J24" i="15"/>
  <c r="C20" i="15"/>
  <c r="C44" i="11"/>
  <c r="D41" i="11" s="1"/>
  <c r="C26" i="11"/>
  <c r="D22" i="11" s="1"/>
  <c r="C23" i="11"/>
  <c r="C31" i="15"/>
  <c r="C10" i="67"/>
  <c r="C5" i="67" s="1"/>
  <c r="C53" i="15"/>
  <c r="C48" i="15" s="1"/>
  <c r="C10" i="15"/>
  <c r="C5" i="15" s="1"/>
  <c r="AE6" i="1"/>
  <c r="AY565" i="3" l="1"/>
  <c r="AY497" i="3"/>
  <c r="AY299" i="3"/>
  <c r="AY106" i="3"/>
  <c r="AY563" i="3"/>
  <c r="AY457" i="3"/>
  <c r="AY151" i="3"/>
  <c r="AY377" i="3"/>
  <c r="AY464" i="3"/>
  <c r="AY35" i="3"/>
  <c r="AY408" i="3"/>
  <c r="AY99" i="3"/>
  <c r="AY309" i="3"/>
  <c r="BE6" i="3"/>
  <c r="BH6" i="3"/>
  <c r="AY463" i="3"/>
  <c r="AY429" i="3"/>
  <c r="AY146" i="3"/>
  <c r="AY65" i="3"/>
  <c r="AY132" i="3"/>
  <c r="AY404" i="3"/>
  <c r="AY127" i="3"/>
  <c r="AY126" i="3"/>
  <c r="AY241" i="3"/>
  <c r="AY69" i="3"/>
  <c r="AY352" i="3"/>
  <c r="AY96" i="3"/>
  <c r="AY268" i="3"/>
  <c r="AY292" i="3"/>
  <c r="AY362" i="3"/>
  <c r="AY332" i="3"/>
  <c r="AY584" i="3"/>
  <c r="AY427" i="3"/>
  <c r="AY219" i="3"/>
  <c r="AY465" i="3"/>
  <c r="AY483" i="3"/>
  <c r="AY380" i="3"/>
  <c r="AY71" i="3"/>
  <c r="AY524" i="3"/>
  <c r="AY253" i="3"/>
  <c r="AY316" i="3"/>
  <c r="AY500" i="3"/>
  <c r="AY322" i="3"/>
  <c r="AY245" i="3"/>
  <c r="BF6" i="3"/>
  <c r="AY308" i="3"/>
  <c r="AY569" i="3"/>
  <c r="AY275" i="3"/>
  <c r="AY50" i="3"/>
  <c r="AY148" i="3"/>
  <c r="AY284" i="3"/>
  <c r="AY492" i="3"/>
  <c r="AY95" i="3"/>
  <c r="AY78" i="3"/>
  <c r="AY221" i="3"/>
  <c r="AY378" i="3"/>
  <c r="AY320" i="3"/>
  <c r="AY57" i="3"/>
  <c r="AY228" i="3"/>
  <c r="AY220" i="3"/>
  <c r="BQ6" i="3"/>
  <c r="AY212" i="3"/>
  <c r="AY523" i="3"/>
  <c r="AY582" i="3"/>
  <c r="AY580" i="3"/>
  <c r="AY366" i="3"/>
  <c r="AY185" i="3"/>
  <c r="AY434" i="3"/>
  <c r="AY468" i="3"/>
  <c r="AY214" i="3"/>
  <c r="AY175" i="3"/>
  <c r="AY51" i="3"/>
  <c r="AY45" i="3"/>
  <c r="AY355" i="3"/>
  <c r="AY162" i="3"/>
  <c r="AY141" i="3"/>
  <c r="AY200" i="3"/>
  <c r="AY386" i="3"/>
  <c r="AY456" i="3"/>
  <c r="AY360" i="3"/>
  <c r="AY82" i="3"/>
  <c r="AY334" i="3"/>
  <c r="AY105" i="3"/>
  <c r="AY570" i="3"/>
  <c r="W10" i="40"/>
  <c r="C17" i="4"/>
  <c r="B4" i="52" s="1"/>
  <c r="B43" i="72" s="1"/>
  <c r="D37" i="11"/>
  <c r="C37" i="11" s="1"/>
  <c r="L18" i="9"/>
  <c r="D3" i="21"/>
  <c r="B3" i="21" s="1"/>
  <c r="C26" i="68"/>
  <c r="D22" i="68" s="1"/>
  <c r="C44" i="68"/>
  <c r="D41" i="68" s="1"/>
  <c r="C26" i="69"/>
  <c r="D22" i="69" s="1"/>
  <c r="C44" i="69"/>
  <c r="D41" i="69" s="1"/>
  <c r="C24" i="69"/>
  <c r="N36" i="43"/>
  <c r="M36" i="43"/>
  <c r="Q36" i="43"/>
  <c r="O36" i="43"/>
  <c r="L37" i="43"/>
  <c r="Q37" i="43" s="1"/>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M19" i="9" s="1"/>
  <c r="C118" i="9" s="1"/>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24" i="6"/>
  <c r="D5" i="6"/>
  <c r="D22" i="6"/>
  <c r="H26" i="6"/>
  <c r="D20" i="6"/>
  <c r="D6" i="6"/>
  <c r="D13" i="6"/>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60" i="67"/>
  <c r="C66" i="67"/>
  <c r="C38" i="15"/>
  <c r="F41" i="67"/>
  <c r="E61" i="40" l="1"/>
  <c r="D12" i="6"/>
  <c r="D28" i="6"/>
  <c r="D21" i="6"/>
  <c r="R21" i="6" s="1"/>
  <c r="D29" i="6"/>
  <c r="D10" i="6"/>
  <c r="D19" i="6"/>
  <c r="D26" i="6"/>
  <c r="D25" i="6"/>
  <c r="D9" i="6"/>
  <c r="D15" i="6"/>
  <c r="H25" i="6"/>
  <c r="R25" i="6" s="1"/>
  <c r="D11" i="6"/>
  <c r="C18" i="4"/>
  <c r="H21" i="6"/>
  <c r="L19" i="9"/>
  <c r="D23" i="6"/>
  <c r="D8" i="6"/>
  <c r="D14" i="6"/>
  <c r="N37" i="43"/>
  <c r="O37" i="43"/>
  <c r="P37" i="43"/>
  <c r="M37" i="43"/>
  <c r="R26" i="6"/>
  <c r="H22" i="6"/>
  <c r="F69" i="67"/>
  <c r="H24" i="6"/>
  <c r="H20" i="6"/>
  <c r="R20" i="6" s="1"/>
  <c r="H23" i="6"/>
  <c r="R23" i="6" s="1"/>
  <c r="I69" i="39"/>
  <c r="J67" i="39"/>
  <c r="C14" i="71"/>
  <c r="D15" i="71"/>
  <c r="K27" i="6"/>
  <c r="M19" i="6"/>
  <c r="S6" i="1"/>
  <c r="R22" i="6"/>
  <c r="M14" i="1"/>
  <c r="M16" i="1" s="1"/>
  <c r="C34" i="69"/>
  <c r="K16" i="1"/>
  <c r="J26" i="67"/>
  <c r="J29" i="67" s="1"/>
  <c r="J24" i="67"/>
  <c r="E49" i="34"/>
  <c r="AB37" i="34"/>
  <c r="T49" i="34" s="1"/>
  <c r="G49" i="34" s="1"/>
  <c r="U37" i="34"/>
  <c r="AC36" i="33"/>
  <c r="W36" i="33"/>
  <c r="AC37" i="34"/>
  <c r="V49" i="34" s="1"/>
  <c r="I49" i="34" s="1"/>
  <c r="W37" i="34"/>
  <c r="U36" i="33"/>
  <c r="AB36" i="33"/>
  <c r="R24" i="6"/>
  <c r="D16"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7" i="67"/>
  <c r="C14" i="67"/>
  <c r="D27" i="6" l="1"/>
  <c r="J69" i="39"/>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B6" i="76"/>
  <c r="L51" i="15"/>
  <c r="C46" i="68" l="1"/>
  <c r="C45" i="68" s="1"/>
  <c r="C75" i="67"/>
  <c r="J14" i="67"/>
  <c r="J13" i="67" s="1"/>
  <c r="J23" i="67" s="1"/>
  <c r="Q49" i="67"/>
  <c r="C57" i="67"/>
  <c r="C64" i="67" s="1"/>
  <c r="Q70" i="67"/>
  <c r="J59" i="67"/>
  <c r="J60" i="67" s="1"/>
  <c r="Q48" i="67" s="1"/>
  <c r="C37" i="67"/>
  <c r="C36" i="67"/>
  <c r="C42" i="68"/>
  <c r="C4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M21" i="67"/>
  <c r="F35" i="67"/>
  <c r="C49" i="68" l="1"/>
  <c r="C51" i="68" s="1"/>
  <c r="C52" i="68" s="1"/>
  <c r="C57" i="68" s="1"/>
  <c r="C56" i="68" s="1"/>
  <c r="L46" i="67"/>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B2" i="33"/>
  <c r="B3" i="33"/>
  <c r="L65" i="40"/>
  <c r="M63" i="40"/>
  <c r="C56" i="11" l="1"/>
  <c r="C57" i="11" s="1"/>
  <c r="C57" i="69"/>
  <c r="C56" i="69" s="1"/>
  <c r="J16" i="67"/>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C19" i="9"/>
  <c r="L51" i="67"/>
  <c r="C20" i="9"/>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D19" i="9"/>
  <c r="D20" i="9"/>
  <c r="AO6" i="1"/>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T24" i="31" s="1"/>
  <c r="C35" i="9"/>
  <c r="G118" i="9" s="1"/>
  <c r="I118" i="9"/>
  <c r="F14" i="74"/>
  <c r="E14" i="74"/>
  <c r="B5" i="74"/>
  <c r="G14" i="74"/>
  <c r="B6" i="74" s="1"/>
  <c r="D6" i="74" s="1"/>
  <c r="E46" i="40"/>
  <c r="F46" i="40" s="1"/>
  <c r="E47" i="40"/>
  <c r="F47" i="40" s="1"/>
  <c r="C42" i="40"/>
  <c r="C43" i="40"/>
  <c r="I47" i="40"/>
  <c r="J47" i="40" s="1"/>
  <c r="F118" i="9" l="1"/>
  <c r="G4" i="52"/>
  <c r="B52" i="72" s="1"/>
  <c r="D5" i="74"/>
  <c r="S24" i="31"/>
  <c r="R25" i="3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S25" i="31" l="1"/>
  <c r="S22" i="31" s="1"/>
  <c r="T25" i="31"/>
  <c r="T22" i="31" s="1"/>
  <c r="H119" i="9"/>
  <c r="H5" i="52" s="1"/>
  <c r="C104" i="9"/>
  <c r="H4" i="52"/>
  <c r="H101" i="9"/>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<sst xmlns="http://schemas.openxmlformats.org/spreadsheetml/2006/main" count="8128" uniqueCount="2826">
  <si>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</si>
  <si>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</si>
  <si>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</si>
  <si>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</si>
  <si>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</si>
  <si>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</si>
  <si>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</si>
  <si>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</si>
  <si>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</si>
  <si>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</si>
  <si>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</si>
  <si>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</si>
  <si>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</si>
  <si>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</si>
  <si>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</si>
  <si>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</si>
  <si>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</si>
  <si>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</si>
  <si>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</si>
  <si>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</si>
  <si>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</si>
  <si>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</si>
  <si>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</si>
  <si>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</si>
  <si>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</si>
  <si>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</si>
  <si>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</si>
  <si>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</si>
  <si>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</si>
  <si>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</si>
  <si>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</si>
  <si>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</si>
  <si>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</si>
  <si>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</si>
  <si>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</si>
  <si>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</si>
  <si>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</si>
  <si>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</si>
  <si>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</si>
  <si>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</si>
  <si>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</si>
  <si>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</si>
  <si>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</si>
  <si>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</si>
  <si>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</si>
  <si>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</si>
  <si>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</si>
  <si>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</si>
  <si>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</si>
  <si>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</si>
  <si>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</si>
  <si>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</si>
  <si>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</si>
  <si>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</si>
  <si>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</si>
  <si>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</si>
  <si>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</si>
  <si>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</si>
  <si>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</si>
  <si>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</si>
  <si>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</si>
  <si>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</si>
  <si>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</si>
  <si>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</si>
  <si>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</si>
  <si>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</si>
  <si>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</si>
  <si>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</si>
  <si>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</si>
  <si>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</si>
  <si>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</si>
  <si>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</si>
  <si>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</si>
  <si>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</si>
  <si>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</si>
  <si>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</si>
  <si>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</si>
  <si>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</si>
  <si>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</si>
  <si>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</si>
  <si>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</si>
  <si>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</si>
  <si>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</si>
  <si>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</si>
  <si>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</si>
  <si>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</si>
  <si>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</si>
  <si>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</si>
  <si>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</si>
  <si>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</si>
  <si>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</si>
  <si>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</si>
  <si>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</si>
  <si>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</si>
  <si>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</si>
  <si>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</si>
  <si>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</si>
  <si>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</si>
  <si>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</si>
  <si>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</si>
  <si>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</si>
  <si>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</si>
  <si>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</si>
  <si>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</si>
  <si>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</si>
  <si>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</si>
  <si>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</si>
  <si>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</si>
  <si>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</si>
  <si>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</si>
  <si>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</si>
  <si>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</si>
  <si>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</si>
  <si>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</si>
  <si>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</si>
  <si>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</si>
  <si>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</si>
  <si>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</si>
  <si>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</si>
  <si>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</si>
  <si>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</si>
  <si>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</si>
  <si>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</si>
  <si>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</si>
  <si>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</si>
  <si>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</si>
  <si>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</si>
  <si>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</si>
  <si>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</si>
  <si>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</si>
  <si>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</si>
  <si>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</si>
  <si>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</si>
  <si>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</si>
  <si>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</si>
  <si>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</si>
  <si>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</si>
  <si>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</si>
  <si>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</si>
  <si>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</si>
  <si>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</si>
  <si>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</si>
  <si>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</si>
  <si>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</si>
  <si>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</si>
  <si>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</si>
  <si>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</si>
  <si>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</si>
  <si>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</si>
  <si>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</si>
  <si>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</si>
  <si>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</si>
  <si>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</si>
  <si>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</si>
  <si>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</si>
  <si>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</si>
  <si>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</si>
  <si>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</si>
  <si>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</si>
  <si>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</si>
  <si>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</si>
  <si>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</si>
  <si>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</si>
  <si>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</si>
  <si>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</si>
  <si>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</si>
  <si>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</si>
  <si>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</si>
  <si>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</si>
  <si>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</si>
  <si>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</si>
  <si>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</si>
  <si>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</si>
  <si>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</si>
  <si>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</si>
  <si>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</si>
  <si>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</si>
  <si>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</si>
  <si>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</si>
  <si>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</si>
  <si>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</si>
  <si>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</si>
  <si>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</si>
  <si>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</si>
  <si>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</si>
  <si>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</si>
  <si>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</si>
  <si>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</si>
  <si>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</si>
  <si>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</si>
  <si>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</si>
  <si>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</si>
  <si>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</si>
  <si>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</si>
  <si>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</si>
  <si>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</si>
  <si>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</si>
  <si>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</si>
  <si>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</si>
  <si>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</si>
  <si>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</si>
  <si>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</si>
  <si>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</si>
  <si>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</si>
  <si>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</si>
  <si>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</si>
  <si>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</si>
  <si>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</si>
  <si>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</si>
  <si>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</si>
  <si>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</si>
  <si>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</si>
  <si>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</si>
  <si>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</si>
  <si>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</si>
  <si>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</si>
  <si>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</si>
  <si>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</si>
  <si>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</si>
  <si>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</si>
  <si>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</si>
  <si>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</si>
  <si>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</si>
  <si>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</si>
  <si>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</si>
  <si>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</si>
  <si>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</si>
  <si>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</si>
  <si>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</si>
  <si>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</si>
  <si>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</si>
  <si>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</si>
  <si>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</si>
  <si>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</si>
  <si>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</si>
  <si>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</si>
  <si>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</si>
  <si>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</si>
  <si>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</si>
  <si>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</si>
  <si>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</si>
  <si>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</si>
  <si>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</si>
  <si>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</si>
  <si>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</si>
  <si>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</si>
  <si>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</si>
  <si>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</si>
  <si>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</si>
  <si>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</si>
  <si>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</si>
  <si>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</si>
  <si>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</si>
  <si>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</si>
  <si>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</si>
  <si>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</si>
  <si>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</si>
  <si>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</si>
  <si>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</si>
  <si>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</si>
  <si>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</si>
  <si>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</si>
  <si>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</si>
  <si>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</si>
  <si>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</si>
  <si>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</si>
  <si>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</si>
  <si>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</si>
  <si>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</si>
  <si>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</si>
  <si>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</si>
  <si>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</si>
  <si>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</si>
  <si>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</si>
  <si>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</si>
  <si>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</si>
  <si>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</si>
  <si>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</si>
  <si>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</si>
  <si>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</si>
  <si>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</si>
  <si>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</si>
  <si>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</si>
  <si>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</si>
  <si>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</si>
  <si>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</si>
  <si>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</si>
  <si>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</si>
  <si>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</si>
  <si>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</si>
  <si>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</si>
  <si>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</si>
  <si>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</si>
  <si>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</si>
  <si>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</si>
  <si>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</si>
  <si>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</si>
  <si>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</si>
  <si>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</si>
  <si>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</si>
  <si>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</si>
  <si>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</si>
  <si>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</si>
  <si>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</si>
  <si>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</si>
  <si>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</si>
  <si>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</si>
  <si>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</si>
  <si>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</si>
  <si>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</si>
  <si>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</si>
  <si>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</si>
  <si>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</si>
  <si>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</si>
  <si>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</si>
  <si>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</si>
  <si>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</si>
  <si>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</si>
  <si>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</si>
  <si>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</si>
  <si>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</si>
  <si>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</si>
  <si>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</si>
  <si>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</si>
  <si>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</si>
  <si>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</si>
  <si>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</si>
  <si>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</si>
  <si>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</si>
  <si>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</si>
  <si>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</si>
  <si>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</si>
  <si>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</si>
  <si>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</si>
  <si>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</si>
  <si>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</si>
  <si>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</si>
  <si>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</si>
  <si>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</si>
  <si>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</si>
  <si>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</si>
  <si>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</si>
  <si>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</si>
  <si>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</si>
  <si>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</si>
  <si>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</si>
  <si>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</si>
  <si>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</si>
  <si>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</si>
  <si>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</si>
  <si>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</si>
  <si>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</si>
  <si>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</si>
  <si>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</si>
  <si>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</si>
  <si>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</si>
  <si>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</si>
  <si>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</si>
  <si>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</si>
  <si>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</si>
  <si>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</si>
  <si>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</si>
  <si>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</si>
  <si>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</si>
  <si>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</si>
  <si>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</si>
  <si>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</si>
  <si>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</si>
  <si>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</si>
  <si>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</si>
  <si>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</si>
  <si>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</si>
  <si>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</si>
  <si>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</si>
  <si>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</si>
  <si>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</si>
  <si>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</si>
  <si>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</si>
  <si>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</si>
  <si>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</si>
  <si>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</si>
  <si>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</si>
  <si>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</si>
  <si>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</si>
  <si>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</si>
  <si>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</si>
  <si>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</si>
  <si>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</si>
  <si>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</si>
  <si>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</si>
  <si>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</si>
  <si>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</si>
  <si>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</si>
  <si>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</si>
  <si>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</si>
  <si>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</si>
  <si>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</si>
  <si>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</si>
  <si>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</si>
  <si>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</si>
  <si>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</si>
  <si>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</si>
  <si>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</si>
  <si>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</si>
  <si>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</si>
  <si>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</si>
  <si>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</si>
  <si>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</si>
  <si>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</si>
  <si>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</si>
  <si>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</si>
  <si>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</si>
  <si>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</si>
  <si>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</si>
  <si>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</si>
  <si>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</si>
  <si>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</si>
  <si>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</si>
  <si>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</si>
  <si>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</si>
  <si>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</si>
  <si>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</si>
  <si>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</si>
  <si>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</si>
  <si>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</si>
  <si>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</si>
  <si>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</si>
  <si>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</si>
  <si>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</si>
  <si>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</si>
  <si>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</si>
  <si>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</si>
  <si>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</si>
  <si>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</si>
  <si>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</si>
  <si>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</si>
  <si>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</si>
  <si>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</si>
  <si>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</si>
  <si>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</si>
  <si>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</si>
  <si>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</si>
  <si>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</si>
  <si>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</si>
  <si>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</si>
  <si>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</si>
  <si>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</si>
  <si>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</si>
  <si>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</si>
  <si>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</si>
  <si>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</si>
  <si>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</si>
  <si>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</si>
  <si>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</si>
  <si>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</si>
  <si>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</si>
  <si>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</si>
  <si>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</si>
  <si>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</si>
  <si>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</si>
  <si>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</si>
  <si>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</si>
  <si>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</si>
  <si>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</si>
  <si>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</si>
  <si>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</si>
  <si>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</si>
  <si>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</si>
  <si>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</si>
  <si>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</si>
  <si>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</si>
  <si>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</si>
  <si>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</si>
  <si>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</si>
  <si>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</si>
  <si>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</si>
  <si>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</si>
  <si>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</si>
  <si>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</si>
  <si>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</si>
  <si>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</si>
  <si>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</si>
  <si>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</si>
  <si>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</si>
  <si>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</si>
  <si>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</si>
  <si>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</si>
  <si>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</si>
  <si>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</si>
  <si>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</si>
  <si>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</si>
  <si>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</si>
  <si>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</si>
  <si>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</si>
  <si>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</si>
  <si>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</si>
  <si>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</si>
  <si>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</si>
  <si>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</si>
  <si>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</si>
  <si>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</si>
  <si>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</si>
  <si>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</si>
  <si>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</si>
  <si>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</si>
  <si>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</si>
  <si>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</si>
  <si>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</si>
  <si>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</si>
  <si>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</si>
  <si>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</si>
  <si>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</si>
  <si>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</si>
  <si>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</si>
  <si>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</si>
  <si>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</si>
  <si>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</si>
  <si>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</si>
  <si>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</si>
  <si>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</si>
  <si>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</si>
  <si>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</si>
  <si>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</si>
  <si>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</si>
  <si>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</si>
  <si>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</si>
  <si>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</si>
  <si>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</si>
  <si>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</si>
  <si>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</si>
  <si>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</si>
  <si>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</si>
  <si>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</si>
  <si>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</si>
  <si>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</si>
  <si>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</si>
  <si>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</si>
  <si>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</si>
  <si>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</si>
  <si>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</si>
  <si>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</si>
  <si>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</si>
  <si>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</si>
  <si>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</si>
  <si>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</si>
  <si>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</si>
  <si>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</si>
  <si>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</si>
  <si>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</si>
  <si>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</si>
  <si>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</si>
  <si>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</si>
  <si>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</si>
  <si>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</si>
  <si>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</si>
  <si>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</si>
  <si>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</si>
  <si>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</si>
  <si>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</si>
  <si>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</si>
  <si>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</si>
  <si>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</si>
  <si>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</si>
  <si>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</si>
  <si>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</si>
  <si>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</si>
  <si>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</si>
  <si>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</si>
  <si>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</si>
  <si>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</si>
  <si>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</si>
  <si>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</si>
  <si>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</si>
  <si>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</si>
  <si>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</si>
  <si>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</si>
  <si>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</si>
  <si>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</si>
  <si>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</si>
  <si>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</si>
  <si>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</si>
  <si>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</si>
  <si>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</si>
  <si>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</si>
  <si>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</si>
  <si>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</si>
  <si>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</si>
  <si>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</si>
  <si>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</si>
  <si>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</si>
  <si>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</si>
  <si>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</si>
  <si>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</si>
  <si>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</si>
  <si>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</si>
  <si>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</si>
  <si>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</si>
  <si>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</si>
  <si>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</si>
  <si>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</si>
  <si>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</si>
  <si>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</si>
  <si>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</si>
  <si>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</si>
  <si>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</si>
  <si>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</si>
  <si>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</si>
  <si>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</si>
  <si>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</si>
  <si>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</si>
  <si>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</si>
  <si>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</si>
  <si>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</si>
  <si>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</si>
  <si>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</si>
  <si>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</si>
  <si>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</si>
  <si>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</si>
  <si>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</si>
  <si>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</si>
  <si>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</si>
  <si>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</si>
  <si>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</si>
  <si>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</si>
  <si>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</si>
  <si>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</si>
  <si>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</si>
  <si>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</si>
  <si>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</si>
  <si>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</si>
  <si>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</si>
  <si>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</si>
  <si>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</si>
  <si>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</si>
  <si>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</si>
  <si>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</si>
  <si>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</si>
  <si>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</si>
  <si>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</si>
  <si>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</si>
  <si>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</si>
  <si>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</si>
  <si>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</si>
  <si>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</si>
  <si>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</si>
  <si>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</si>
  <si>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</si>
  <si>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</si>
  <si>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</si>
  <si>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</si>
  <si>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</si>
  <si>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</si>
  <si>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</si>
  <si>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</si>
  <si>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</si>
  <si>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</si>
  <si>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</si>
  <si>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</si>
  <si>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</si>
  <si>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</si>
  <si>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</si>
  <si>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</si>
  <si>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</si>
  <si>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</si>
  <si>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</si>
  <si>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</si>
  <si>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</si>
  <si>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</si>
  <si>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</si>
  <si>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</si>
  <si>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</si>
  <si>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</si>
  <si>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</si>
  <si>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</si>
  <si>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</si>
  <si>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</si>
  <si>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</si>
  <si>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</si>
  <si>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</si>
  <si>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</si>
  <si>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</si>
  <si>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</si>
  <si>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</si>
  <si>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</si>
  <si>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</si>
  <si>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</si>
  <si>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</si>
  <si>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</si>
  <si>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</si>
  <si>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</si>
  <si>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</si>
  <si>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</si>
  <si>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</si>
  <si>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</si>
  <si>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</si>
  <si>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</si>
  <si>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</si>
  <si>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</si>
  <si>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</si>
  <si>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</si>
  <si>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</si>
  <si>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</si>
  <si>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</si>
  <si>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</si>
  <si>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</si>
  <si>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</si>
  <si>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</si>
  <si>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</si>
  <si>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</si>
  <si>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</si>
  <si>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</si>
  <si>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</si>
  <si>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</si>
  <si>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</si>
  <si>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</si>
  <si>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</si>
  <si>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</si>
  <si>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</si>
  <si>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</si>
  <si>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</si>
  <si>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</si>
  <si>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</si>
  <si>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</si>
  <si>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</si>
  <si>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</si>
  <si>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</si>
  <si>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</si>
  <si>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</si>
  <si>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</si>
  <si>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</si>
  <si>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</si>
  <si>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</si>
  <si>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</si>
  <si>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</si>
  <si>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</si>
  <si>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</si>
  <si>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</si>
  <si>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</si>
  <si>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</si>
  <si>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</si>
  <si>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</si>
  <si>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</si>
  <si>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</si>
  <si>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</si>
  <si>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</si>
  <si>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</si>
  <si>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</si>
  <si>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</si>
  <si>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</si>
  <si>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</si>
  <si>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</si>
  <si>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</si>
  <si>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</si>
  <si>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</si>
  <si>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</si>
  <si>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</si>
  <si>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</si>
  <si>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</si>
  <si>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</si>
  <si>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</si>
  <si>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</si>
  <si>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</si>
  <si>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</si>
  <si>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</si>
  <si>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</si>
  <si>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</si>
  <si>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</si>
  <si>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</si>
  <si>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</si>
  <si>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</si>
  <si>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</si>
  <si>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</si>
  <si>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</si>
  <si>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</si>
  <si>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</si>
  <si>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</si>
  <si>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</si>
  <si>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</si>
  <si>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</si>
  <si>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</si>
  <si>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</si>
  <si>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</si>
  <si>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</si>
  <si>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</si>
  <si>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</si>
  <si>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</si>
  <si>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</si>
  <si>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</si>
  <si>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</si>
  <si>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</si>
  <si>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</si>
  <si>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</si>
  <si>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</si>
  <si>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</si>
  <si>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</si>
  <si>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</si>
  <si>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</si>
  <si>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</si>
  <si>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</si>
  <si>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</si>
  <si>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</si>
  <si>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</si>
  <si>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</si>
  <si>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</si>
  <si>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</si>
  <si>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</si>
  <si>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</si>
  <si>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</si>
  <si>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</si>
  <si>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</si>
  <si>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</si>
  <si>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</si>
  <si>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</si>
  <si>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</si>
  <si>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</si>
  <si>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</si>
  <si>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</si>
  <si>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</si>
  <si>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</si>
  <si>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</si>
  <si>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</si>
  <si>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</si>
  <si>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</si>
  <si>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</si>
  <si>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</si>
  <si>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</si>
  <si>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</si>
  <si>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</si>
  <si>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</si>
  <si>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</si>
  <si>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</si>
  <si>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</si>
  <si>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</si>
  <si>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</si>
  <si>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</si>
  <si>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</si>
  <si>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</si>
  <si>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</si>
  <si>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</si>
  <si>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</si>
  <si>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</si>
  <si>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</si>
  <si>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</si>
  <si>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</si>
  <si>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</si>
  <si>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</si>
  <si>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</si>
  <si>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</si>
  <si>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</si>
  <si>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</si>
  <si>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</si>
  <si>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</si>
  <si>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</si>
  <si>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</si>
  <si>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</si>
  <si>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</si>
  <si>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</si>
  <si>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</si>
  <si>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</si>
  <si>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</si>
  <si>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</si>
  <si>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</si>
  <si>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</si>
  <si>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</si>
  <si>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</si>
  <si>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</si>
  <si>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</si>
  <si>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</si>
  <si>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</si>
  <si>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</si>
  <si>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</si>
  <si>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</si>
  <si>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</si>
  <si>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</si>
  <si>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</si>
  <si>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</si>
  <si>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</si>
  <si>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</si>
  <si>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</si>
  <si>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</si>
  <si>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</si>
  <si>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</si>
  <si>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</si>
  <si>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</si>
  <si>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</si>
  <si>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</si>
  <si>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</si>
  <si>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</si>
  <si>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</si>
  <si>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</si>
  <si>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</si>
  <si>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</si>
  <si>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</si>
  <si>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</si>
  <si>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</si>
  <si>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</si>
  <si>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</si>
  <si>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</si>
  <si>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</si>
  <si>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</si>
  <si>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</si>
  <si>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</si>
  <si>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</si>
  <si>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</si>
  <si>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</si>
  <si>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</si>
  <si>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</si>
  <si>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</si>
  <si>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</si>
  <si>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</si>
  <si>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</si>
  <si>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</si>
  <si>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</si>
  <si>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</si>
  <si>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</si>
  <si>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</si>
  <si>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</si>
  <si>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</si>
  <si>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</si>
  <si>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</si>
  <si>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</si>
  <si>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</si>
  <si>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</si>
  <si>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</si>
  <si>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</si>
  <si>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</si>
  <si>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</si>
  <si>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</si>
  <si>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</si>
  <si>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</si>
  <si>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</si>
  <si>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</si>
  <si>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</si>
  <si>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</si>
  <si>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</si>
  <si>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</si>
  <si>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</si>
  <si>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</si>
  <si>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</si>
  <si>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</si>
  <si>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</si>
  <si>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</si>
  <si>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</si>
  <si>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</si>
  <si>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</si>
  <si>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</si>
  <si>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</si>
  <si>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</si>
  <si>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</si>
  <si>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</si>
  <si>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</si>
  <si>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</si>
  <si>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</si>
  <si>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</si>
  <si>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</si>
  <si>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</si>
  <si>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</si>
  <si>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</si>
  <si>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</si>
  <si>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</si>
  <si>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</si>
  <si>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</si>
  <si>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</si>
  <si>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</si>
  <si>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</si>
  <si>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</si>
  <si>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</si>
  <si>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</si>
  <si>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</si>
  <si>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</si>
  <si>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</si>
  <si>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</si>
  <si>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</si>
  <si>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</si>
  <si>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</si>
  <si>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</si>
  <si>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</si>
  <si>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</si>
  <si>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</si>
  <si>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</si>
  <si>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</si>
  <si>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</si>
  <si>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</si>
  <si>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</si>
  <si>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</si>
  <si>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</si>
  <si>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</si>
  <si>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</si>
  <si>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</si>
  <si>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</si>
  <si>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</si>
  <si>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</si>
  <si>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</si>
  <si>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</si>
  <si>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</si>
  <si>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</si>
  <si>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</si>
  <si>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</si>
  <si>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</si>
  <si>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</si>
  <si>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</si>
  <si>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</si>
  <si>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</si>
  <si>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</si>
  <si>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</si>
  <si>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</si>
  <si>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</si>
  <si>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</si>
  <si>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</si>
  <si>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</si>
  <si>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</si>
  <si>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</si>
  <si>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</si>
  <si>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</si>
  <si>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</si>
  <si>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</si>
  <si>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</si>
  <si>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</si>
  <si>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</si>
  <si>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</si>
  <si>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</si>
  <si>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</si>
  <si>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</si>
  <si>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</si>
  <si>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</si>
  <si>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</si>
  <si>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</si>
  <si>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</si>
  <si>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</si>
  <si>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</si>
  <si>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</si>
  <si>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</si>
  <si>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</si>
  <si>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</si>
  <si>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</si>
  <si>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</si>
  <si>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</si>
  <si>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</si>
  <si>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</si>
  <si>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</si>
  <si>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</si>
  <si>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</si>
  <si>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</si>
  <si>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</si>
  <si>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</si>
  <si>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</si>
  <si>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</si>
  <si>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</si>
  <si>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</si>
  <si>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</si>
  <si>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</si>
  <si>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</si>
  <si>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</si>
  <si>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</si>
  <si>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</si>
  <si>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</si>
  <si>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</si>
  <si>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</si>
  <si>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</si>
  <si>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</si>
  <si>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</si>
  <si>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</si>
  <si>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</si>
  <si>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</si>
  <si>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</si>
  <si>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</si>
  <si>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</si>
  <si>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</si>
  <si>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</si>
  <si>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</si>
  <si>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</si>
  <si>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</si>
  <si>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</si>
  <si>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</si>
  <si>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</si>
  <si>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</si>
  <si>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</si>
  <si>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</si>
  <si>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</si>
  <si>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</si>
  <si>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</si>
  <si>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</si>
  <si>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</si>
  <si>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</si>
  <si>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</si>
  <si>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</si>
  <si>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</si>
  <si>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</si>
  <si>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</si>
  <si>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</si>
  <si>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</si>
  <si>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</si>
  <si>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</si>
  <si>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</si>
  <si>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</si>
  <si>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</si>
  <si>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</si>
  <si>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</si>
  <si>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</si>
  <si>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</si>
  <si>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</si>
  <si>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</si>
  <si>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</si>
  <si>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</si>
  <si>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</si>
  <si>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</si>
  <si>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</si>
  <si>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</si>
  <si>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</si>
  <si>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</si>
  <si>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</si>
  <si>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</si>
  <si>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</si>
  <si>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</si>
  <si>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</si>
  <si>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</si>
  <si>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</si>
  <si>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</si>
  <si>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</si>
  <si>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</si>
  <si>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</si>
  <si>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</si>
  <si>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</si>
  <si>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</si>
  <si>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</si>
  <si>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</si>
  <si>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</si>
  <si>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</si>
  <si>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</si>
  <si>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</si>
  <si>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</si>
  <si>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</si>
  <si>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</si>
  <si>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</si>
  <si>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</si>
  <si>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</si>
  <si>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</si>
  <si>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</si>
  <si>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</si>
  <si>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</si>
  <si>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</si>
  <si>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</si>
  <si>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</si>
  <si>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</si>
  <si>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</si>
  <si>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</si>
  <si>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</si>
  <si>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</si>
  <si>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</si>
  <si>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</si>
  <si>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</si>
  <si>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</si>
  <si>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</si>
  <si>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</si>
  <si>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</si>
  <si>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</si>
  <si>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</si>
  <si>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</si>
  <si>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</si>
  <si>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</si>
  <si>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</si>
  <si>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</si>
  <si>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</si>
  <si>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</si>
  <si>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</si>
  <si>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</si>
  <si>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</si>
  <si>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</si>
  <si>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</si>
  <si>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</si>
  <si>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</si>
  <si>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</si>
  <si>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</si>
  <si>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</si>
  <si>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</si>
  <si>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</si>
  <si>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</si>
  <si>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</si>
  <si>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</si>
  <si>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</si>
  <si>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</si>
  <si>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</si>
  <si>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</si>
  <si>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</si>
  <si>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</si>
  <si>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</si>
  <si>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</si>
  <si>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</si>
  <si>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</si>
  <si>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</si>
  <si>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</si>
  <si>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</si>
  <si>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</si>
  <si>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</si>
  <si>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</si>
  <si>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</si>
  <si>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</si>
  <si>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</si>
  <si>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</si>
  <si>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</si>
  <si>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</si>
  <si>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</si>
  <si>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</si>
  <si>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</si>
  <si>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</si>
  <si>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</si>
  <si>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</si>
  <si>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</si>
  <si>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</si>
  <si>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</si>
  <si>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</si>
  <si>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</si>
  <si>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</si>
  <si>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</si>
  <si>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</si>
  <si>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</si>
  <si>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</si>
  <si>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</si>
  <si>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</si>
  <si>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</si>
  <si>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</si>
  <si>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</si>
  <si>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</si>
  <si>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</si>
  <si>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</si>
  <si>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</si>
  <si>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</si>
  <si>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</si>
  <si>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</si>
  <si>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</si>
  <si>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</si>
  <si>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</si>
  <si>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</si>
  <si>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</si>
  <si>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</si>
  <si>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</si>
  <si>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</si>
  <si>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</si>
  <si>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</si>
  <si>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</si>
  <si>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</si>
  <si>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</si>
  <si>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</si>
  <si>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</si>
  <si>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</si>
  <si>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</si>
  <si>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</si>
  <si>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</si>
  <si>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</si>
  <si>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</si>
  <si>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</si>
  <si>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</si>
  <si>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</si>
  <si>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</si>
  <si>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</si>
  <si>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</si>
  <si>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</si>
  <si>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</si>
  <si>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</si>
  <si>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</si>
  <si>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</si>
  <si>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</si>
  <si>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</si>
  <si>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</si>
  <si>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</si>
  <si>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</si>
  <si>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</si>
  <si>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</si>
  <si>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</si>
  <si>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</si>
  <si>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</si>
  <si>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</si>
  <si>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</si>
  <si>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</si>
  <si>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</si>
  <si>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</si>
  <si>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</si>
  <si>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</si>
  <si>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</si>
  <si>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</si>
  <si>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</si>
  <si>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</si>
  <si>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</si>
  <si>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</si>
  <si>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</si>
  <si>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</si>
  <si>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</si>
  <si>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</si>
  <si>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</si>
  <si>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</si>
  <si>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</si>
  <si>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</si>
  <si>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</si>
  <si>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</si>
  <si>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</si>
  <si>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</si>
  <si>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</si>
  <si>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</si>
  <si>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</si>
  <si>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</si>
  <si>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</si>
  <si>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</si>
  <si>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</si>
  <si>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</si>
  <si>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</si>
  <si>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</si>
  <si>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</si>
  <si>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</si>
  <si>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</si>
  <si>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</si>
  <si>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</si>
  <si>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</si>
  <si>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</si>
  <si>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</si>
  <si>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</si>
  <si>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</si>
  <si>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</si>
  <si>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</si>
  <si>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</si>
  <si>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</si>
  <si>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</si>
  <si>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</si>
  <si>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</si>
  <si>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</si>
  <si>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</si>
  <si>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</si>
  <si>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</si>
  <si>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</si>
  <si>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</si>
  <si>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</si>
  <si>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</si>
  <si>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</si>
  <si>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</si>
  <si>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</si>
  <si>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</si>
  <si>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</si>
  <si>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</si>
  <si>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</si>
  <si>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</si>
  <si>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</si>
  <si>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</si>
  <si>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</si>
  <si>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</si>
  <si>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</si>
  <si>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</si>
  <si>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</si>
  <si>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</si>
  <si>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</si>
  <si>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</si>
  <si>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</si>
  <si>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</si>
  <si>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</si>
  <si>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</si>
  <si>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</si>
  <si>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</si>
  <si>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</si>
  <si>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</si>
  <si>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</si>
  <si>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</si>
  <si>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</si>
  <si>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</si>
  <si>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</si>
  <si>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</si>
  <si>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</si>
  <si>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</si>
  <si>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</si>
  <si>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</si>
  <si>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</si>
  <si>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</si>
  <si>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</si>
  <si>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</si>
  <si>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</si>
  <si>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</si>
  <si>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</si>
  <si>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</si>
  <si>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</si>
  <si>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</si>
  <si>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</si>
  <si>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</si>
  <si>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</si>
  <si>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</si>
  <si>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</si>
  <si>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</si>
  <si>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</si>
  <si>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</si>
  <si>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</si>
  <si>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</si>
  <si>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</si>
  <si>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</si>
  <si>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</si>
  <si>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</si>
  <si>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</si>
  <si>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</si>
  <si>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</si>
  <si>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</si>
  <si>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</si>
  <si>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</si>
  <si>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</si>
  <si>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</si>
  <si>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</si>
  <si>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</si>
  <si>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</si>
  <si>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</si>
  <si>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</si>
  <si>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</si>
  <si>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</si>
  <si>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</si>
  <si>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</si>
  <si>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</si>
  <si>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</si>
  <si>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</si>
  <si>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</si>
  <si>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</si>
  <si>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</si>
  <si>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</si>
  <si>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</si>
  <si>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</si>
  <si>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</si>
  <si>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</si>
  <si>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</si>
  <si>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</si>
  <si>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</si>
  <si>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</si>
  <si>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</si>
  <si>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</si>
  <si>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</si>
  <si>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</si>
  <si>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</si>
  <si>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</si>
  <si>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</si>
  <si>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</si>
  <si>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</si>
  <si>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</si>
  <si>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</si>
  <si>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</si>
  <si>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</si>
  <si>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</si>
  <si>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</si>
  <si>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</si>
  <si>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</si>
  <si>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</si>
  <si>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</si>
  <si>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</si>
  <si>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</si>
  <si>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</si>
  <si>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</si>
  <si>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</si>
  <si>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</si>
  <si>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</si>
  <si>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</si>
  <si>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</si>
  <si>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</si>
  <si>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</si>
  <si>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</si>
  <si>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</si>
  <si>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</si>
  <si>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</si>
  <si>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</si>
  <si>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</si>
  <si>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</si>
  <si>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</si>
  <si>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</si>
  <si>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</si>
  <si>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</si>
  <si>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</si>
  <si>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</si>
  <si>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</si>
  <si>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</si>
  <si>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</si>
  <si>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</si>
  <si>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</si>
  <si>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</si>
  <si>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</si>
  <si>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</si>
  <si>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</si>
  <si>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</si>
  <si>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</si>
  <si>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</si>
  <si>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</si>
  <si>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</si>
  <si>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</si>
  <si>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</si>
  <si>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</si>
  <si>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</si>
  <si>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</si>
  <si>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</si>
  <si>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</si>
  <si>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</si>
  <si>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</si>
  <si>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</si>
  <si>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</si>
  <si>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</si>
  <si>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</si>
  <si>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</si>
  <si>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</si>
  <si>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</si>
  <si>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</si>
  <si>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</si>
  <si>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</si>
  <si>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</si>
  <si>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</si>
  <si>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</si>
  <si>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</si>
  <si>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</si>
  <si>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</si>
  <si>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</si>
  <si>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</si>
  <si>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</si>
  <si>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</si>
  <si>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</si>
  <si>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</si>
  <si>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</si>
  <si>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</si>
  <si>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</si>
  <si>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</si>
  <si>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</si>
  <si>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</si>
  <si>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</si>
  <si>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</si>
  <si>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</si>
  <si>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</si>
  <si>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</si>
  <si>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</si>
  <si>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</si>
  <si>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</si>
  <si>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</si>
  <si>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</si>
  <si>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</si>
  <si>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</si>
  <si>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</si>
  <si>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</si>
  <si>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</si>
  <si>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</si>
  <si>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</si>
  <si>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</si>
  <si>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</si>
  <si>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</si>
  <si>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</si>
  <si>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</si>
  <si>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</si>
  <si>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</si>
  <si>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</si>
  <si>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</si>
  <si>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</si>
  <si>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</si>
  <si>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</si>
  <si>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</si>
  <si>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</si>
  <si>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</si>
  <si>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</si>
  <si>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</si>
  <si>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</si>
  <si>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</si>
  <si>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</si>
  <si>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</si>
  <si>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</si>
  <si>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</si>
  <si>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</si>
  <si>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</si>
  <si>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</si>
  <si>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</si>
  <si>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</si>
  <si>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</si>
  <si>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</si>
  <si>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</si>
  <si>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</si>
  <si>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</si>
  <si>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</si>
  <si>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</si>
  <si>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</si>
  <si>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</si>
  <si>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</si>
  <si>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</si>
  <si>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</si>
  <si>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</si>
  <si>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</si>
  <si>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</si>
  <si>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</si>
  <si>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</si>
  <si>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</si>
  <si>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</si>
  <si>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</si>
  <si>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</si>
  <si>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</si>
  <si>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</si>
  <si>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</si>
  <si>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</si>
  <si>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</si>
  <si>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</si>
  <si>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</si>
  <si>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</si>
  <si>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</si>
  <si>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</si>
  <si>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</si>
  <si>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</si>
  <si>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</si>
  <si>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</si>
  <si>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</si>
  <si>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</si>
  <si>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</si>
  <si>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</si>
  <si>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</si>
  <si>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</si>
  <si>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</si>
  <si>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</si>
  <si>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</si>
  <si>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</si>
  <si>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</si>
  <si>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</si>
  <si>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</si>
  <si>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</si>
  <si>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</si>
  <si>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</si>
  <si>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</si>
  <si>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</si>
  <si>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</si>
  <si>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</si>
  <si>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</si>
  <si>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</si>
  <si>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</si>
  <si>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</si>
  <si>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</si>
  <si>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</si>
  <si>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</si>
  <si>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</si>
  <si>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</si>
  <si>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</si>
  <si>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</si>
  <si>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</si>
  <si>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</si>
  <si>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</si>
  <si>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</si>
  <si>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</si>
  <si>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</si>
  <si>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</si>
  <si>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</si>
  <si>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</si>
  <si>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</si>
  <si>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</si>
  <si>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</si>
  <si>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</si>
  <si>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</si>
  <si>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</si>
  <si>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</si>
  <si>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</si>
  <si>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</si>
  <si>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</si>
  <si>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</si>
  <si>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</si>
  <si>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</si>
  <si>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</si>
  <si>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</si>
  <si>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</si>
  <si>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</si>
  <si>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</si>
  <si>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</si>
  <si>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</si>
  <si>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</si>
  <si>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</si>
  <si>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</si>
  <si>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</si>
  <si>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</si>
  <si>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</si>
  <si>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</si>
  <si>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</si>
  <si>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</si>
  <si>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</si>
  <si>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</si>
  <si>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</si>
  <si>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</si>
  <si>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</si>
  <si>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</si>
  <si>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</si>
  <si>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</si>
  <si>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</si>
  <si>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</si>
  <si>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</si>
  <si>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</si>
  <si>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</si>
  <si>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</si>
  <si>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</si>
  <si>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</si>
  <si>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</si>
  <si>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</si>
  <si>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</si>
  <si>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</si>
  <si>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</si>
  <si>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</si>
  <si>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</si>
  <si>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</si>
  <si>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</si>
  <si>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</si>
  <si>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</si>
  <si>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</si>
  <si>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</si>
  <si>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</si>
  <si>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</si>
  <si>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</si>
  <si>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</si>
  <si>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</si>
  <si>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</si>
  <si>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</si>
  <si>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</si>
  <si>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</si>
  <si>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</si>
  <si>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</si>
  <si>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</si>
  <si>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</si>
  <si>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</si>
  <si>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</si>
  <si>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</si>
  <si>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</si>
  <si>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</si>
  <si>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</si>
  <si>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</si>
  <si>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</si>
  <si>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</si>
  <si>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</si>
  <si>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</si>
  <si>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</si>
  <si>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</si>
  <si>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</si>
  <si>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</si>
  <si>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</si>
  <si>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</si>
  <si>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</si>
  <si>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</si>
  <si>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</si>
  <si>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</si>
  <si>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</si>
  <si>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</si>
  <si>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</si>
  <si>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</si>
  <si>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</si>
  <si>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</si>
  <si>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</si>
  <si>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</si>
  <si>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</si>
  <si>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</si>
  <si>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</si>
  <si>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</si>
  <si>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</si>
  <si>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</si>
  <si>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</si>
  <si>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</si>
  <si>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</si>
  <si>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</si>
  <si>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</si>
  <si>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</si>
  <si>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</si>
  <si>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</si>
  <si>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</si>
  <si>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</si>
  <si>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</si>
  <si>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</si>
  <si>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</si>
  <si>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</si>
  <si>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</si>
  <si>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</si>
  <si>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</si>
  <si>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</si>
  <si>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</si>
  <si>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</si>
  <si>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</si>
  <si>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</si>
  <si>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</si>
  <si>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</si>
  <si>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</si>
  <si>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</si>
  <si>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</si>
  <si>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</si>
  <si>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</si>
  <si>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</si>
  <si>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</si>
  <si>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</si>
  <si>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</si>
  <si>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</si>
  <si>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</si>
  <si>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</si>
  <si>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</si>
  <si>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</si>
  <si>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</si>
  <si>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</si>
  <si>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</si>
  <si>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</si>
  <si>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</si>
  <si>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</si>
  <si>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</si>
  <si>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</si>
  <si>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</si>
  <si>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</si>
  <si>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</si>
  <si>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</si>
  <si>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</si>
  <si>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</si>
  <si>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</si>
  <si>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</si>
  <si>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</si>
  <si>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</si>
  <si>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</si>
  <si>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</si>
  <si>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</si>
  <si>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</si>
  <si>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</si>
  <si>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</si>
  <si>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</si>
  <si>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</si>
  <si>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</si>
  <si>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</si>
  <si>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</si>
  <si>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</si>
  <si>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</si>
  <si>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</si>
  <si>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</si>
  <si>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</si>
  <si>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</si>
  <si>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</si>
  <si>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</si>
  <si>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</si>
  <si>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</si>
  <si>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</si>
  <si>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</si>
  <si>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</si>
  <si>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</si>
  <si>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</si>
  <si>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</si>
  <si>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</si>
  <si>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</si>
  <si>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</si>
  <si>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</si>
  <si>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</si>
  <si>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</si>
  <si>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</si>
  <si>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</si>
  <si>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</si>
  <si>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</si>
  <si>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</si>
  <si>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</si>
  <si>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</si>
  <si>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</si>
  <si>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</si>
  <si>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</si>
  <si>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</si>
  <si>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</si>
  <si>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</si>
  <si>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</si>
  <si>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</si>
  <si>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</si>
  <si>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</si>
  <si>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</si>
  <si>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</si>
  <si>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</si>
  <si>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</si>
  <si>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</si>
  <si>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</si>
  <si>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</si>
  <si>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</si>
  <si>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</si>
  <si>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</si>
  <si>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</si>
  <si>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</si>
  <si>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</si>
  <si>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</si>
  <si>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</si>
  <si>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</si>
  <si>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</si>
  <si>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</si>
  <si>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</si>
  <si>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</si>
  <si>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</si>
  <si>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</si>
  <si>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</si>
  <si>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</si>
  <si>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</si>
  <si>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</si>
  <si>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</si>
  <si>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</si>
  <si>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</si>
  <si>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</si>
  <si>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</si>
  <si>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</si>
  <si>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</si>
  <si>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</si>
  <si>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</si>
  <si>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</si>
  <si>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</si>
  <si>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</si>
  <si>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</si>
  <si>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</si>
  <si>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</si>
  <si>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</si>
  <si>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</si>
  <si>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</si>
  <si>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</si>
  <si>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</si>
  <si>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</si>
  <si>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</si>
  <si>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</si>
  <si>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</si>
  <si>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</si>
  <si>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</si>
  <si>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</si>
  <si>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</si>
  <si>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</si>
  <si>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</si>
  <si>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</si>
  <si>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</si>
  <si>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</si>
  <si>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</si>
  <si>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</si>
  <si>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</si>
  <si>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</si>
  <si>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</si>
  <si>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</si>
  <si>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</si>
  <si>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</si>
  <si>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</si>
  <si>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</si>
  <si>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</si>
  <si>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</si>
  <si>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</si>
  <si>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</si>
  <si>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</si>
  <si>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</si>
  <si>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</si>
  <si>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</si>
  <si>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</si>
  <si>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</si>
  <si>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</si>
  <si>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</si>
  <si>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</si>
  <si>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</si>
  <si>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</si>
  <si>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</si>
  <si>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</si>
  <si>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</si>
  <si>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</si>
  <si>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</si>
  <si>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</si>
  <si>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</si>
  <si>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</si>
  <si>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</si>
  <si>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</si>
  <si>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</si>
  <si>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</si>
  <si>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</si>
  <si>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</si>
  <si>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</si>
  <si>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</si>
  <si>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</si>
  <si>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</si>
  <si>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</si>
  <si>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</si>
  <si>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</si>
  <si>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</si>
  <si>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</si>
  <si>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</si>
  <si>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</si>
  <si>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</si>
  <si>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</si>
  <si>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</si>
  <si>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</si>
  <si>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</si>
  <si>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</si>
  <si>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</si>
  <si>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</si>
  <si>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</si>
  <si>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</si>
  <si>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</si>
  <si>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</si>
  <si>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</si>
  <si>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</si>
  <si>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</si>
  <si>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</si>
  <si>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</si>
  <si>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</si>
  <si>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</si>
  <si>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</si>
  <si>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</si>
  <si>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</si>
  <si>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</si>
  <si>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</si>
  <si>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</si>
  <si>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</si>
  <si>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</si>
  <si>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</si>
  <si>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</si>
  <si>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</si>
  <si>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</si>
  <si>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</si>
  <si>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</si>
  <si>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</si>
  <si>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</si>
  <si>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</si>
  <si>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</si>
  <si>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</si>
  <si>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</si>
  <si>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</si>
  <si>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</si>
  <si>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</si>
  <si>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</si>
  <si>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</si>
  <si>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</si>
  <si>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</si>
  <si>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</si>
  <si>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</si>
  <si>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</si>
  <si>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</si>
  <si>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</si>
  <si>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</si>
  <si>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</si>
  <si>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</si>
  <si>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</si>
  <si>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</si>
  <si>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</si>
  <si>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</si>
  <si>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</si>
  <si>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</si>
  <si>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</si>
  <si>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</si>
  <si>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</si>
  <si>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</si>
  <si>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</si>
  <si>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</si>
  <si>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</si>
  <si>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</si>
  <si>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</si>
  <si>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</si>
  <si>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</si>
  <si>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</si>
  <si>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</si>
  <si>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</si>
  <si>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</si>
  <si>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</si>
  <si>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</si>
  <si>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</si>
  <si>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</si>
  <si>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</si>
  <si>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</si>
  <si>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</si>
  <si>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</si>
  <si>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</si>
  <si>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</si>
  <si>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</si>
  <si>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</si>
  <si>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</si>
  <si>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</si>
  <si>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</si>
  <si>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</si>
  <si>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</si>
  <si>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</si>
  <si>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</si>
  <si>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</si>
  <si>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</si>
  <si>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</si>
  <si>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</si>
  <si>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</si>
  <si>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</si>
  <si>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</si>
  <si>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</si>
  <si>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</si>
  <si>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</si>
  <si>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</si>
  <si>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</si>
  <si>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</si>
  <si>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</si>
  <si>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</si>
  <si>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</si>
  <si>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</si>
  <si>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</si>
  <si>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</si>
  <si>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</si>
  <si>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</si>
  <si>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</si>
  <si>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</si>
  <si>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</si>
  <si>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</si>
  <si>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</si>
  <si>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</si>
  <si>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</si>
  <si>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</si>
  <si>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</si>
  <si>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</si>
  <si>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</si>
  <si>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</si>
  <si>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</si>
  <si>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</si>
  <si>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</si>
  <si>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</si>
  <si>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</si>
  <si>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</si>
  <si>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</si>
  <si>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</si>
  <si>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</si>
  <si>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</si>
  <si>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</si>
  <si>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</si>
  <si>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</si>
  <si>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</si>
  <si>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</si>
  <si>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</si>
  <si>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</si>
  <si>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</si>
  <si>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</si>
  <si>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</si>
  <si>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</si>
  <si>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</si>
  <si>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</si>
  <si>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</si>
  <si>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</si>
  <si>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</si>
  <si>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</si>
  <si>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</si>
  <si>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</si>
  <si>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</si>
  <si>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</si>
  <si>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</si>
  <si>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</si>
  <si>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</si>
  <si>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</si>
  <si>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</si>
  <si>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</si>
  <si>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</si>
  <si>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</si>
  <si>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</si>
  <si>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</si>
  <si>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</si>
  <si>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</si>
  <si>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</si>
  <si>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</si>
  <si>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</si>
  <si>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</si>
  <si>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</si>
  <si>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</si>
  <si>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</si>
  <si>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</si>
  <si>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</si>
  <si>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</si>
  <si>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</si>
  <si>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</si>
  <si>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</si>
  <si>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</si>
  <si>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</si>
  <si>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</si>
  <si>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</si>
  <si>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</si>
  <si>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</si>
  <si>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</si>
  <si>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</si>
  <si>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</si>
  <si>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</si>
  <si>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</si>
  <si>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</si>
  <si>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</si>
  <si>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</si>
  <si>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</si>
  <si>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</si>
  <si>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</si>
  <si>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</si>
  <si>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</si>
  <si>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</si>
  <si>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</si>
  <si>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</si>
  <si>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</si>
  <si>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</si>
  <si>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</si>
  <si>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</si>
  <si>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</si>
  <si>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</si>
  <si>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</si>
  <si>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</si>
  <si>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</si>
  <si>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</si>
  <si>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</si>
  <si>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</si>
  <si>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</si>
  <si>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</si>
  <si>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</si>
  <si>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</si>
  <si>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</si>
  <si>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</si>
  <si>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</si>
  <si>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</si>
  <si>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</si>
  <si>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</si>
  <si>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</si>
  <si>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</si>
  <si>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</si>
  <si>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</si>
  <si>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</si>
  <si>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</si>
  <si>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</si>
  <si>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</si>
  <si>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</si>
  <si>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</si>
  <si>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</si>
  <si>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</si>
  <si>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</si>
  <si>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</si>
  <si>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</si>
  <si>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</si>
  <si>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</si>
  <si>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</si>
  <si>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</si>
  <si>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</si>
  <si>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</si>
  <si>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</si>
  <si>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</si>
  <si>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</si>
  <si>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</si>
  <si>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</si>
  <si>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</si>
  <si>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</si>
  <si>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</si>
  <si>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</si>
  <si>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</si>
  <si>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</si>
  <si>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</si>
  <si>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</si>
  <si>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</si>
  <si>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</si>
  <si>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</si>
  <si>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</si>
  <si>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</si>
  <si>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</si>
  <si>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</si>
  <si>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</si>
  <si>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</si>
  <si>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</si>
  <si>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</si>
  <si>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</si>
  <si>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</si>
  <si>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</si>
  <si>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</si>
  <si>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</si>
  <si>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</si>
  <si>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</si>
  <si>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</si>
  <si>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</si>
  <si>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</si>
  <si>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</si>
  <si>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</si>
  <si>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</si>
  <si>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</si>
  <si>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</si>
  <si>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</si>
  <si>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</si>
  <si>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</si>
  <si>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</si>
  <si>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</si>
  <si>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</si>
  <si>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</si>
  <si>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</si>
  <si>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</si>
  <si>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</si>
  <si>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</si>
  <si>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</si>
  <si>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</si>
  <si>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</si>
  <si>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</si>
  <si>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</si>
  <si>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</si>
  <si>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</si>
  <si>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</si>
  <si>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</si>
  <si>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</si>
  <si>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</si>
  <si>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</si>
  <si>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</si>
  <si>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</si>
  <si>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</si>
  <si>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</si>
  <si>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</si>
  <si>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</si>
  <si>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</si>
  <si>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</si>
  <si>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</si>
  <si>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</si>
  <si>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</si>
  <si>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</si>
  <si>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</si>
  <si>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</si>
  <si>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</si>
  <si>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</si>
  <si>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</si>
  <si>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</si>
  <si>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</si>
  <si>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</si>
  <si>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</si>
  <si>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</si>
  <si>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</si>
  <si>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</si>
  <si>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</si>
  <si>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</si>
  <si>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</si>
  <si>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</si>
  <si>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</si>
  <si>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</si>
  <si>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</si>
  <si>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</si>
  <si>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</si>
  <si>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</si>
  <si>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</si>
  <si>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</si>
  <si>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</si>
  <si>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</si>
  <si>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</si>
  <si>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</si>
  <si>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</si>
  <si>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</si>
  <si>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</si>
  <si>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</si>
  <si>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</si>
  <si>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</si>
  <si>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</si>
  <si>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</si>
  <si>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</si>
  <si>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</si>
  <si>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</si>
  <si>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</si>
  <si>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</si>
  <si>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</si>
  <si>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</si>
  <si>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</si>
  <si>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</si>
  <si>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</si>
  <si>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</si>
  <si>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</si>
  <si>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</si>
  <si>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</si>
  <si>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</si>
  <si>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</si>
  <si>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</si>
  <si>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</si>
  <si>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</si>
  <si>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</si>
  <si>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</si>
  <si>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</si>
  <si>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</si>
  <si>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</si>
  <si>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</si>
  <si>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</si>
  <si>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</si>
  <si>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</si>
  <si>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</si>
  <si>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</si>
  <si>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</si>
  <si>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</si>
  <si>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</si>
  <si>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</si>
  <si>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</si>
  <si>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</si>
  <si>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</si>
  <si>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</si>
  <si>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</si>
  <si>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</si>
  <si>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</si>
  <si>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</si>
  <si>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</si>
  <si>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</si>
  <si>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</si>
  <si>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</si>
  <si>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</si>
  <si>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</si>
  <si>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</si>
  <si>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</si>
  <si>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</si>
  <si>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</si>
  <si>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</si>
  <si>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</si>
  <si>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</si>
  <si>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</si>
  <si>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</si>
  <si>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</si>
  <si>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</si>
  <si>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</si>
  <si>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</si>
  <si>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</si>
  <si>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</si>
  <si>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</si>
  <si>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</si>
  <si>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</si>
  <si>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</si>
  <si>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</si>
  <si>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</si>
  <si>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</si>
  <si>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</si>
  <si>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</si>
  <si>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</si>
  <si>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</si>
  <si>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</si>
  <si>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</si>
  <si>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</si>
  <si>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</si>
  <si>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</si>
  <si>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</si>
  <si>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</si>
  <si>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</si>
  <si>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</si>
  <si>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</si>
  <si>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</si>
  <si>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</si>
  <si>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</si>
  <si>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</si>
  <si>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</si>
  <si>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</si>
  <si>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</si>
  <si>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</si>
  <si>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</si>
  <si>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</si>
  <si>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</si>
  <si>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</si>
  <si>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</si>
  <si>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</si>
  <si>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</si>
  <si>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</si>
  <si>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</si>
  <si>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</si>
  <si>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</si>
  <si>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</si>
  <si>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</si>
  <si>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</si>
  <si>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</si>
  <si>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</si>
  <si>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</si>
  <si>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</si>
  <si>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</si>
  <si>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</si>
  <si>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</si>
  <si>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</si>
  <si>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</si>
  <si>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</si>
  <si>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</si>
  <si>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</si>
  <si>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</si>
  <si>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</si>
  <si>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</si>
  <si>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</si>
  <si>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</si>
  <si>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</si>
  <si>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</si>
  <si>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</si>
  <si>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</si>
  <si>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</si>
  <si>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</si>
  <si>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</si>
  <si>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</si>
  <si>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</si>
  <si>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</si>
  <si>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</si>
  <si>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</si>
  <si>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</si>
  <si>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</si>
  <si>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</si>
  <si>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</si>
  <si>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</si>
  <si>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</si>
  <si>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</si>
  <si>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</si>
  <si>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</si>
  <si>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</si>
  <si>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</si>
  <si>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</si>
  <si>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</si>
  <si>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</si>
  <si>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</si>
  <si>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</si>
  <si>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</si>
  <si>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</si>
  <si>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</si>
  <si>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</si>
  <si>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</si>
  <si>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</si>
  <si>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</si>
  <si>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</si>
  <si>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</si>
  <si>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</si>
  <si>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</si>
  <si>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</si>
  <si>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</si>
  <si>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</si>
  <si>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</si>
  <si>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</si>
  <si>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</si>
  <si>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</si>
  <si>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</si>
  <si>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</si>
  <si>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</si>
  <si>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</si>
  <si>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</si>
  <si>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</si>
  <si>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</si>
  <si>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</si>
  <si>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</si>
  <si>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</si>
  <si>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</si>
  <si>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</si>
  <si>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</si>
  <si>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</si>
  <si>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</si>
  <si>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</si>
  <si>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</si>
  <si>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</si>
  <si>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</si>
  <si>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</si>
  <si>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</si>
  <si>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</si>
  <si>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</si>
  <si>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</si>
  <si>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</si>
  <si>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</si>
  <si>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</si>
  <si>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</si>
  <si>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</si>
  <si>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</si>
  <si>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</si>
  <si>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</si>
  <si>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</si>
  <si>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</si>
  <si>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</si>
  <si>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</si>
  <si>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</si>
  <si>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</si>
  <si>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</si>
  <si>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</si>
  <si>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</si>
  <si>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</si>
  <si>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</si>
  <si>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</si>
  <si>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</si>
  <si>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</si>
  <si>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</si>
  <si>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</si>
  <si>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</si>
  <si>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</si>
  <si>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</si>
  <si>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</si>
  <si>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</si>
  <si>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</si>
  <si>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</si>
  <si>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</si>
  <si>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</si>
  <si>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</si>
  <si>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</si>
  <si>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</si>
  <si>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</si>
  <si>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</si>
  <si>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</si>
  <si>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</si>
  <si>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</si>
  <si>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</si>
  <si>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</si>
  <si>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</si>
  <si>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</si>
  <si>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</si>
  <si>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</si>
  <si>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</si>
  <si>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</si>
  <si>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</si>
  <si>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</si>
  <si>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</si>
  <si>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</si>
  <si>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</si>
  <si>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</si>
  <si>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</si>
  <si>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</si>
  <si>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</si>
  <si>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</si>
  <si>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</si>
  <si>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</si>
  <si>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</si>
  <si>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</si>
  <si>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</si>
  <si>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</si>
  <si>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</si>
  <si>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</si>
  <si>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</si>
  <si>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</si>
  <si>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</si>
  <si>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</si>
  <si>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</si>
  <si>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</si>
  <si>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</si>
  <si>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</si>
  <si>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</si>
  <si>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</si>
  <si>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</si>
  <si>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</si>
  <si>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</si>
  <si>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</si>
  <si>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</si>
  <si>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</si>
  <si>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</si>
  <si>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</si>
  <si>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</si>
  <si>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</si>
  <si>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</si>
  <si>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</si>
  <si>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</si>
  <si>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</si>
  <si>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</si>
  <si>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</si>
  <si>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</si>
  <si>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</si>
  <si>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</si>
  <si>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</si>
  <si>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</si>
  <si>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</si>
  <si>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</si>
  <si>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</si>
  <si>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</si>
  <si>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</si>
  <si>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</si>
  <si>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</si>
  <si>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</si>
  <si>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</si>
  <si>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</si>
  <si>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</si>
  <si>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</si>
  <si>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</si>
  <si>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</si>
  <si>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</si>
  <si>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</si>
  <si>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</si>
  <si>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</si>
  <si>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</si>
  <si>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</si>
  <si>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</si>
  <si>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</si>
  <si>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</si>
  <si>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</si>
  <si>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</si>
  <si>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</si>
  <si>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</si>
  <si>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</si>
  <si>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</si>
  <si>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</si>
  <si>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</si>
  <si>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</si>
  <si>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</si>
  <si>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</si>
  <si>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</si>
  <si>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</si>
  <si>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</si>
  <si>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</si>
  <si>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</si>
  <si>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</si>
  <si>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</si>
  <si>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</si>
  <si>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</si>
  <si>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</si>
  <si>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</si>
  <si>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</si>
  <si>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</si>
  <si>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</si>
  <si>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</si>
  <si>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</si>
  <si>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</si>
  <si>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</si>
  <si>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</si>
  <si>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</si>
  <si>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</si>
  <si>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</si>
  <si>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</si>
  <si>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</si>
  <si>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</si>
  <si>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</si>
  <si>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</si>
  <si>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</si>
  <si>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</si>
  <si>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</si>
  <si>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</si>
  <si>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</si>
  <si>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</si>
  <si>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</si>
  <si>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</si>
  <si>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</si>
  <si>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</si>
  <si>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</si>
  <si>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</si>
  <si>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</si>
  <si>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</si>
  <si>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</si>
  <si>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</si>
  <si>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</si>
  <si>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</si>
  <si>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</si>
  <si>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</si>
  <si>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</si>
  <si>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</si>
  <si>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</si>
  <si>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</si>
  <si>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</si>
  <si>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</si>
  <si>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</si>
  <si>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</si>
  <si>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</si>
  <si>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</si>
  <si>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</si>
  <si>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</si>
  <si>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</si>
  <si>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</si>
  <si>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</si>
  <si>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</si>
  <si>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</si>
  <si>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</si>
  <si>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</si>
  <si>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</si>
  <si>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</si>
  <si>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</si>
  <si>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</si>
  <si>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</si>
  <si>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</si>
  <si>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</si>
  <si>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</si>
  <si>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</si>
  <si>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</si>
  <si>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</si>
  <si>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</si>
  <si>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</si>
  <si>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</si>
  <si>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</si>
  <si>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</si>
  <si>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</si>
  <si>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</si>
  <si>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</si>
  <si>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</si>
  <si>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</si>
  <si>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</si>
  <si>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</si>
  <si>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</si>
  <si>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</si>
  <si>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</si>
  <si>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</si>
  <si>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</si>
  <si>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</si>
  <si>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</si>
  <si>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</si>
  <si>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</si>
  <si>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</si>
  <si>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</si>
  <si>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</si>
  <si>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</si>
  <si>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</si>
  <si>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</si>
  <si>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</si>
  <si>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</si>
  <si>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</si>
  <si>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</si>
  <si>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</si>
  <si>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</si>
  <si>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</si>
  <si>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</si>
  <si>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</si>
  <si>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</si>
  <si>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</si>
  <si>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</si>
  <si>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</si>
  <si>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</si>
  <si>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</si>
  <si>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</si>
  <si>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</si>
  <si>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</si>
  <si>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</si>
  <si>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</si>
  <si>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</si>
  <si>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</si>
  <si>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</si>
  <si>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</si>
  <si>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</si>
  <si>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</si>
  <si>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</si>
  <si>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</si>
  <si>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</si>
  <si>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</si>
  <si>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</si>
  <si>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</si>
  <si>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</si>
  <si>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</si>
  <si>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</si>
  <si>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</si>
  <si>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</si>
  <si>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</si>
  <si>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</si>
  <si>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</si>
  <si>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</si>
  <si>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</si>
  <si>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</si>
  <si>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</si>
  <si>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</si>
  <si>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</si>
  <si>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</si>
  <si>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</si>
  <si>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</si>
  <si>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</si>
  <si>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</si>
  <si>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</si>
  <si>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</si>
  <si>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</si>
  <si>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</si>
  <si>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</si>
  <si>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</si>
  <si>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</si>
  <si>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自然人</t>
  </si>
  <si>
    <t>绿地中央广场</t>
    <phoneticPr fontId="224" type="noConversion"/>
  </si>
  <si>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</si>
  <si>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</si>
  <si>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</si>
  <si>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</si>
  <si>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</si>
  <si>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</si>
  <si>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</si>
  <si>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</si>
  <si>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</si>
  <si>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</si>
  <si>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</si>
  <si>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</si>
  <si>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</si>
  <si>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</si>
  <si>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</si>
  <si>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</si>
  <si>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13#</t>
  </si>
  <si>
    <t>京(2016)昌平区不动产权第0074858号</t>
  </si>
  <si>
    <t>其他</t>
  </si>
  <si>
    <t>6#</t>
  </si>
  <si>
    <t>京(2016)昌平区不动产权第0074856号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</si>
</sst>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2">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14" fontId="0" fillId="0" borderId="0" xfId="0" applyNumberFormat="1">
      <alignment vertical="center"/>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228129</xdr:colOff>
      <xdr:row>34</xdr:row>
      <xdr:rowOff>8795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3771429" cy="5838095"/>
        </a:xfrm>
        <a:prstGeom prst="rect">
          <a:avLst/>
        </a:prstGeom>
      </xdr:spPr>
    </xdr:pic>
    <xdr:clientData/>
  </xdr:twoCellAnchor>
  <xdr:twoCellAnchor editAs="oneCell">
    <xdr:from>
      <xdr:col>5</xdr:col>
      <xdr:colOff>342900</xdr:colOff>
      <xdr:row>0</xdr:row>
      <xdr:rowOff>0</xdr:rowOff>
    </xdr:from>
    <xdr:to>
      <xdr:col>10</xdr:col>
      <xdr:colOff>685329</xdr:colOff>
      <xdr:row>33</xdr:row>
      <xdr:rowOff>132626</xdr:rowOff>
    </xdr:to>
    <xdr:pic>
      <xdr:nvPicPr>
        <xdr:cNvPr id="7" name="图片 6"/>
        <xdr:cNvPicPr>
          <a:picLocks noChangeAspect="1"/>
        </xdr:cNvPicPr>
      </xdr:nvPicPr>
      <xdr:blipFill>
        <a:blip xmlns:r="http://schemas.openxmlformats.org/officeDocument/2006/relationships" r:embed="rId2"/>
        <a:stretch>
          <a:fillRect/>
        </a:stretch>
      </xdr:blipFill>
      <xdr:spPr>
        <a:xfrm>
          <a:off x="3771900" y="0"/>
          <a:ext cx="3771429" cy="5790476"/>
        </a:xfrm>
        <a:prstGeom prst="rect">
          <a:avLst/>
        </a:prstGeom>
      </xdr:spPr>
    </xdr:pic>
    <xdr:clientData/>
  </xdr:twoCellAnchor>
  <xdr:twoCellAnchor editAs="oneCell">
    <xdr:from>
      <xdr:col>11</xdr:col>
      <xdr:colOff>0</xdr:colOff>
      <xdr:row>0</xdr:row>
      <xdr:rowOff>0</xdr:rowOff>
    </xdr:from>
    <xdr:to>
      <xdr:col>16</xdr:col>
      <xdr:colOff>304333</xdr:colOff>
      <xdr:row>20</xdr:row>
      <xdr:rowOff>75762</xdr:rowOff>
    </xdr:to>
    <xdr:pic>
      <xdr:nvPicPr>
        <xdr:cNvPr id="8" name="图片 7"/>
        <xdr:cNvPicPr>
          <a:picLocks noChangeAspect="1"/>
        </xdr:cNvPicPr>
      </xdr:nvPicPr>
      <xdr:blipFill>
        <a:blip xmlns:r="http://schemas.openxmlformats.org/officeDocument/2006/relationships" r:embed="rId3"/>
        <a:stretch>
          <a:fillRect/>
        </a:stretch>
      </xdr:blipFill>
      <xdr:spPr>
        <a:xfrm>
          <a:off x="7543800" y="0"/>
          <a:ext cx="3733333" cy="3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估价对象为北京市房地产，为所有。根据《国有土地使用证》[]，估价对象（分摊）出让国有建设用地使用权面积为0平方米，建筑面积为158.43平方米。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估价对象为北京市房地产,属开发建设的办公项目，该项目尚在开发建设中。根据《国有土地使用证》[]，估价对象（分摊）出让国有建设用地使用权面积为0平方米，规划建筑面积为158.43平方米。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2025年11月14日（评估专业人员实地查勘之日）</v>
      </c>
    </row>
    <row r="13" spans="1:2">
      <c r="A13" s="3157" t="s">
        <v>13</v>
      </c>
      <c r="B13" s="3158" t="str">
        <f>'预评函-1'!A18</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312</v>
      </c>
    </row>
    <row r="21" spans="1:2">
      <c r="A21" s="3157" t="s">
        <v>21</v>
      </c>
      <c r="B21" s="3158">
        <f ca="1">'预评函-2'!D7</f>
        <v>19667</v>
      </c>
    </row>
    <row r="22" spans="1:2">
      <c r="A22" s="3157" t="s">
        <v>22</v>
      </c>
      <c r="B22" s="3158" t="str">
        <f ca="1">'预评函-2'!D6</f>
        <v>叁佰壹拾贰万元整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312</v>
      </c>
    </row>
    <row r="31" spans="1:2">
      <c r="A31" s="3157" t="s">
        <v>31</v>
      </c>
      <c r="B31" s="3158">
        <f ca="1">'预评函-2'!D15</f>
        <v>19667</v>
      </c>
    </row>
    <row r="32" spans="1:2">
      <c r="A32" s="3157" t="s">
        <v>32</v>
      </c>
      <c r="B32" s="3158" t="str">
        <f ca="1">'预评函-2'!D14</f>
        <v>叁佰壹拾贰万元整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158.43</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4"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296" t="s">
        <v>368</v>
      </c>
      <c r="C54" s="3045" t="s">
        <v>369</v>
      </c>
    </row>
    <row r="55" spans="1:4">
      <c r="A55" s="3214"/>
      <c r="B55" s="296" t="s">
        <v>370</v>
      </c>
      <c r="C55" s="3045" t="s">
        <v>371</v>
      </c>
    </row>
    <row r="56" spans="1:4">
      <c r="A56" s="3214"/>
      <c r="B56" s="296" t="s">
        <v>372</v>
      </c>
      <c r="C56" s="3045" t="s">
        <v>373</v>
      </c>
    </row>
    <row r="57" spans="1:4">
      <c r="A57" s="3214"/>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5" t="s">
        <v>378</v>
      </c>
      <c r="J2" s="3215"/>
      <c r="K2" s="3215"/>
      <c r="L2" s="3215"/>
      <c r="M2" s="3215"/>
      <c r="N2" s="3215"/>
      <c r="O2" s="3215"/>
      <c r="P2" s="3215"/>
      <c r="Q2" s="3215"/>
      <c r="R2" s="3215"/>
    </row>
    <row r="3" spans="1:18">
      <c r="A3" s="444" t="s">
        <v>379</v>
      </c>
      <c r="B3" s="3001">
        <f>项目基本情况!D3</f>
        <v>45975</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1.0900000000000001</v>
      </c>
      <c r="D5" s="3003">
        <f>IF(ISERROR(ROUND(POWER(1+E5,A5-C5)*(POWER(1+E5,C5)-1)/(POWER(1+E5,A5)-1),3)),0,ROUND(POWER(1+E5,A5-C5)*(POWER(1+E5,C5)-1)/(POWER(1+E5,A5)-1),4))</f>
        <v>5.2900000000000003E-2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31.11</v>
      </c>
      <c r="D7" s="3003">
        <f>IF(ISERROR(ROUND(POWER(1+E7,A7-C7)*(POWER(1+E7,C7)-1)/(POWER(1+E7,A7)-1),3)),0,ROUND(POWER(1+E7,A7-C7)*(POWER(1+E7,C7)-1)/(POWER(1+E7,A7)-1),4))</f>
        <v>0.75319999999999998</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45975</v>
      </c>
      <c r="C3" s="2884" t="s">
        <v>477</v>
      </c>
      <c r="D3" s="2883">
        <f>B3</f>
        <v>45975</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43" t="s">
        <v>483</v>
      </c>
      <c r="E8" s="2899" t="s">
        <v>368</v>
      </c>
      <c r="F8" s="2900"/>
      <c r="G8" s="2655"/>
      <c r="H8" s="2655"/>
      <c r="I8" s="2655"/>
      <c r="J8" s="2517"/>
      <c r="K8" s="2973"/>
      <c r="L8" s="2971"/>
      <c r="M8" s="2971"/>
      <c r="N8" s="2517"/>
      <c r="O8" s="2341"/>
      <c r="P8" s="2517"/>
      <c r="Q8" s="2517"/>
      <c r="R8" s="2517"/>
    </row>
    <row r="9" spans="1:30">
      <c r="A9" s="2901" t="s">
        <v>484</v>
      </c>
      <c r="B9" s="2902" t="s">
        <v>368</v>
      </c>
      <c r="C9" s="2903"/>
      <c r="D9" s="3244"/>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2803</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59636</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37.42</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31"/>
      <c r="C16" s="3232"/>
      <c r="D16" s="3233"/>
      <c r="E16" s="2925" t="s">
        <v>502</v>
      </c>
      <c r="F16" s="3234"/>
      <c r="G16" s="3235"/>
      <c r="H16" s="3235"/>
      <c r="I16" s="3236"/>
      <c r="J16" s="2517"/>
      <c r="K16" s="2979"/>
      <c r="L16" s="2341"/>
      <c r="M16" s="2341"/>
      <c r="N16" s="2517"/>
      <c r="O16" s="2341"/>
      <c r="P16" s="2517"/>
      <c r="Q16" s="2517"/>
      <c r="R16" s="2517"/>
    </row>
    <row r="17" spans="1:28">
      <c r="A17" s="1859" t="s">
        <v>503</v>
      </c>
      <c r="B17" s="1848" t="s">
        <v>504</v>
      </c>
      <c r="C17" s="953">
        <f>'数据-汇总表'!E3</f>
        <v>158.43</v>
      </c>
      <c r="D17" s="1901" t="s">
        <v>505</v>
      </c>
      <c r="E17" s="3237" t="s">
        <v>506</v>
      </c>
      <c r="F17" s="3238"/>
      <c r="G17" s="3238"/>
      <c r="H17" s="3238"/>
      <c r="I17" s="3239"/>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40" t="s">
        <v>509</v>
      </c>
      <c r="F18" s="3241"/>
      <c r="G18" s="3241"/>
      <c r="H18" s="3241"/>
      <c r="I18" s="3242"/>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8" t="s">
        <v>514</v>
      </c>
      <c r="C20" s="3219"/>
      <c r="D20" s="3220" t="s">
        <v>515</v>
      </c>
      <c r="E20" s="3221"/>
      <c r="F20" s="2934" t="s">
        <v>516</v>
      </c>
      <c r="G20" s="2655"/>
      <c r="H20" s="2655"/>
      <c r="I20" s="2655"/>
      <c r="J20" s="2517"/>
      <c r="K20" s="3216"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6"/>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16"/>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24"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24"/>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24"/>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5"/>
      <c r="B30" s="1848" t="s">
        <v>535</v>
      </c>
      <c r="C30" s="3222"/>
      <c r="D30" s="3223"/>
      <c r="E30" s="2655"/>
      <c r="F30" s="2655"/>
      <c r="G30" s="2655"/>
      <c r="H30" s="2655"/>
      <c r="I30" s="2655"/>
      <c r="J30" s="2517"/>
      <c r="K30" s="2972"/>
      <c r="L30" s="2971"/>
      <c r="M30" s="2971"/>
      <c r="N30" s="2517"/>
      <c r="O30" s="2341"/>
      <c r="P30" s="2517"/>
      <c r="Q30" s="2517"/>
      <c r="R30" s="2517"/>
      <c r="S30" s="2517"/>
      <c r="T30" s="2517"/>
      <c r="U30" s="2517"/>
      <c r="V30" s="2517"/>
    </row>
    <row r="31" spans="1:28">
      <c r="A31" s="3226"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7"/>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7"/>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7" t="s">
        <v>546</v>
      </c>
      <c r="T34" s="1889" t="str">
        <f>NUMBERSTRING(7-K34,1)&amp;"通"</f>
        <v>七通</v>
      </c>
      <c r="U34" s="2517"/>
      <c r="V34" s="2517"/>
    </row>
    <row r="35" spans="1:30">
      <c r="A35" s="2959"/>
      <c r="B35" s="3217" t="s">
        <v>547</v>
      </c>
      <c r="C35" s="3217"/>
      <c r="D35" s="3217"/>
      <c r="E35" s="3217"/>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7"/>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158.43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158.43</v>
      </c>
      <c r="H5" s="2806">
        <f t="shared" ref="H5:AT5" si="0">SUM(H13:H656)</f>
        <v>158.43</v>
      </c>
      <c r="I5" s="2806">
        <f t="shared" si="0"/>
        <v>158.43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158.43</v>
      </c>
      <c r="BA5" s="2859">
        <f t="shared" si="1"/>
        <v>158.43</v>
      </c>
      <c r="BB5" s="2859">
        <f t="shared" si="1"/>
        <v>158.43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907</v>
      </c>
      <c r="D13" s="2820" t="s">
        <v>605</v>
      </c>
      <c r="E13" s="2806">
        <f>IF($C$3="是",ROUND($A$3*G13/$B$3,2),ROUND($A$3*(G13-AT13)/$B$3,2))</f>
        <v>0</v>
      </c>
      <c r="F13" s="2821"/>
      <c r="G13" s="2822">
        <f>H13+AC13+AT13</f>
        <v>158.43</v>
      </c>
      <c r="H13" s="2809">
        <f>SUMIF(I$12:AB$12,"总值",I13:AB13)</f>
        <v>158.43</v>
      </c>
      <c r="I13" s="2834">
        <v>158.43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907</v>
      </c>
      <c r="AY13" s="2350">
        <f>ROUND($AY$6*AZ13/$AZ$5,2)</f>
        <v>0</v>
      </c>
      <c r="AZ13" s="2806">
        <f>BA13+BL13</f>
        <v>158.43</v>
      </c>
      <c r="BA13" s="2806">
        <f>SUM(BB13:BK13)</f>
        <v>158.43</v>
      </c>
      <c r="BB13" s="2806">
        <f>IF($D13="是",I13-J13,0)</f>
        <v>158.43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4" t="s">
        <v>607</v>
      </c>
      <c r="B2" s="3254"/>
      <c r="C2" s="3254"/>
      <c r="D2" s="2142" t="s">
        <v>608</v>
      </c>
      <c r="E2" s="2734" t="s">
        <v>609</v>
      </c>
      <c r="F2" s="2592"/>
      <c r="G2" s="2735"/>
      <c r="H2" s="2736"/>
      <c r="I2" s="2430" t="s">
        <v>610</v>
      </c>
      <c r="J2" s="2592"/>
      <c r="K2" s="2592"/>
      <c r="L2" s="2592"/>
      <c r="M2" s="2592"/>
      <c r="N2" s="1175"/>
      <c r="O2" s="2592"/>
      <c r="P2" s="2592"/>
    </row>
    <row r="3" spans="1:16" ht="15">
      <c r="A3" s="3255" t="s">
        <v>611</v>
      </c>
      <c r="B3" s="3255"/>
      <c r="C3" s="3255"/>
      <c r="D3" s="2737">
        <f>'数据-基础表'!AY6</f>
        <v>0</v>
      </c>
      <c r="E3" s="2737">
        <f>'数据-基础表'!AZ5</f>
        <v>158.43</v>
      </c>
      <c r="F3" s="2592"/>
      <c r="G3" s="2738"/>
      <c r="H3" s="2241" t="s">
        <v>612</v>
      </c>
      <c r="I3" s="2096" t="e">
        <f>ROUND('数据-基础表'!B3/'数据-基础表'!A3,2)</f>
        <v>#DIV/0!</v>
      </c>
      <c r="J3" s="2592"/>
      <c r="K3" s="2592"/>
      <c r="L3" s="2592"/>
      <c r="M3" s="2592"/>
      <c r="N3" s="1175"/>
      <c r="O3" s="2592"/>
      <c r="P3" s="2592"/>
    </row>
    <row r="4" spans="1:16" ht="15">
      <c r="A4" s="3256"/>
      <c r="B4" s="3257"/>
      <c r="C4" s="3258"/>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9" t="s">
        <v>616</v>
      </c>
      <c r="C5" s="3259"/>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9" t="s">
        <v>617</v>
      </c>
      <c r="C6" s="3259"/>
      <c r="D6" s="2241">
        <f>ROUND($D$3*E6/$E$3,2)</f>
        <v>0</v>
      </c>
      <c r="E6" s="2742">
        <f>E3-E5</f>
        <v>158.43</v>
      </c>
      <c r="F6" s="2592"/>
      <c r="G6" s="2744" t="s">
        <v>618</v>
      </c>
      <c r="H6" s="2745" t="s">
        <v>614</v>
      </c>
      <c r="I6" s="2784" t="e">
        <f>ROUND(F31/D31,2)</f>
        <v>#DIV/0!</v>
      </c>
      <c r="J6" s="2592"/>
      <c r="K6" s="2592"/>
      <c r="L6" s="2592"/>
      <c r="M6" s="2592"/>
      <c r="N6" s="2592"/>
      <c r="O6" s="2592"/>
      <c r="P6" s="2592"/>
    </row>
    <row r="7" spans="1:16" ht="15">
      <c r="A7" s="3245"/>
      <c r="B7" s="3246"/>
      <c r="C7" s="3247"/>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158.43</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158.43</v>
      </c>
      <c r="F16" s="2592"/>
      <c r="G16" s="2592"/>
      <c r="H16" s="2752" t="s">
        <v>632</v>
      </c>
      <c r="I16" s="2786"/>
      <c r="J16" s="2288"/>
      <c r="K16" s="3248" t="s">
        <v>632</v>
      </c>
      <c r="L16" s="3249"/>
      <c r="M16" s="3249"/>
      <c r="N16" s="3249"/>
      <c r="O16" s="3249"/>
      <c r="P16" s="3250"/>
    </row>
    <row r="17" spans="1:19" ht="15">
      <c r="A17" s="2703" t="s">
        <v>633</v>
      </c>
      <c r="B17" s="2753" t="s">
        <v>634</v>
      </c>
      <c r="C17" s="2262" t="s">
        <v>635</v>
      </c>
      <c r="D17" s="2754" t="s">
        <v>608</v>
      </c>
      <c r="E17" s="2755" t="s">
        <v>609</v>
      </c>
      <c r="F17" s="2756"/>
      <c r="G17" s="2757"/>
      <c r="H17" s="2758" t="s">
        <v>636</v>
      </c>
      <c r="I17" s="2787" t="s">
        <v>637</v>
      </c>
      <c r="J17" s="2288"/>
      <c r="K17" s="3251" t="s">
        <v>638</v>
      </c>
      <c r="L17" s="3252"/>
      <c r="M17" s="3253"/>
      <c r="N17" s="3251" t="s">
        <v>639</v>
      </c>
      <c r="O17" s="3252"/>
      <c r="P17" s="3253"/>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158.43</v>
      </c>
      <c r="F19" s="2767">
        <f>'数据-基础表'!I13</f>
        <v>158.43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158.43</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158.43</v>
      </c>
      <c r="F27" s="2772">
        <f>IF(SUM(F19:F26)=E8,SUM(F19:F26),"地上面积有误")</f>
        <v>158.43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158.43</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158.43</v>
      </c>
      <c r="F31" s="2780">
        <f>F27+F30</f>
        <v>158.43</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L6" activePane="bottomRight" state="frozen"/>
      <selection pane="topRight"/>
      <selection pane="bottomLeft"/>
      <selection pane="bottomRight" activeCell="M32" sqref="M32"/>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45975</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59636</v>
      </c>
      <c r="F6" s="2577">
        <f>SUMIF(项目基本情况!C$12:I$12,C6,项目基本情况!C$15:I$15)</f>
        <v>37.42</v>
      </c>
      <c r="G6" s="2578">
        <f>IF(ISERROR(ROUND(POWER(1+H6,D6-F6)*(POWER(1+H6,F6)-1)/(POWER(1+H6,D6)-1),3)),0,ROUND(POWER(1+H6,D6-F6)*(POWER(1+H6,F6)-1)/(POWER(1+H6,D6)-1),3))</f>
        <v>0.91900000000000004</v>
      </c>
      <c r="H6" s="2579">
        <v>0.05</v>
      </c>
      <c r="I6" s="2579">
        <v>5.5E-2</v>
      </c>
      <c r="J6" s="2580">
        <v>7.0000000000000007E-2</v>
      </c>
      <c r="K6" s="2663">
        <f>SUMIF('数据-汇总表'!C$19:C$33,A6,'数据-汇总表'!E$19:E$33)</f>
        <v>158.43</v>
      </c>
      <c r="L6" s="2664">
        <v>4500</v>
      </c>
      <c r="M6" s="2665">
        <f t="shared" ref="M6:M14" si="0">ROUND(K6*L6/10000,0)</f>
        <v>71</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3</v>
      </c>
      <c r="V6" s="2687">
        <v>0.02</v>
      </c>
      <c r="W6" s="2687">
        <v>0.1</v>
      </c>
      <c r="X6" s="2688"/>
      <c r="Y6" s="2704">
        <f>N6</f>
        <v>0.85</v>
      </c>
      <c r="Z6" s="2705"/>
      <c r="AA6" s="2580"/>
      <c r="AB6" s="2580"/>
      <c r="AC6" s="2688"/>
      <c r="AD6" s="2706"/>
      <c r="AE6" s="2707">
        <f ca="1">IF(AN6="",0,SUMIF(INDIRECT("'"&amp;AN6&amp;"'"&amp;"!E:E"),$AE$5,INDIRECT("'"&amp;AN6&amp;"'"&amp;"!F:F")))</f>
        <v>37.42</v>
      </c>
      <c r="AF6" s="2228"/>
      <c r="AG6" s="1595">
        <f>IF(AF6="",0,AE6-AF6)</f>
        <v>0</v>
      </c>
      <c r="AH6" s="2715"/>
      <c r="AI6" s="2716">
        <v>365</v>
      </c>
      <c r="AJ6" s="2228"/>
      <c r="AK6" s="2717">
        <v>2E-3</v>
      </c>
      <c r="AL6" s="2718">
        <v>1E-3</v>
      </c>
      <c r="AM6" s="2719">
        <v>5.0000000000000001E-3</v>
      </c>
      <c r="AN6" s="2720" t="s">
        <v>285</v>
      </c>
      <c r="AO6" s="1227">
        <f ca="1">SUMIF(INDIRECT("'"&amp;AN6&amp;"'"&amp;"!A:A"),"总价",INDIRECT("'"&amp;AN6&amp;"'"&amp;"!B:B"))</f>
        <v>294.00139999999999</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0.91900000000000004</v>
      </c>
      <c r="H16" s="2588">
        <f>ROUND(SUMPRODUCT(H6:H13,K6:K13)/SUMPRODUCT((H6:H13&gt;0)*(K6:K13)),3)</f>
        <v>0.05</v>
      </c>
      <c r="I16" s="2672"/>
      <c r="J16" s="2672"/>
      <c r="K16" s="2673">
        <f>SUM(K6:K15)</f>
        <v>158.43</v>
      </c>
      <c r="L16" s="2674">
        <f>ROUND(M16*10000/SUM(K6:K14),0)</f>
        <v>4481</v>
      </c>
      <c r="M16" s="2674">
        <f>SUM(M6:M14)</f>
        <v>71</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7.6879378905510318</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158.43</v>
      </c>
      <c r="U18" s="2125">
        <v>423400</v>
      </c>
      <c r="V18" s="3168">
        <f>U18/365/K16</f>
        <v>7.3218456100486016</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138.13</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2.0699999999999998</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31686</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0.06</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5.5000000000000007E-2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5.000000000000001E-3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0.05</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60" t="s">
        <v>764</v>
      </c>
      <c r="B1" s="3261"/>
      <c r="C1" s="3261"/>
      <c r="D1" s="3261"/>
      <c r="E1" s="3261"/>
      <c r="F1" s="3261"/>
      <c r="G1" s="3261"/>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158.43</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45975</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312</v>
      </c>
      <c r="C5" s="2485">
        <f ca="1">IF(B5=D14,结果表!H102,ROUND(B5*10000/$B$1,0))</f>
        <v>19667</v>
      </c>
      <c r="D5" s="2485" t="e">
        <f ca="1">ROUND(B5*10000/$B$2,0)</f>
        <v>#DIV/0!</v>
      </c>
      <c r="E5" s="2486"/>
      <c r="F5" s="2487"/>
      <c r="G5" s="2487"/>
      <c r="H5" s="2487"/>
      <c r="I5" s="2487"/>
      <c r="J5" s="2487"/>
      <c r="K5" s="2487"/>
    </row>
    <row r="6" spans="1:11" ht="16.5">
      <c r="A6" s="2485" t="s">
        <v>794</v>
      </c>
      <c r="B6" s="2485">
        <f ca="1">SUM(G14:G23)</f>
        <v>312</v>
      </c>
      <c r="C6" s="2485">
        <f ca="1">IF(B6=G14,结果表!H108,ROUND(B6*10000/$B$1,0))</f>
        <v>19667</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158.43</v>
      </c>
      <c r="C14" s="2496"/>
      <c r="D14" s="2496">
        <f ca="1">结果表!G19</f>
        <v>312</v>
      </c>
      <c r="E14" s="2496">
        <f ca="1">ROUND(D14*10000/B14,0)</f>
        <v>19693</v>
      </c>
      <c r="F14" s="2496" t="e">
        <f ca="1">ROUND(D14*10000/C14,0)</f>
        <v>#DIV/0!</v>
      </c>
      <c r="G14" s="2496">
        <f ca="1">D14</f>
        <v>312</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38" sqref="F38"/>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6" t="str">
        <f>项目基本情况!S2</f>
        <v>北京市房地产</v>
      </c>
      <c r="B2" s="3337"/>
      <c r="C2" s="3337"/>
      <c r="D2" s="3337"/>
      <c r="E2" s="3337"/>
      <c r="F2" s="3337"/>
      <c r="G2" s="3337"/>
      <c r="H2" s="3337"/>
      <c r="I2" s="3338"/>
    </row>
    <row r="3" spans="1:12" ht="12.75">
      <c r="A3" s="3339" t="s">
        <v>818</v>
      </c>
      <c r="B3" s="3340"/>
      <c r="C3" s="3340"/>
      <c r="D3" s="3340"/>
      <c r="E3" s="3340"/>
      <c r="F3" s="3340"/>
      <c r="G3" s="3340"/>
      <c r="H3" s="3340"/>
      <c r="I3" s="3340"/>
    </row>
    <row r="4" spans="1:12" ht="14.25">
      <c r="A4" s="2223" t="s">
        <v>819</v>
      </c>
      <c r="B4" s="2224" t="s">
        <v>820</v>
      </c>
      <c r="C4" s="2225" t="s">
        <v>2802</v>
      </c>
      <c r="D4" s="2225" t="s">
        <v>285</v>
      </c>
      <c r="E4" s="3341" t="s">
        <v>821</v>
      </c>
      <c r="F4" s="3342"/>
      <c r="G4" s="3342"/>
      <c r="H4" s="3342"/>
      <c r="I4" s="3343"/>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3" t="s">
        <v>822</v>
      </c>
      <c r="B5" s="3271">
        <v>25</v>
      </c>
      <c r="C5" s="3353"/>
      <c r="D5" s="3274"/>
      <c r="E5" s="1888" t="s">
        <v>823</v>
      </c>
      <c r="F5" s="2229"/>
      <c r="G5" s="2229"/>
      <c r="H5" s="2229"/>
      <c r="I5" s="2109"/>
    </row>
    <row r="6" spans="1:12" ht="12.75">
      <c r="A6" s="3263"/>
      <c r="B6" s="3271"/>
      <c r="C6" s="3354"/>
      <c r="D6" s="3274"/>
      <c r="E6" s="1888" t="s">
        <v>824</v>
      </c>
      <c r="F6" s="2229"/>
      <c r="G6" s="2229"/>
      <c r="H6" s="2229"/>
      <c r="I6" s="2109"/>
    </row>
    <row r="7" spans="1:12" ht="12.75">
      <c r="A7" s="3263"/>
      <c r="B7" s="3271"/>
      <c r="C7" s="3355"/>
      <c r="D7" s="3274"/>
      <c r="E7" s="1888" t="s">
        <v>825</v>
      </c>
      <c r="F7" s="2229"/>
      <c r="G7" s="2229"/>
      <c r="H7" s="2229"/>
      <c r="I7" s="2109"/>
    </row>
    <row r="8" spans="1:12" ht="12.75">
      <c r="A8" s="3263" t="s">
        <v>826</v>
      </c>
      <c r="B8" s="3271">
        <v>15</v>
      </c>
      <c r="C8" s="3353"/>
      <c r="D8" s="3274"/>
      <c r="E8" s="1888" t="s">
        <v>827</v>
      </c>
      <c r="F8" s="2229"/>
      <c r="G8" s="2229"/>
      <c r="H8" s="2229"/>
      <c r="I8" s="2109"/>
    </row>
    <row r="9" spans="1:12" ht="12.75">
      <c r="A9" s="3263"/>
      <c r="B9" s="3271"/>
      <c r="C9" s="3355"/>
      <c r="D9" s="3274"/>
      <c r="E9" s="1888" t="s">
        <v>828</v>
      </c>
      <c r="F9" s="2229"/>
      <c r="G9" s="2229"/>
      <c r="H9" s="2229"/>
      <c r="I9" s="2109"/>
    </row>
    <row r="10" spans="1:12" ht="12.75">
      <c r="A10" s="3263" t="s">
        <v>829</v>
      </c>
      <c r="B10" s="3271">
        <v>15</v>
      </c>
      <c r="C10" s="3353"/>
      <c r="D10" s="3274"/>
      <c r="E10" s="1888" t="s">
        <v>830</v>
      </c>
      <c r="F10" s="2229"/>
      <c r="G10" s="2229"/>
      <c r="H10" s="2229"/>
      <c r="I10" s="2109"/>
    </row>
    <row r="11" spans="1:12" ht="12.75">
      <c r="A11" s="3263"/>
      <c r="B11" s="3271"/>
      <c r="C11" s="3355"/>
      <c r="D11" s="3274"/>
      <c r="E11" s="1888" t="s">
        <v>831</v>
      </c>
      <c r="F11" s="2229"/>
      <c r="G11" s="2229"/>
      <c r="H11" s="2229"/>
      <c r="I11" s="2109"/>
    </row>
    <row r="12" spans="1:12" ht="12.75">
      <c r="A12" s="3263" t="s">
        <v>832</v>
      </c>
      <c r="B12" s="3271">
        <v>15</v>
      </c>
      <c r="C12" s="3353"/>
      <c r="D12" s="3274"/>
      <c r="E12" s="1888" t="s">
        <v>833</v>
      </c>
      <c r="F12" s="2229"/>
      <c r="G12" s="2229"/>
      <c r="H12" s="2229"/>
      <c r="I12" s="2109"/>
    </row>
    <row r="13" spans="1:12" ht="12.75">
      <c r="A13" s="3263"/>
      <c r="B13" s="3271"/>
      <c r="C13" s="3355"/>
      <c r="D13" s="3274"/>
      <c r="E13" s="1888" t="s">
        <v>834</v>
      </c>
      <c r="F13" s="2229"/>
      <c r="G13" s="2229"/>
      <c r="H13" s="2229"/>
      <c r="I13" s="2109"/>
    </row>
    <row r="14" spans="1:12" ht="12.75">
      <c r="A14" s="3263" t="s">
        <v>835</v>
      </c>
      <c r="B14" s="3271">
        <v>30</v>
      </c>
      <c r="C14" s="3353">
        <v>5</v>
      </c>
      <c r="D14" s="3274">
        <v>5</v>
      </c>
      <c r="E14" s="1888" t="s">
        <v>836</v>
      </c>
      <c r="F14" s="2229"/>
      <c r="G14" s="2229"/>
      <c r="H14" s="2229"/>
      <c r="I14" s="2109"/>
    </row>
    <row r="15" spans="1:12" ht="12.75">
      <c r="A15" s="3263"/>
      <c r="B15" s="3271"/>
      <c r="C15" s="3354"/>
      <c r="D15" s="3274"/>
      <c r="E15" s="1888" t="s">
        <v>837</v>
      </c>
      <c r="F15" s="2229"/>
      <c r="G15" s="2229"/>
      <c r="H15" s="2229"/>
      <c r="I15" s="2109"/>
    </row>
    <row r="16" spans="1:12" ht="12.75">
      <c r="A16" s="3263"/>
      <c r="B16" s="3271"/>
      <c r="C16" s="3355"/>
      <c r="D16" s="3274"/>
      <c r="E16" s="1888" t="s">
        <v>838</v>
      </c>
      <c r="F16" s="2229"/>
      <c r="G16" s="2229"/>
      <c r="H16" s="2229"/>
      <c r="I16" s="2109"/>
    </row>
    <row r="17" spans="1:36" ht="15">
      <c r="A17" s="2230" t="s">
        <v>839</v>
      </c>
      <c r="B17" s="2231"/>
      <c r="C17" s="2232">
        <f>SUM(C5:C16)</f>
        <v>5</v>
      </c>
      <c r="D17" s="2232">
        <f>SUM(D5:D16)</f>
        <v>5</v>
      </c>
      <c r="E17" s="939"/>
      <c r="F17" s="939"/>
      <c r="G17" s="939"/>
      <c r="H17" s="939"/>
      <c r="I17" s="939"/>
      <c r="K17" s="1848"/>
      <c r="L17" s="1848" t="s">
        <v>840</v>
      </c>
      <c r="M17" s="1848" t="s">
        <v>841</v>
      </c>
    </row>
    <row r="18" spans="1:36" ht="31.9" customHeight="1">
      <c r="A18" s="2233" t="s">
        <v>842</v>
      </c>
      <c r="B18" s="2234"/>
      <c r="C18" s="2235">
        <f>ROUND(C17/SUM(C17:D17),2)</f>
        <v>0.5</v>
      </c>
      <c r="D18" s="2235">
        <f>1-C18</f>
        <v>0.5</v>
      </c>
      <c r="E18" s="3344" t="s">
        <v>843</v>
      </c>
      <c r="F18" s="3345"/>
      <c r="G18" s="3345"/>
      <c r="H18" s="3345"/>
      <c r="I18" s="3345"/>
      <c r="K18" s="1848" t="s">
        <v>504</v>
      </c>
      <c r="L18" s="1848">
        <f>IF(C1="",'数据-汇总表'!E3,SUMIF(项目类型,C1,'数据-汇总表'!E17:E26)+SUMIF(项目类型,C1,'数据-汇总表'!I17:I26))</f>
        <v>158.43</v>
      </c>
      <c r="M18" s="1848">
        <f>IF(C1="",'数据-汇总表'!E3,SUMIF(项目类型,C1,'数据-汇总表'!E17:E26))</f>
        <v>158.43</v>
      </c>
    </row>
    <row r="19" spans="1:36" ht="15">
      <c r="A19" s="1230" t="s">
        <v>844</v>
      </c>
      <c r="B19" s="2236" t="s">
        <v>845</v>
      </c>
      <c r="C19" s="2237">
        <f ca="1">SUMIF(INDIRECT("'"&amp;C4&amp;"'"&amp;"!A:A"),结果表!B19,INDIRECT("'"&amp;C4&amp;"'"&amp;"!B:B"))</f>
        <v>329.17</v>
      </c>
      <c r="D19" s="1348">
        <f ca="1">SUMIF(INDIRECT("'"&amp;D4&amp;"'"&amp;"!A:A"),结果表!B19,INDIRECT("'"&amp;D4&amp;"'"&amp;"!B:B"))</f>
        <v>294.00139999999999</v>
      </c>
      <c r="E19" s="1230" t="s">
        <v>846</v>
      </c>
      <c r="F19" s="2236" t="s">
        <v>845</v>
      </c>
      <c r="G19" s="2238">
        <f ca="1">ROUND(C19*$C$18+D19*$D$18,0)</f>
        <v>312</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20777</v>
      </c>
      <c r="D20" s="1595">
        <f ca="1">SUMIF(INDIRECT("'"&amp;D4&amp;"'"&amp;"!A:A"),结果表!B20,INDIRECT("'"&amp;D4&amp;"'"&amp;"!B:B"))</f>
        <v>18557</v>
      </c>
      <c r="E20" s="2240"/>
      <c r="F20" s="2241" t="s">
        <v>848</v>
      </c>
      <c r="G20" s="2242">
        <f ca="1">ROUND(C20*$C$18+D20*$D$18,0)</f>
        <v>19667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0.11962051881385616</v>
      </c>
      <c r="E22" s="939"/>
      <c r="F22" s="939"/>
      <c r="G22" s="939"/>
      <c r="H22" s="939"/>
      <c r="I22" s="939"/>
    </row>
    <row r="23" spans="1:36" ht="12.75">
      <c r="A23" s="1991"/>
      <c r="B23" s="1991"/>
      <c r="C23" s="1991"/>
      <c r="D23" s="1991"/>
      <c r="E23" s="939"/>
      <c r="F23" s="939"/>
      <c r="G23" s="939"/>
      <c r="H23" s="939"/>
      <c r="I23" s="939"/>
    </row>
    <row r="24" spans="1:36" ht="14.25">
      <c r="A24" s="3264" t="s">
        <v>852</v>
      </c>
      <c r="B24" s="2236" t="s">
        <v>845</v>
      </c>
      <c r="C24" s="2238">
        <f>IF(B30=0,0,D30)</f>
        <v>0</v>
      </c>
      <c r="D24" s="2252"/>
      <c r="E24" s="939"/>
      <c r="F24" s="939"/>
      <c r="G24" s="939"/>
      <c r="H24" s="939"/>
      <c r="I24" s="939"/>
    </row>
    <row r="25" spans="1:36" ht="14.25">
      <c r="A25" s="3265"/>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23137.647058823532</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19667</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266" t="s">
        <v>867</v>
      </c>
      <c r="B36" s="2281" t="s">
        <v>868</v>
      </c>
      <c r="C36" s="2282"/>
      <c r="D36" s="2283"/>
      <c r="E36" s="2284"/>
      <c r="F36" s="2285"/>
      <c r="G36" s="939"/>
      <c r="H36" s="939"/>
      <c r="I36" s="939"/>
    </row>
    <row r="37" spans="1:15" ht="15">
      <c r="A37" s="3267"/>
      <c r="B37" s="2286" t="s">
        <v>869</v>
      </c>
      <c r="C37" s="2287"/>
      <c r="D37" s="2288"/>
      <c r="E37" s="2288"/>
      <c r="F37" s="2285"/>
      <c r="G37" s="939"/>
      <c r="H37" s="939"/>
      <c r="I37" s="939"/>
    </row>
    <row r="38" spans="1:15" ht="15">
      <c r="A38" s="3268"/>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6" t="s">
        <v>878</v>
      </c>
      <c r="B45" s="3347"/>
      <c r="C45" s="3348"/>
      <c r="D45" s="1847">
        <f ca="1">ROUND(H101*F45,0)</f>
        <v>312</v>
      </c>
      <c r="E45" s="2307" t="s">
        <v>879</v>
      </c>
      <c r="F45" s="2308">
        <v>1</v>
      </c>
      <c r="G45" s="1858" t="s">
        <v>880</v>
      </c>
      <c r="H45" s="939"/>
      <c r="I45" s="939"/>
      <c r="J45" s="3335" t="s">
        <v>881</v>
      </c>
      <c r="K45" s="3335"/>
      <c r="L45" s="3335"/>
      <c r="M45" s="3335"/>
      <c r="N45" s="3335"/>
      <c r="O45" s="3335"/>
    </row>
    <row r="46" spans="1:15" ht="14.25" customHeight="1">
      <c r="A46" s="3349" t="s">
        <v>882</v>
      </c>
      <c r="B46" s="3350"/>
      <c r="C46" s="3350"/>
      <c r="D46" s="3350"/>
      <c r="E46" s="3350"/>
      <c r="F46" s="3350"/>
      <c r="G46" s="3351"/>
      <c r="H46" s="2309"/>
      <c r="I46" s="940"/>
      <c r="J46" s="580">
        <v>1</v>
      </c>
      <c r="K46" s="3325" t="s">
        <v>883</v>
      </c>
      <c r="L46" s="3325"/>
      <c r="M46" s="3352"/>
      <c r="N46" s="3352"/>
      <c r="O46" s="3352"/>
    </row>
    <row r="47" spans="1:15" ht="12" customHeight="1">
      <c r="A47" s="2310" t="s">
        <v>884</v>
      </c>
      <c r="B47" s="2311"/>
      <c r="C47" s="2312"/>
      <c r="D47" s="1897" t="s">
        <v>885</v>
      </c>
      <c r="E47" s="1848" t="s">
        <v>886</v>
      </c>
      <c r="F47" s="2313" t="s">
        <v>887</v>
      </c>
      <c r="G47" s="2314" t="s">
        <v>888</v>
      </c>
      <c r="H47" s="2315"/>
      <c r="I47" s="940"/>
      <c r="J47" s="580">
        <v>2</v>
      </c>
      <c r="K47" s="3325" t="s">
        <v>889</v>
      </c>
      <c r="L47" s="3325"/>
      <c r="M47" s="3332">
        <f>'数据-取费表'!B2</f>
        <v>45975</v>
      </c>
      <c r="N47" s="3332"/>
      <c r="O47" s="3332"/>
    </row>
    <row r="48" spans="1:15" ht="25.5">
      <c r="A48" s="3333" t="s">
        <v>890</v>
      </c>
      <c r="B48" s="3327"/>
      <c r="C48" s="3327"/>
      <c r="D48" s="1998" t="b">
        <f>IF(H48="情况1",0,IF(H48="情况2",D52,IF(H48="情况3",D53,IF(H48="情况4",D54))))</f>
        <v>0</v>
      </c>
      <c r="E48" s="1901" t="str">
        <f>IF(H48="情况4","(销售额-原购置价)×税（费）率","销售额×税（费）率")</f>
        <v>销售额×税（费）率</v>
      </c>
      <c r="F48" s="2317">
        <f>IF(H48="情况1","免征",'数据-取费表'!B41)</f>
        <v>5.5000000000000007E-2</v>
      </c>
      <c r="G48" s="2318" t="s">
        <v>891</v>
      </c>
      <c r="H48" s="2319"/>
      <c r="I48" s="2309"/>
      <c r="J48" s="580">
        <v>3</v>
      </c>
      <c r="K48" s="3325" t="s">
        <v>892</v>
      </c>
      <c r="L48" s="3325"/>
      <c r="M48" s="3334">
        <f ca="1">H101</f>
        <v>312</v>
      </c>
      <c r="N48" s="3334"/>
      <c r="O48" s="3334"/>
    </row>
    <row r="49" spans="1:35" ht="25.5" customHeight="1">
      <c r="A49" s="2316" t="s">
        <v>893</v>
      </c>
      <c r="B49" s="3301" t="s">
        <v>894</v>
      </c>
      <c r="C49" s="3301"/>
      <c r="D49" s="2320">
        <v>0</v>
      </c>
      <c r="E49" s="1907" t="s">
        <v>895</v>
      </c>
      <c r="F49" s="2321" t="s">
        <v>124</v>
      </c>
      <c r="G49" s="3328"/>
      <c r="H49" s="2322" t="s">
        <v>896</v>
      </c>
      <c r="I49" s="2356"/>
      <c r="J49" s="580">
        <v>4</v>
      </c>
      <c r="K49" s="3325" t="str">
        <f>IF(项目基本情况!E8="房地产抵押价值","房地产抵押价值","抵押担保权已注销时的房地产抵押价值")</f>
        <v>房地产抵押价值</v>
      </c>
      <c r="L49" s="3325"/>
      <c r="M49" s="3334">
        <f ca="1">IF(项目基本情况!E8="房地产抵押价值",H107,H109)</f>
        <v>312</v>
      </c>
      <c r="N49" s="3334"/>
      <c r="O49" s="3334"/>
    </row>
    <row r="50" spans="1:35" ht="25.5" customHeight="1">
      <c r="A50" s="2323"/>
      <c r="B50" s="3301" t="s">
        <v>897</v>
      </c>
      <c r="C50" s="3301"/>
      <c r="D50" s="2324"/>
      <c r="E50" s="1922"/>
      <c r="F50" s="2321"/>
      <c r="G50" s="3329"/>
      <c r="H50" s="2325" t="s">
        <v>898</v>
      </c>
      <c r="I50" s="2356"/>
      <c r="J50" s="3335" t="s">
        <v>899</v>
      </c>
      <c r="K50" s="3335"/>
      <c r="L50" s="3335"/>
      <c r="M50" s="3335"/>
      <c r="N50" s="3335"/>
      <c r="O50" s="3335"/>
    </row>
    <row r="51" spans="1:35" ht="20.45" customHeight="1">
      <c r="A51" s="2326"/>
      <c r="B51" s="3301" t="s">
        <v>900</v>
      </c>
      <c r="C51" s="3301"/>
      <c r="D51" s="1897"/>
      <c r="E51" s="1911"/>
      <c r="F51" s="2321"/>
      <c r="G51" s="3330"/>
      <c r="H51" s="2325" t="s">
        <v>901</v>
      </c>
      <c r="I51" s="2356"/>
      <c r="J51" s="2355" t="s">
        <v>902</v>
      </c>
      <c r="K51" s="3325" t="s">
        <v>903</v>
      </c>
      <c r="L51" s="3325"/>
      <c r="M51" s="2355" t="s">
        <v>904</v>
      </c>
      <c r="N51" s="2355" t="s">
        <v>905</v>
      </c>
      <c r="O51" s="2355" t="s">
        <v>906</v>
      </c>
    </row>
    <row r="52" spans="1:35" ht="24" customHeight="1">
      <c r="A52" s="2327" t="s">
        <v>907</v>
      </c>
      <c r="B52" s="3301" t="s">
        <v>908</v>
      </c>
      <c r="C52" s="3301"/>
      <c r="D52" s="1897">
        <f ca="1">ROUND(D45*'数据-取费表'!B41/(1+'数据-取费表'!C42),0)</f>
        <v>16</v>
      </c>
      <c r="E52" s="1901" t="s">
        <v>909</v>
      </c>
      <c r="F52" s="2328">
        <f>'数据-取费表'!B41</f>
        <v>5.5000000000000007E-2</v>
      </c>
      <c r="G52" s="2329"/>
      <c r="H52" s="2012"/>
      <c r="I52" s="2357"/>
      <c r="J52" s="580">
        <v>1</v>
      </c>
      <c r="K52" s="3321" t="s">
        <v>910</v>
      </c>
      <c r="L52" s="3321"/>
      <c r="M52" s="2358" t="b">
        <f>D48</f>
        <v>0</v>
      </c>
      <c r="N52" s="580" t="str">
        <f>E48</f>
        <v>销售额×税（费）率</v>
      </c>
      <c r="O52" s="2359">
        <f>F48</f>
        <v>5.5000000000000007E-2</v>
      </c>
    </row>
    <row r="53" spans="1:35" ht="12" customHeight="1">
      <c r="A53" s="2327" t="s">
        <v>911</v>
      </c>
      <c r="B53" s="3300" t="s">
        <v>912</v>
      </c>
      <c r="C53" s="3317"/>
      <c r="D53" s="1897">
        <f ca="1">ROUND(D45*'数据-取费表'!B41/(1+'数据-取费表'!C42),0)</f>
        <v>16</v>
      </c>
      <c r="E53" s="1901" t="s">
        <v>909</v>
      </c>
      <c r="F53" s="2328">
        <f>'数据-取费表'!B41</f>
        <v>5.5000000000000007E-2</v>
      </c>
      <c r="G53" s="2329"/>
      <c r="H53" s="2012"/>
      <c r="I53" s="2357"/>
      <c r="J53" s="580">
        <v>2</v>
      </c>
      <c r="K53" s="3321" t="s">
        <v>913</v>
      </c>
      <c r="L53" s="3321"/>
      <c r="M53" s="2358">
        <f t="shared" ref="M53:O54" ca="1" si="0">D55</f>
        <v>0</v>
      </c>
      <c r="N53" s="580" t="str">
        <f t="shared" si="0"/>
        <v>销售额×税（费）率</v>
      </c>
      <c r="O53" s="2359" t="str">
        <f t="shared" si="0"/>
        <v>免征</v>
      </c>
    </row>
    <row r="54" spans="1:35" ht="12" customHeight="1">
      <c r="A54" s="2327" t="s">
        <v>914</v>
      </c>
      <c r="B54" s="3300" t="s">
        <v>915</v>
      </c>
      <c r="C54" s="3317"/>
      <c r="D54" s="1897">
        <f ca="1">C68</f>
        <v>16</v>
      </c>
      <c r="E54" s="1911" t="s">
        <v>916</v>
      </c>
      <c r="F54" s="2328">
        <f>'数据-取费表'!B41</f>
        <v>5.5000000000000007E-2</v>
      </c>
      <c r="G54" s="2329"/>
      <c r="H54" s="2330"/>
      <c r="I54" s="2357"/>
      <c r="J54" s="580">
        <v>3</v>
      </c>
      <c r="K54" s="3321" t="s">
        <v>917</v>
      </c>
      <c r="L54" s="3321"/>
      <c r="M54" s="2358">
        <f t="shared" ca="1" si="0"/>
        <v>177</v>
      </c>
      <c r="N54" s="580" t="str">
        <f t="shared" si="0"/>
        <v>增值额×税（费）率</v>
      </c>
      <c r="O54" s="2360" t="str">
        <f t="shared" si="0"/>
        <v>免征</v>
      </c>
    </row>
    <row r="55" spans="1:35" ht="24" customHeight="1">
      <c r="A55" s="3326" t="s">
        <v>918</v>
      </c>
      <c r="B55" s="3327"/>
      <c r="C55" s="3327"/>
      <c r="D55" s="1998">
        <f ca="1">IF(H55="个人住宅",0,ROUND(D45*I55,0))</f>
        <v>0</v>
      </c>
      <c r="E55" s="1901" t="s">
        <v>919</v>
      </c>
      <c r="F55" s="2328" t="str">
        <f>IF(H55="正常",I55,"免征")</f>
        <v>免征</v>
      </c>
      <c r="G55" s="2329"/>
      <c r="H55" s="2319"/>
      <c r="I55" s="2361">
        <f>'数据-取费表'!B49</f>
        <v>5.0000000000000001E-4</v>
      </c>
      <c r="J55" s="580">
        <f>IF(H59="非个人房产","",4)</f>
        <v>4</v>
      </c>
      <c r="K55" s="3321" t="str">
        <f>IF(H59="非个人房产","——","个人所得税")</f>
        <v>个人所得税</v>
      </c>
      <c r="L55" s="3321"/>
      <c r="M55" s="2362">
        <f ca="1">D59</f>
        <v>3</v>
      </c>
      <c r="N55" s="561" t="str">
        <f>E59</f>
        <v>差额计税</v>
      </c>
      <c r="O55" s="2363">
        <f>F59</f>
        <v>0.01</v>
      </c>
    </row>
    <row r="56" spans="1:35" ht="24.75">
      <c r="A56" s="3326" t="s">
        <v>920</v>
      </c>
      <c r="B56" s="3327"/>
      <c r="C56" s="3327"/>
      <c r="D56" s="1998">
        <f ca="1">IF(H56="个人住宅",D57,D58)</f>
        <v>177</v>
      </c>
      <c r="E56" s="1901" t="s">
        <v>921</v>
      </c>
      <c r="F56" s="2328" t="str">
        <f>IF(H56="正常",F58,"免征")</f>
        <v>免征</v>
      </c>
      <c r="G56" s="2331" t="s">
        <v>922</v>
      </c>
      <c r="H56" s="2332"/>
      <c r="I56" s="2341"/>
      <c r="J56" s="580" t="str">
        <f>IF(项目基本情况!K6="上海银行",IF(J55="",4,J55+1),"")</f>
        <v/>
      </c>
      <c r="K56" s="3315" t="str">
        <f>IF(项目基本情况!K6="上海银行","其他处置费用","")</f>
        <v/>
      </c>
      <c r="L56" s="3331"/>
      <c r="M56" s="2358" t="str">
        <f>IF(项目基本情况!K6="上海银行",M69,"")</f>
        <v/>
      </c>
      <c r="N56" s="3315" t="str">
        <f>IF(项目基本情况!K6="上海银行","包含处置中涉及的律师、诉讼、拍卖、评估等费用","")</f>
        <v/>
      </c>
      <c r="O56" s="3316"/>
    </row>
    <row r="57" spans="1:35" ht="12.75">
      <c r="A57" s="2327" t="s">
        <v>893</v>
      </c>
      <c r="B57" s="3300" t="s">
        <v>923</v>
      </c>
      <c r="C57" s="3317"/>
      <c r="D57" s="2320">
        <v>0</v>
      </c>
      <c r="E57" s="1907" t="s">
        <v>895</v>
      </c>
      <c r="F57" s="1848"/>
      <c r="G57" s="2329"/>
      <c r="H57" s="2333"/>
      <c r="I57" s="2341"/>
      <c r="J57" s="3321">
        <f>IF(AND(J55="",J56=""),4,IF(项目基本情况!K6="上海银行",结果表!J56+1,结果表!J55+1))</f>
        <v>5</v>
      </c>
      <c r="K57" s="3321" t="s">
        <v>924</v>
      </c>
      <c r="L57" s="2364" t="s">
        <v>925</v>
      </c>
      <c r="M57" s="2365"/>
      <c r="N57" s="2366">
        <f ca="1">SUMIF(M52:M56,"&lt;9e307")</f>
        <v>180</v>
      </c>
      <c r="O57" s="2367"/>
      <c r="P57" s="2368">
        <f ca="1">N57/M49</f>
        <v>0.57692307692307687</v>
      </c>
    </row>
    <row r="58" spans="1:35" ht="24.75">
      <c r="A58" s="2327" t="s">
        <v>907</v>
      </c>
      <c r="B58" s="3300" t="s">
        <v>926</v>
      </c>
      <c r="C58" s="3301"/>
      <c r="D58" s="1998">
        <f ca="1">IF(H58="转让取得",C81,C97)</f>
        <v>177</v>
      </c>
      <c r="E58" s="1901" t="s">
        <v>921</v>
      </c>
      <c r="F58" s="1848" t="s">
        <v>124</v>
      </c>
      <c r="G58" s="2329"/>
      <c r="H58" s="2332"/>
      <c r="I58" s="2341"/>
      <c r="J58" s="3321"/>
      <c r="K58" s="3321"/>
      <c r="L58" s="2364" t="s">
        <v>927</v>
      </c>
      <c r="M58" s="2369"/>
      <c r="N58" s="2370" t="str">
        <f ca="1">NUMBERSTRING(INT(N57*10000),2)&amp;"元整"</f>
        <v>壹佰捌拾万元整</v>
      </c>
      <c r="O58" s="2371"/>
    </row>
    <row r="59" spans="1:35" ht="24">
      <c r="A59" s="3318" t="s">
        <v>928</v>
      </c>
      <c r="B59" s="3319"/>
      <c r="C59" s="3319"/>
      <c r="D59" s="2334">
        <f ca="1">IF(H59="非个人房产","——",IF(H59="个人住宅（满五唯一有凭证）",0,IF(H59="个人其他（无凭证）",ROUND(D45/(1+'数据-取费表'!C42)*F59,0),ROUND(C67*F59,0))))</f>
        <v>3</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22">
        <f>J57+1</f>
        <v>6</v>
      </c>
      <c r="K59" s="3321" t="s">
        <v>930</v>
      </c>
      <c r="L59" s="580" t="s">
        <v>925</v>
      </c>
      <c r="M59" s="2373"/>
      <c r="N59" s="2374">
        <f ca="1">M49-N57</f>
        <v>132</v>
      </c>
      <c r="O59" s="2375"/>
    </row>
    <row r="60" spans="1:35" ht="12" customHeight="1">
      <c r="A60" s="2339"/>
      <c r="B60" s="1991"/>
      <c r="C60" s="1991"/>
      <c r="D60" s="1991"/>
      <c r="E60" s="2340"/>
      <c r="F60" s="2341"/>
      <c r="G60" s="2341"/>
      <c r="H60" s="940"/>
      <c r="I60" s="939"/>
      <c r="J60" s="3323"/>
      <c r="K60" s="3321"/>
      <c r="L60" s="2364" t="s">
        <v>927</v>
      </c>
      <c r="M60" s="2369"/>
      <c r="N60" s="2370" t="str">
        <f ca="1">NUMBERSTRING(INT(N59*10000),2)&amp;"元整"</f>
        <v>壹佰叁拾贰万元整</v>
      </c>
      <c r="O60" s="2371"/>
    </row>
    <row r="61" spans="1:35" ht="12.75">
      <c r="A61" s="3320" t="s">
        <v>931</v>
      </c>
      <c r="B61" s="3320"/>
      <c r="C61" s="3320"/>
      <c r="D61" s="3320"/>
      <c r="E61" s="3320"/>
      <c r="F61" s="2341"/>
      <c r="G61" s="2341"/>
      <c r="H61" s="940"/>
      <c r="I61" s="939"/>
      <c r="J61" s="580">
        <f>J59+1</f>
        <v>7</v>
      </c>
      <c r="K61" s="3321" t="s">
        <v>932</v>
      </c>
      <c r="L61" s="3321"/>
      <c r="M61" s="2376"/>
      <c r="N61" s="2377">
        <f ca="1">ROUND(N59*10000/'数据-汇总表'!E3,0)</f>
        <v>8332</v>
      </c>
      <c r="O61" s="2378"/>
    </row>
    <row r="62" spans="1:35" ht="12.75">
      <c r="A62" s="3298" t="s">
        <v>933</v>
      </c>
      <c r="B62" s="3299"/>
      <c r="C62" s="532"/>
      <c r="D62" s="532" t="s">
        <v>934</v>
      </c>
      <c r="E62" s="2342" t="s">
        <v>888</v>
      </c>
      <c r="F62" s="2341"/>
      <c r="G62" s="2341"/>
      <c r="H62" s="940"/>
      <c r="I62" s="939"/>
    </row>
    <row r="63" spans="1:35" ht="12.75">
      <c r="A63" s="2343" t="s">
        <v>935</v>
      </c>
      <c r="B63" s="590" t="s">
        <v>936</v>
      </c>
      <c r="C63" s="2344">
        <f ca="1">ROUND((C64+C65)/(1+'数据-取费表'!C42),0)</f>
        <v>297</v>
      </c>
      <c r="D63" s="590"/>
      <c r="E63" s="2345"/>
      <c r="F63" s="2341"/>
      <c r="G63" s="2341"/>
      <c r="H63" s="940"/>
      <c r="I63" s="939"/>
      <c r="J63" s="3324" t="s">
        <v>937</v>
      </c>
      <c r="K63" s="2379" t="s">
        <v>938</v>
      </c>
      <c r="L63" s="2379">
        <f ca="1">IF(M49&gt;10000,M49*0.5%,IF(AND(M49&gt;1000,M49&lt;=10000),M49*1%,IF(AND(M49&gt;100,M49&lt;=1000),M49*3%,IF(AND(M49&gt;10,M49&lt;=100),M49*5%,M49*8%))))</f>
        <v>9.36</v>
      </c>
      <c r="M63" s="1848">
        <f ca="1">ROUND(L63,1)</f>
        <v>9.4</v>
      </c>
      <c r="N63" s="2380"/>
      <c r="Z63" s="2218"/>
      <c r="AI63" s="2217"/>
    </row>
    <row r="64" spans="1:35" ht="14.25" customHeight="1">
      <c r="A64" s="2346" t="s">
        <v>939</v>
      </c>
      <c r="B64" s="513" t="s">
        <v>940</v>
      </c>
      <c r="C64" s="2347">
        <f ca="1">D45</f>
        <v>312</v>
      </c>
      <c r="D64" s="513" t="s">
        <v>124</v>
      </c>
      <c r="E64" s="2348"/>
      <c r="F64" s="2341"/>
      <c r="G64" s="2341"/>
      <c r="H64" s="940"/>
      <c r="I64" s="939"/>
      <c r="J64" s="3324"/>
      <c r="K64" s="2379" t="s">
        <v>941</v>
      </c>
      <c r="L64" s="2379">
        <f ca="1">IF(M49&gt;2000,M49*0.5%,IF(AND(M49&gt;1000,M49&lt;=2000),M49*0.6%,IF(AND(M49&gt;500,M49&lt;=1000),M49*0.7%,IF(AND(M49&gt;200,M49&lt;=500),M49*0.8%,IF(AND(M49&gt;100,M49&lt;=200),M49*0.9%,IF(AND(M49&gt;50,M49&lt;=100),M49*1%,IF(AND(M49&gt;20,M49&lt;=50),M49*1.5%,IF(AND(M49&gt;10,M49&lt;=20),M49*2%,IF(AND(M49&gt;1,M49&lt;=10),M49*2.5%)))))))))</f>
        <v>2.496</v>
      </c>
      <c r="M64" s="1848">
        <f t="shared" ref="M64:M65" ca="1" si="1">ROUND(L64,1)</f>
        <v>2.5</v>
      </c>
      <c r="N64" s="2012" t="s">
        <v>942</v>
      </c>
      <c r="Z64" s="2218"/>
      <c r="AI64" s="2217"/>
    </row>
    <row r="65" spans="1:35" ht="14.25" customHeight="1">
      <c r="A65" s="2346" t="s">
        <v>943</v>
      </c>
      <c r="B65" s="513" t="s">
        <v>944</v>
      </c>
      <c r="C65" s="2382"/>
      <c r="D65" s="513"/>
      <c r="E65" s="2348"/>
      <c r="F65" s="2341"/>
      <c r="G65" s="2341"/>
      <c r="H65" s="940"/>
      <c r="I65" s="939"/>
      <c r="J65" s="3324"/>
      <c r="K65" s="2379" t="s">
        <v>945</v>
      </c>
      <c r="L65" s="2379">
        <f ca="1">IF(M49&gt;1000,M49*0.1%,IF(AND(M49&gt;500,M49&lt;=1000),M49*0.5%,IF(AND(M49&gt;50,M49&lt;=500),M49*1%,IF(AND(M49&gt;1,M49&lt;=50),M49*1.5%))))</f>
        <v>3.12</v>
      </c>
      <c r="M65" s="1848">
        <f t="shared" ca="1" si="1"/>
        <v>3.1</v>
      </c>
      <c r="N65" s="2012" t="s">
        <v>942</v>
      </c>
      <c r="Z65" s="2218"/>
      <c r="AI65" s="2217"/>
    </row>
    <row r="66" spans="1:35" ht="14.25" customHeight="1">
      <c r="A66" s="2343" t="s">
        <v>946</v>
      </c>
      <c r="B66" s="2383" t="s">
        <v>947</v>
      </c>
      <c r="C66" s="2384"/>
      <c r="D66" s="2383" t="s">
        <v>124</v>
      </c>
      <c r="E66" s="2385" t="s">
        <v>948</v>
      </c>
      <c r="F66" s="2341"/>
      <c r="G66" s="2341"/>
      <c r="H66" s="940"/>
      <c r="I66" s="939"/>
      <c r="J66" s="3324"/>
      <c r="K66" s="2379" t="s">
        <v>949</v>
      </c>
      <c r="L66" s="2379">
        <f ca="1">M49*0.5%</f>
        <v>1.56</v>
      </c>
      <c r="M66" s="1848">
        <f ca="1">IF(L66&gt;0.5,0.5,ROUND(L66,0))</f>
        <v>0.5</v>
      </c>
      <c r="N66" s="2012" t="s">
        <v>950</v>
      </c>
      <c r="Z66" s="2218"/>
      <c r="AI66" s="2217"/>
    </row>
    <row r="67" spans="1:35" ht="14.25" customHeight="1">
      <c r="A67" s="2343" t="s">
        <v>951</v>
      </c>
      <c r="B67" s="2383" t="s">
        <v>952</v>
      </c>
      <c r="C67" s="2386">
        <f ca="1">C63-C66</f>
        <v>297</v>
      </c>
      <c r="D67" s="513" t="s">
        <v>124</v>
      </c>
      <c r="E67" s="2348"/>
      <c r="F67" s="2341"/>
      <c r="G67" s="2341"/>
      <c r="H67" s="940"/>
      <c r="I67" s="939"/>
      <c r="J67" s="3324"/>
      <c r="K67" s="2379" t="s">
        <v>953</v>
      </c>
      <c r="L67" s="2379">
        <f ca="1">IF(M49&gt;=10000,(8.25+(M49-10000)*0.01%),IF(AND(M49&gt;=8000,M49&lt;10000),(7.85+(M49-8000)*0.02%),IF(AND(M49&gt;=5000,M49&lt;8000),(6.65+(M49-5000)*0.04%),IF(AND(M49&gt;=2000,M49&lt;5000),(4.25+(PM49-2000)*0.08%),IF(AND(M49&gt;=1000,M49&lt;2000),(2.75+(M49-1000)*0.15%),IF(AND(M49&gt;=100,M49&lt;1000),(0.5+(M49-100)*0.25%),IF(AND(M49&gt;0,M49&lt;100),M49*0.5%)))))))</f>
        <v>1.03</v>
      </c>
      <c r="M67" s="1848">
        <f ca="1">ROUND(L67*0.9,1)</f>
        <v>0.9</v>
      </c>
      <c r="N67" s="2380"/>
      <c r="Z67" s="2218"/>
      <c r="AI67" s="2217"/>
    </row>
    <row r="68" spans="1:35" ht="14.25" customHeight="1">
      <c r="A68" s="2387" t="s">
        <v>954</v>
      </c>
      <c r="B68" s="2388" t="s">
        <v>955</v>
      </c>
      <c r="C68" s="2389">
        <f ca="1">IF(C67&lt;=0,0,ROUND(C67*D68,0))</f>
        <v>16</v>
      </c>
      <c r="D68" s="775">
        <f>'数据-取费表'!B41</f>
        <v>5.5000000000000007E-2</v>
      </c>
      <c r="E68" s="2390"/>
      <c r="F68" s="2341"/>
      <c r="G68" s="2341"/>
      <c r="H68" s="940"/>
      <c r="I68" s="939"/>
      <c r="J68" s="3324"/>
      <c r="K68" s="2379" t="s">
        <v>956</v>
      </c>
      <c r="L68" s="2379">
        <f ca="1">IF(M49&gt;10000,M49*0.5%,IF(AND(M49&gt;5000,M49&lt;=10000),M49*1%,IF(AND(M49&gt;1000,M49&lt;=5000),M49*2%,IF(AND(M49&gt;200,M49&lt;=1000),M49*3%,M49*5%))))</f>
        <v>9.36</v>
      </c>
      <c r="M68" s="1848">
        <f ca="1">ROUND(L68,1)</f>
        <v>9.4</v>
      </c>
      <c r="N68" s="2380"/>
      <c r="Z68" s="2218"/>
      <c r="AI68" s="2217"/>
    </row>
    <row r="69" spans="1:35" ht="16.5" customHeight="1">
      <c r="A69" s="2391"/>
      <c r="B69" s="2392"/>
      <c r="C69" s="2393"/>
      <c r="D69" s="697"/>
      <c r="E69" s="2394"/>
      <c r="F69" s="2340"/>
      <c r="G69" s="2340"/>
      <c r="H69" s="2301"/>
      <c r="I69" s="1991"/>
      <c r="J69" s="3324"/>
      <c r="K69" s="2379" t="s">
        <v>957</v>
      </c>
      <c r="L69" s="2379"/>
      <c r="M69" s="1848">
        <f ca="1">ROUND(SUM(M63:M68),0)</f>
        <v>26</v>
      </c>
      <c r="N69" s="2454">
        <f ca="1">M69/M49</f>
        <v>8.3333333333333329E-2</v>
      </c>
      <c r="Z69" s="2218"/>
      <c r="AI69" s="2217"/>
    </row>
    <row r="70" spans="1:35" s="880" customFormat="1" ht="14.25">
      <c r="A70" s="3296" t="s">
        <v>958</v>
      </c>
      <c r="B70" s="3297"/>
      <c r="C70" s="3297"/>
      <c r="D70" s="3297"/>
      <c r="E70" s="3297"/>
      <c r="F70" s="3297"/>
      <c r="G70" s="3297"/>
      <c r="H70" s="3297"/>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8" t="s">
        <v>933</v>
      </c>
      <c r="B71" s="3299"/>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297</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300" t="s">
        <v>968</v>
      </c>
      <c r="F76" s="3301"/>
      <c r="G76" s="3301"/>
      <c r="H76" s="3302"/>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5.000000000000001E-3</v>
      </c>
      <c r="E78" s="3278" t="s">
        <v>973</v>
      </c>
      <c r="F78" s="3279"/>
      <c r="G78" s="3279"/>
      <c r="H78" s="3280"/>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296</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296</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177</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6" t="s">
        <v>978</v>
      </c>
      <c r="B83" s="3297"/>
      <c r="C83" s="3297"/>
      <c r="D83" s="3297"/>
      <c r="E83" s="3297"/>
      <c r="F83" s="3297"/>
      <c r="G83" s="3297"/>
      <c r="H83" s="3297"/>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8" t="s">
        <v>933</v>
      </c>
      <c r="B84" s="3299"/>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297</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10" t="s">
        <v>986</v>
      </c>
      <c r="H90" s="3311"/>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8" t="s">
        <v>990</v>
      </c>
      <c r="F91" s="3279"/>
      <c r="G91" s="3279"/>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8" t="s">
        <v>993</v>
      </c>
      <c r="F92" s="3279"/>
      <c r="G92" s="3279"/>
      <c r="H92" s="3280"/>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5.000000000000001E-3</v>
      </c>
      <c r="E93" s="3278" t="s">
        <v>973</v>
      </c>
      <c r="F93" s="3279"/>
      <c r="G93" s="3279"/>
      <c r="H93" s="3280"/>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81" t="s">
        <v>998</v>
      </c>
      <c r="F94" s="3282"/>
      <c r="G94" s="3282"/>
      <c r="H94" s="3283"/>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296</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296</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177</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6" t="s">
        <v>1000</v>
      </c>
      <c r="B100" s="3257"/>
      <c r="C100" s="3257"/>
      <c r="D100" s="3284"/>
      <c r="E100" s="3257" t="s">
        <v>1001</v>
      </c>
      <c r="F100" s="3257"/>
      <c r="G100" s="3257"/>
      <c r="H100" s="3284"/>
      <c r="I100" s="939"/>
    </row>
    <row r="101" spans="1:35" ht="18.75" customHeight="1">
      <c r="A101" s="3285" t="s">
        <v>1002</v>
      </c>
      <c r="B101" s="3286"/>
      <c r="C101" s="2431" t="str">
        <f>C4</f>
        <v>比较法-办公</v>
      </c>
      <c r="D101" s="2432" t="str">
        <f>D4</f>
        <v>收益法 (元)</v>
      </c>
      <c r="E101" s="3309" t="s">
        <v>1003</v>
      </c>
      <c r="F101" s="3304"/>
      <c r="G101" s="2434" t="s">
        <v>1004</v>
      </c>
      <c r="H101" s="2435">
        <f ca="1">H118</f>
        <v>312</v>
      </c>
      <c r="I101" s="939"/>
    </row>
    <row r="102" spans="1:35" ht="18.75" customHeight="1">
      <c r="A102" s="3269" t="s">
        <v>1005</v>
      </c>
      <c r="B102" s="2436" t="s">
        <v>1004</v>
      </c>
      <c r="C102" s="2431">
        <f ca="1">IF(D32="楼面单价",ROUND(C19,0),C19)</f>
        <v>329</v>
      </c>
      <c r="D102" s="2432">
        <f ca="1">IF(D32="楼面单价",ROUND(D19,0),D19)</f>
        <v>294</v>
      </c>
      <c r="E102" s="3309"/>
      <c r="F102" s="3304"/>
      <c r="G102" s="2434" t="s">
        <v>99</v>
      </c>
      <c r="H102" s="2329">
        <f ca="1">I118</f>
        <v>19667</v>
      </c>
      <c r="I102" s="939"/>
    </row>
    <row r="103" spans="1:35" ht="42.75" customHeight="1">
      <c r="A103" s="3269"/>
      <c r="B103" s="2436" t="s">
        <v>99</v>
      </c>
      <c r="C103" s="2437">
        <f ca="1">C20</f>
        <v>20777</v>
      </c>
      <c r="D103" s="2438">
        <f ca="1">D20</f>
        <v>18557</v>
      </c>
      <c r="E103" s="3287" t="s">
        <v>1006</v>
      </c>
      <c r="F103" s="3288"/>
      <c r="G103" s="2439" t="s">
        <v>102</v>
      </c>
      <c r="H103" s="2435">
        <f>IF(D36="正常操作",H104+H105+H106,H105+H106)</f>
        <v>0</v>
      </c>
      <c r="I103" s="939"/>
    </row>
    <row r="104" spans="1:35" ht="18.75" customHeight="1">
      <c r="A104" s="3269" t="s">
        <v>1007</v>
      </c>
      <c r="B104" s="2440" t="s">
        <v>1004</v>
      </c>
      <c r="C104" s="2441">
        <f ca="1">H118</f>
        <v>312</v>
      </c>
      <c r="D104" s="2442"/>
      <c r="E104" s="2286" t="s">
        <v>1008</v>
      </c>
      <c r="F104" s="2443"/>
      <c r="G104" s="2439" t="s">
        <v>102</v>
      </c>
      <c r="H104" s="2444">
        <f>IF(D36="同一抵押权人同一抵押物续贷",C36&amp;"（续贷，未扣减，详见特别提示）",C36)</f>
        <v>0</v>
      </c>
      <c r="I104" s="939"/>
    </row>
    <row r="105" spans="1:35" ht="18.75" customHeight="1">
      <c r="A105" s="3270"/>
      <c r="B105" s="2445" t="s">
        <v>99</v>
      </c>
      <c r="C105" s="2446">
        <f ca="1">I118</f>
        <v>19667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3115842.81</v>
      </c>
      <c r="E107" s="3303" t="str">
        <f>IF(项目基本情况!E8="已注销","——","3.房地产抵押价值")</f>
        <v>3.房地产抵押价值</v>
      </c>
      <c r="F107" s="3304"/>
      <c r="G107" s="2434" t="s">
        <v>1004</v>
      </c>
      <c r="H107" s="2435">
        <f ca="1">IF(E107="——","——",H101-H103)</f>
        <v>312</v>
      </c>
      <c r="I107" s="939"/>
    </row>
    <row r="108" spans="1:35" ht="18.75" customHeight="1">
      <c r="A108" s="939"/>
      <c r="B108" s="939"/>
      <c r="C108" s="939"/>
      <c r="D108" s="939"/>
      <c r="E108" s="3303"/>
      <c r="F108" s="3304"/>
      <c r="G108" s="2434" t="s">
        <v>99</v>
      </c>
      <c r="H108" s="2329">
        <f ca="1">IF(H107=H101,H102,ROUND(H107*10000/'数据-汇总表'!E3,0))</f>
        <v>19667</v>
      </c>
      <c r="I108" s="939"/>
    </row>
    <row r="109" spans="1:35" ht="18.75" customHeight="1">
      <c r="A109" s="939"/>
      <c r="B109" s="939"/>
      <c r="C109" s="939"/>
      <c r="D109" s="939"/>
      <c r="E109" s="3303" t="str">
        <f>IF(项目基本情况!E8="已注销及未注销","4.抵押担保权已注销时的房地产抵押价值",IF(项目基本情况!E8="已注销","3.抵押担保权已注销时的房地产抵押价值","——"))</f>
        <v>——</v>
      </c>
      <c r="F109" s="3304"/>
      <c r="G109" s="2434" t="s">
        <v>1004</v>
      </c>
      <c r="H109" s="2450" t="str">
        <f>IF(E109="——","——",H101-H105-H106)</f>
        <v>——</v>
      </c>
      <c r="I109" s="939"/>
    </row>
    <row r="110" spans="1:35" ht="18.75" customHeight="1">
      <c r="A110" s="939"/>
      <c r="B110" s="939"/>
      <c r="C110" s="939"/>
      <c r="D110" s="939"/>
      <c r="E110" s="3303"/>
      <c r="F110" s="3304"/>
      <c r="G110" s="2434" t="s">
        <v>99</v>
      </c>
      <c r="H110" s="2329" t="str">
        <f>IF(H109="——","——",ROUND(H109*10000/'数据-汇总表'!E3,0))</f>
        <v>——</v>
      </c>
      <c r="I110" s="939"/>
    </row>
    <row r="111" spans="1:35" ht="18.75" customHeight="1">
      <c r="A111" s="939"/>
      <c r="B111" s="939"/>
      <c r="C111" s="939"/>
      <c r="D111" s="939"/>
      <c r="E111" s="3305" t="str">
        <f>IF(项目基本情况!E9="抵押净值",IF(OR(项目基本情况!E8="已注销",项目基本情况!E8="房地产抵押价值"),"4.抵押净值","5.抵押净值"),"——")</f>
        <v>——</v>
      </c>
      <c r="F111" s="3306"/>
      <c r="G111" s="2434" t="s">
        <v>1004</v>
      </c>
      <c r="H111" s="2435" t="str">
        <f>IF(E111="——","——",N59)</f>
        <v>——</v>
      </c>
      <c r="I111" s="939"/>
    </row>
    <row r="112" spans="1:35" ht="18.75" customHeight="1">
      <c r="A112" s="939"/>
      <c r="B112" s="939"/>
      <c r="C112" s="939"/>
      <c r="D112" s="939"/>
      <c r="E112" s="3307"/>
      <c r="F112" s="3308"/>
      <c r="G112" s="2451" t="s">
        <v>99</v>
      </c>
      <c r="H112" s="2452" t="str">
        <f>IF(E111="——","——",N61)</f>
        <v>——</v>
      </c>
      <c r="I112" s="939"/>
    </row>
    <row r="113" spans="1:27" ht="18.75" customHeight="1">
      <c r="A113" s="939"/>
      <c r="B113" s="939"/>
      <c r="C113" s="939"/>
      <c r="D113" s="939"/>
      <c r="E113" s="3289" t="s">
        <v>1010</v>
      </c>
      <c r="F113" s="3289"/>
      <c r="G113" s="3289"/>
      <c r="H113" s="3289"/>
      <c r="I113" s="939"/>
    </row>
    <row r="114" spans="1:27" ht="3.75" customHeight="1">
      <c r="A114" s="1991"/>
      <c r="B114" s="1991"/>
      <c r="C114" s="1991"/>
      <c r="D114" s="1991"/>
      <c r="E114" s="2339"/>
      <c r="F114" s="2339"/>
      <c r="G114" s="2339"/>
      <c r="H114" s="2339"/>
      <c r="I114" s="1991"/>
    </row>
    <row r="115" spans="1:27" ht="18.75" customHeight="1">
      <c r="A115" s="3290" t="s">
        <v>1012</v>
      </c>
      <c r="B115" s="3291"/>
      <c r="C115" s="3291"/>
      <c r="D115" s="3291"/>
      <c r="E115" s="3291"/>
      <c r="F115" s="3291"/>
      <c r="G115" s="3291"/>
      <c r="H115" s="3291"/>
      <c r="I115" s="3292"/>
    </row>
    <row r="116" spans="1:27" ht="27" customHeight="1">
      <c r="A116" s="3263" t="s">
        <v>1013</v>
      </c>
      <c r="B116" s="3272" t="s">
        <v>1014</v>
      </c>
      <c r="C116" s="3272" t="s">
        <v>1015</v>
      </c>
      <c r="D116" s="3293" t="s">
        <v>1016</v>
      </c>
      <c r="E116" s="3294"/>
      <c r="F116" s="3295" t="s">
        <v>1017</v>
      </c>
      <c r="G116" s="3295"/>
      <c r="H116" s="3263" t="s">
        <v>1018</v>
      </c>
      <c r="I116" s="3263"/>
    </row>
    <row r="117" spans="1:27" ht="18.75" customHeight="1">
      <c r="A117" s="3263"/>
      <c r="B117" s="3273"/>
      <c r="C117" s="3273"/>
      <c r="D117" s="872" t="s">
        <v>1019</v>
      </c>
      <c r="E117" s="872" t="s">
        <v>848</v>
      </c>
      <c r="F117" s="872" t="s">
        <v>1019</v>
      </c>
      <c r="G117" s="872" t="s">
        <v>848</v>
      </c>
      <c r="H117" s="872" t="s">
        <v>1019</v>
      </c>
      <c r="I117" s="872" t="s">
        <v>848</v>
      </c>
    </row>
    <row r="118" spans="1:27" ht="24.75" customHeight="1">
      <c r="A118" s="2453" t="str">
        <f>项目基本情况!S2</f>
        <v>北京市房地产</v>
      </c>
      <c r="B118" s="872">
        <f>M18</f>
        <v>158.43</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312</v>
      </c>
      <c r="I118" s="872">
        <f ca="1">ROUND(IF(D32="楼面单价",C32,H118*10000/B118),0)</f>
        <v>19667</v>
      </c>
    </row>
    <row r="119" spans="1:27" ht="18.75" customHeight="1">
      <c r="A119" s="3263" t="s">
        <v>1020</v>
      </c>
      <c r="B119" s="3263"/>
      <c r="C119" s="3263"/>
      <c r="D119" s="3275" t="e">
        <f ca="1">NUMBERSTRING(INT(D118*10000),2)&amp;"元整"</f>
        <v>#REF!</v>
      </c>
      <c r="E119" s="3277"/>
      <c r="F119" s="3275" t="e">
        <f ca="1">NUMBERSTRING(INT(F118*10000),2)&amp;"元整"</f>
        <v>#REF!</v>
      </c>
      <c r="G119" s="3277"/>
      <c r="H119" s="3275" t="str">
        <f ca="1">NUMBERSTRING(INT(H118*10000),2)&amp;"元整"</f>
        <v>叁佰壹拾贰万元整</v>
      </c>
      <c r="I119" s="3277"/>
    </row>
    <row r="120" spans="1:27" ht="18.75" customHeight="1">
      <c r="A120" s="3312" t="str">
        <f>IF(项目基本情况!B9="房地产市场价值","",MID(E103,3,LEN(E103)-2))</f>
        <v>估价师知悉的法定优先受偿款</v>
      </c>
      <c r="B120" s="3313"/>
      <c r="C120" s="3314"/>
      <c r="D120" s="3312">
        <f>H103</f>
        <v>0</v>
      </c>
      <c r="E120" s="3313"/>
      <c r="F120" s="3313"/>
      <c r="G120" s="3313"/>
      <c r="H120" s="3313"/>
      <c r="I120" s="3314"/>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75" t="s">
        <v>1020</v>
      </c>
      <c r="B121" s="3276"/>
      <c r="C121" s="3277"/>
      <c r="D121" s="3275" t="str">
        <f>IF(D120=0,"零元整",NUMBERSTRING(INT(D120*10000),2)&amp;"元整")</f>
        <v>零元整</v>
      </c>
      <c r="E121" s="3276"/>
      <c r="F121" s="3276"/>
      <c r="G121" s="3276"/>
      <c r="H121" s="3276"/>
      <c r="I121" s="3277"/>
      <c r="AA121" s="898"/>
    </row>
    <row r="122" spans="1:27" ht="18.75" customHeight="1">
      <c r="A122" s="3306" t="str">
        <f>IF(项目基本情况!B9="房地产市场价值","",MID(E107,3,LEN(E107)-2))</f>
        <v>房地产抵押价值</v>
      </c>
      <c r="B122" s="3306"/>
      <c r="C122" s="3306"/>
      <c r="D122" s="3312">
        <f ca="1">H107</f>
        <v>312</v>
      </c>
      <c r="E122" s="3313"/>
      <c r="F122" s="3313"/>
      <c r="G122" s="3313"/>
      <c r="H122" s="3313"/>
      <c r="I122" s="3314"/>
      <c r="AA122" s="898"/>
    </row>
    <row r="123" spans="1:27" ht="18.75" customHeight="1">
      <c r="A123" s="3263" t="s">
        <v>1020</v>
      </c>
      <c r="B123" s="3263"/>
      <c r="C123" s="3263"/>
      <c r="D123" s="3275" t="str">
        <f ca="1">NUMBERSTRING(INT(D122*10000),2)&amp;"元整"</f>
        <v>叁佰壹拾贰万元整</v>
      </c>
      <c r="E123" s="3276"/>
      <c r="F123" s="3276"/>
      <c r="G123" s="3276"/>
      <c r="H123" s="3276"/>
      <c r="I123" s="3277"/>
      <c r="AA123" s="898"/>
    </row>
    <row r="124" spans="1:27" ht="18.75" customHeight="1">
      <c r="A124" s="3306" t="str">
        <f>IF(项目基本情况!B9="房地产市场价值","",MID(E109,3,LEN(E109)-2))</f>
        <v/>
      </c>
      <c r="B124" s="3306"/>
      <c r="C124" s="3306"/>
      <c r="D124" s="3312" t="str">
        <f>H109</f>
        <v>——</v>
      </c>
      <c r="E124" s="3313"/>
      <c r="F124" s="3313"/>
      <c r="G124" s="3313"/>
      <c r="H124" s="3313"/>
      <c r="I124" s="3314"/>
      <c r="AA124" s="898"/>
    </row>
    <row r="125" spans="1:27" ht="18.75" customHeight="1">
      <c r="A125" s="3263" t="s">
        <v>1020</v>
      </c>
      <c r="B125" s="3263"/>
      <c r="C125" s="3263"/>
      <c r="D125" s="3275" t="e">
        <f>NUMBERSTRING(INT(D124*10000),2)&amp;"元整"</f>
        <v>#VALUE!</v>
      </c>
      <c r="E125" s="3276"/>
      <c r="F125" s="3276"/>
      <c r="G125" s="3276"/>
      <c r="H125" s="3276"/>
      <c r="I125" s="3277"/>
      <c r="AA125" s="898"/>
    </row>
    <row r="126" spans="1:27" ht="18.75" customHeight="1">
      <c r="A126" s="3306" t="str">
        <f>IF(项目基本情况!B9="房地产市场价值","",MID(E111,3,LEN(E111)-2))</f>
        <v/>
      </c>
      <c r="B126" s="3306"/>
      <c r="C126" s="3306"/>
      <c r="D126" s="3312" t="str">
        <f>H111</f>
        <v>——</v>
      </c>
      <c r="E126" s="3313"/>
      <c r="F126" s="3313"/>
      <c r="G126" s="3313"/>
      <c r="H126" s="3313"/>
      <c r="I126" s="3314"/>
      <c r="AA126" s="898"/>
    </row>
    <row r="127" spans="1:27" ht="18.75" customHeight="1">
      <c r="A127" s="3263" t="s">
        <v>1020</v>
      </c>
      <c r="B127" s="3263"/>
      <c r="C127" s="3263"/>
      <c r="D127" s="3275" t="e">
        <f>NUMBERSTRING(INT(D126*10000),2)&amp;"元整"</f>
        <v>#VALUE!</v>
      </c>
      <c r="E127" s="3276"/>
      <c r="F127" s="3276"/>
      <c r="G127" s="3276"/>
      <c r="H127" s="3276"/>
      <c r="I127" s="3277"/>
      <c r="AA127" s="898"/>
    </row>
    <row r="128" spans="1:27" ht="21.75" customHeight="1">
      <c r="A128" s="3262" t="s">
        <v>113</v>
      </c>
      <c r="B128" s="3262"/>
      <c r="C128" s="3262"/>
      <c r="D128" s="3262"/>
      <c r="E128" s="3262"/>
      <c r="F128" s="3262"/>
      <c r="G128" s="3262"/>
      <c r="H128" s="3262"/>
      <c r="I128" s="3262"/>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42925</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2709398</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31686</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31686</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158.43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158.43</v>
      </c>
      <c r="E19" s="353">
        <f>'数据-取费表'!B31</f>
        <v>200</v>
      </c>
      <c r="F19" s="375"/>
      <c r="G19" s="2212"/>
    </row>
    <row r="20" spans="1:7" s="333" customFormat="1" ht="13.5" customHeight="1">
      <c r="A20" s="351" t="s">
        <v>1067</v>
      </c>
      <c r="B20" s="352" t="s">
        <v>1068</v>
      </c>
      <c r="C20" s="376">
        <f ca="1">ROUND((C5+C19)*F20,0)</f>
        <v>951</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2045</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2015</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30</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4896</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4896</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f ca="1">ROUND((C5+C19+C20+C22+C27)/(1-C21-D22-D27-C30),0)</f>
        <v>42837</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79</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71</v>
      </c>
      <c r="D34" s="359"/>
      <c r="E34" s="362"/>
      <c r="F34" s="405">
        <f ca="1">IF('数据-取费表'!B24=0,1,IF(B1="",'数据-取费表'!N16,INDIRECT("'数据-取费表'!n"&amp;$G$1)))</f>
        <v>1</v>
      </c>
      <c r="G34" s="361" t="s">
        <v>1097</v>
      </c>
    </row>
    <row r="35" spans="1:7" ht="13.5" customHeight="1">
      <c r="A35" s="384" t="s">
        <v>1040</v>
      </c>
      <c r="B35" s="357" t="s">
        <v>1098</v>
      </c>
      <c r="C35" s="362">
        <f ca="1">ROUND(C34*F35,0)</f>
        <v>4</v>
      </c>
      <c r="D35" s="362"/>
      <c r="E35" s="362"/>
      <c r="F35" s="406">
        <f>'数据-取费表'!B33</f>
        <v>0.06</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158.43</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6" t="s">
        <v>1108</v>
      </c>
    </row>
    <row r="43" spans="1:7" ht="13.5" customHeight="1">
      <c r="A43" s="384" t="s">
        <v>1040</v>
      </c>
      <c r="B43" s="357" t="s">
        <v>1078</v>
      </c>
      <c r="C43" s="386">
        <f ca="1">ROUND(IF('数据-取费表'!B22&lt;=1,C39*F22*'数据-取费表'!B21/2,C39*(POWER((1+F22),'数据-取费表'!B21/2)-1)),0)</f>
        <v>0</v>
      </c>
      <c r="D43" s="386"/>
      <c r="E43" s="386"/>
      <c r="F43" s="387"/>
      <c r="G43" s="3357"/>
    </row>
    <row r="44" spans="1:7" ht="13.5" customHeight="1">
      <c r="A44" s="384" t="s">
        <v>1042</v>
      </c>
      <c r="B44" s="357" t="s">
        <v>1080</v>
      </c>
      <c r="C44" s="386">
        <f ca="1">ROUND(IF('数据-取费表'!B22&lt;=1,C40*F22*'数据-取费表'!B21/2,C40*(POWER((1+F22),'数据-取费表'!B21/2)-1)),4)</f>
        <v>5.9999999999999995E-4</v>
      </c>
      <c r="D44" s="386"/>
      <c r="E44" s="386"/>
      <c r="F44" s="387"/>
      <c r="G44" s="3358"/>
    </row>
    <row r="45" spans="1:7" s="333" customFormat="1" ht="13.5" customHeight="1">
      <c r="A45" s="351" t="s">
        <v>1074</v>
      </c>
      <c r="B45" s="392" t="s">
        <v>1085</v>
      </c>
      <c r="C45" s="393">
        <f ca="1">C46</f>
        <v>12</v>
      </c>
      <c r="D45" s="379">
        <f ca="1">C47</f>
        <v>3.0000000000000001E-3</v>
      </c>
      <c r="E45" s="380" t="s">
        <v>1106</v>
      </c>
      <c r="F45" s="394">
        <f ca="1">F27</f>
        <v>0.15</v>
      </c>
      <c r="G45" s="395" t="s">
        <v>1109</v>
      </c>
    </row>
    <row r="46" spans="1:7" s="333" customFormat="1" ht="13.5" customHeight="1">
      <c r="A46" s="384" t="s">
        <v>1038</v>
      </c>
      <c r="B46" s="396" t="s">
        <v>1110</v>
      </c>
      <c r="C46" s="397">
        <f ca="1">ROUND((C33+C39)*F27,0)</f>
        <v>12</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5.2400000000000002E-2</v>
      </c>
      <c r="D48" s="380" t="s">
        <v>1106</v>
      </c>
      <c r="E48" s="376"/>
      <c r="F48" s="383">
        <f>F30</f>
        <v>5.5000000000000007E-2</v>
      </c>
      <c r="G48" s="381" t="s">
        <v>1112</v>
      </c>
    </row>
    <row r="49" spans="1:7" ht="16.5" customHeight="1">
      <c r="A49" s="351" t="s">
        <v>1089</v>
      </c>
      <c r="B49" s="352" t="s">
        <v>1113</v>
      </c>
      <c r="C49" s="376">
        <f ca="1">ROUND((C33+C39+C41+C45)/(1-C40-D41-D45-C48),0)</f>
        <v>103</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88</v>
      </c>
      <c r="D51" s="376"/>
      <c r="E51" s="376"/>
      <c r="F51" s="411"/>
      <c r="G51" s="381" t="s">
        <v>1120</v>
      </c>
    </row>
    <row r="52" spans="1:7" s="332" customFormat="1" ht="15.75">
      <c r="A52" s="412" t="s">
        <v>1121</v>
      </c>
      <c r="B52" s="413"/>
      <c r="C52" s="414">
        <f ca="1">C31+C51</f>
        <v>42925</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4" t="str">
        <f>项目基本情况!B1</f>
        <v>北京市房地产抵押价值预评估</v>
      </c>
      <c r="C37" s="3174"/>
      <c r="D37" s="3174"/>
      <c r="E37" s="3174"/>
      <c r="F37" s="3174"/>
      <c r="G37" s="3174"/>
      <c r="H37" s="3174"/>
      <c r="I37" s="3174"/>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31686</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31686</v>
      </c>
      <c r="D10" s="369">
        <f ca="1">IF(B1="",'数据-汇总表'!E6,IF(INDIRECT("'数据-取费表'!c"&amp;$G$1)="住宅",INDIRECT("'数据-取费表'!s"&amp;$G$1),INDIRECT("'数据-取费表'!k"&amp;$G$1)+INDIRECT("'数据-取费表'!s"&amp;$G$1)))</f>
        <v>158.43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158.43</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5.2400000000000002E-2</v>
      </c>
      <c r="D30" s="380" t="s">
        <v>1072</v>
      </c>
      <c r="E30" s="389"/>
      <c r="F30" s="383">
        <f>'数据-取费表'!B41</f>
        <v>5.5000000000000007E-2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801656</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712935</v>
      </c>
      <c r="D34" s="359"/>
      <c r="E34" s="362"/>
      <c r="F34" s="405"/>
      <c r="G34" s="361"/>
    </row>
    <row r="35" spans="1:7" ht="13.5" customHeight="1">
      <c r="A35" s="384" t="s">
        <v>1040</v>
      </c>
      <c r="B35" s="357" t="s">
        <v>1098</v>
      </c>
      <c r="C35" s="362">
        <f ca="1">ROUND(C34*F35,0)</f>
        <v>42776</v>
      </c>
      <c r="D35" s="362"/>
      <c r="E35" s="362"/>
      <c r="F35" s="406">
        <f>'数据-取费表'!B33</f>
        <v>0.06</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31686</v>
      </c>
      <c r="D37" s="359">
        <f ca="1">D19</f>
        <v>158.43</v>
      </c>
      <c r="E37" s="397">
        <f>'数据-取费表'!B35</f>
        <v>200</v>
      </c>
      <c r="F37" s="406"/>
      <c r="G37" s="408"/>
    </row>
    <row r="38" spans="1:7" ht="13.5" customHeight="1">
      <c r="A38" s="384" t="s">
        <v>1104</v>
      </c>
      <c r="B38" s="357" t="s">
        <v>970</v>
      </c>
      <c r="C38" s="362">
        <f ca="1">ROUND(C34*F38,0)</f>
        <v>14259</v>
      </c>
      <c r="D38" s="362"/>
      <c r="E38" s="362"/>
      <c r="F38" s="406">
        <f>'数据-取费表'!B36</f>
        <v>0.02</v>
      </c>
      <c r="G38" s="361" t="s">
        <v>1099</v>
      </c>
    </row>
    <row r="39" spans="1:7" s="333" customFormat="1" ht="13.5" customHeight="1">
      <c r="A39" s="351" t="s">
        <v>1065</v>
      </c>
      <c r="B39" s="352" t="s">
        <v>1068</v>
      </c>
      <c r="C39" s="376">
        <f ca="1">ROUND(C33*F20,0)</f>
        <v>24050</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25845</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25092</v>
      </c>
      <c r="D42" s="386"/>
      <c r="E42" s="386"/>
      <c r="F42" s="387"/>
      <c r="G42" s="3356" t="s">
        <v>1128</v>
      </c>
    </row>
    <row r="43" spans="1:7" ht="13.5" customHeight="1">
      <c r="A43" s="384" t="s">
        <v>1040</v>
      </c>
      <c r="B43" s="357" t="s">
        <v>1078</v>
      </c>
      <c r="C43" s="386">
        <f ca="1">ROUND(IF('数据-取费表'!B22&lt;=1,C39*F22*'数据-取费表'!B20/2,C39*(POWER((1+F22),'数据-取费表'!B20/2)-1)),0)</f>
        <v>753</v>
      </c>
      <c r="D43" s="386"/>
      <c r="E43" s="386"/>
      <c r="F43" s="387"/>
      <c r="G43" s="3357"/>
    </row>
    <row r="44" spans="1:7" ht="13.5" customHeight="1">
      <c r="A44" s="384" t="s">
        <v>1042</v>
      </c>
      <c r="B44" s="357" t="s">
        <v>1080</v>
      </c>
      <c r="C44" s="386">
        <f ca="1">ROUND(IF('数据-取费表'!B22&lt;=1,C40*F22*'数据-取费表'!B20/2,C40*(POWER((1+F22),'数据-取费表'!B20/2)-1)),4)</f>
        <v>5.9999999999999995E-4</v>
      </c>
      <c r="D44" s="386"/>
      <c r="E44" s="386"/>
      <c r="F44" s="387"/>
      <c r="G44" s="3358"/>
    </row>
    <row r="45" spans="1:7" s="333" customFormat="1" ht="13.5" customHeight="1">
      <c r="A45" s="351" t="s">
        <v>1074</v>
      </c>
      <c r="B45" s="392" t="s">
        <v>1085</v>
      </c>
      <c r="C45" s="393">
        <f ca="1">C46</f>
        <v>123856</v>
      </c>
      <c r="D45" s="379">
        <f ca="1">C47</f>
        <v>3.0000000000000001E-3</v>
      </c>
      <c r="E45" s="380" t="s">
        <v>1106</v>
      </c>
      <c r="F45" s="394">
        <f ca="1">F27</f>
        <v>0.15</v>
      </c>
      <c r="G45" s="395" t="s">
        <v>1109</v>
      </c>
    </row>
    <row r="46" spans="1:7" s="333" customFormat="1" ht="13.5" customHeight="1">
      <c r="A46" s="384" t="s">
        <v>1038</v>
      </c>
      <c r="B46" s="396" t="s">
        <v>1110</v>
      </c>
      <c r="C46" s="397">
        <f ca="1">ROUND((C33+C39)*F27,0)</f>
        <v>123856</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5.2400000000000002E-2</v>
      </c>
      <c r="D48" s="380" t="s">
        <v>1106</v>
      </c>
      <c r="E48" s="376"/>
      <c r="F48" s="383">
        <f>F30</f>
        <v>5.5000000000000007E-2</v>
      </c>
      <c r="G48" s="381" t="s">
        <v>1112</v>
      </c>
    </row>
    <row r="49" spans="1:7" ht="16.5" customHeight="1">
      <c r="A49" s="351" t="s">
        <v>1089</v>
      </c>
      <c r="B49" s="352" t="s">
        <v>1129</v>
      </c>
      <c r="C49" s="376">
        <f ca="1">ROUND((C33+C39+C41+C45)/(1-C40-D41-D45-C48),0)</f>
        <v>1055635</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897290</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36470</v>
      </c>
      <c r="C2" s="2126" t="s">
        <v>1132</v>
      </c>
      <c r="D2" s="2126"/>
      <c r="E2" s="2124"/>
      <c r="F2" s="2124"/>
      <c r="G2" s="2124"/>
      <c r="H2" s="2124"/>
      <c r="I2" s="2124"/>
      <c r="J2" s="2124"/>
      <c r="K2" s="2124"/>
    </row>
    <row r="3" spans="1:33" ht="18" customHeight="1">
      <c r="A3" s="346" t="s">
        <v>1031</v>
      </c>
      <c r="B3" s="347">
        <f ca="1">ROUND(B2*10000/IF(C1="",'数据-汇总表'!E3,INDIRECT("'数据-取费表'!K"&amp;$K$1)),0)</f>
        <v>2301963</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0.06</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158.43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158.43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-31683</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158.43</v>
      </c>
      <c r="E20" s="950">
        <f>'数据-取费表'!B28</f>
        <v>200</v>
      </c>
      <c r="F20" s="2150"/>
      <c r="G20" s="1998"/>
      <c r="H20" s="2157"/>
      <c r="I20" s="2157"/>
      <c r="J20" s="2157"/>
      <c r="K20" s="2200"/>
    </row>
    <row r="21" spans="1:33" s="2115" customFormat="1" ht="13.5" customHeight="1">
      <c r="A21" s="2133" t="s">
        <v>939</v>
      </c>
      <c r="B21" s="2158" t="s">
        <v>1163</v>
      </c>
      <c r="C21" s="2159">
        <f ca="1">C16+C17+C18</f>
        <v>-31683</v>
      </c>
      <c r="D21" s="2160"/>
      <c r="E21" s="2161"/>
      <c r="F21" s="2161"/>
      <c r="G21" s="1888" t="s">
        <v>1164</v>
      </c>
      <c r="H21" s="1999"/>
      <c r="I21" s="1999"/>
      <c r="J21" s="1999"/>
      <c r="K21" s="2000"/>
    </row>
    <row r="22" spans="1:33" s="2115" customFormat="1" ht="13.5" customHeight="1">
      <c r="A22" s="2133" t="s">
        <v>943</v>
      </c>
      <c r="B22" s="2158" t="s">
        <v>1165</v>
      </c>
      <c r="C22" s="2159">
        <f ca="1">ROUND(C21*F22,0)</f>
        <v>-950</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-4895</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-4895</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5.5000000000000007E-2</v>
      </c>
      <c r="G31" s="2187" t="s">
        <v>1181</v>
      </c>
      <c r="H31" s="2188"/>
      <c r="I31" s="2188"/>
      <c r="J31" s="2188"/>
      <c r="K31" s="2202"/>
    </row>
    <row r="32" spans="1:33" s="2114" customFormat="1" ht="13.5" customHeight="1">
      <c r="A32" s="1236" t="s">
        <v>1182</v>
      </c>
      <c r="B32" s="2189"/>
      <c r="C32" s="2190">
        <f ca="1">ROUND((C4-C21-C22-C23-C25-C28-C31)/(1+C24+D25+D28),0)</f>
        <v>36470</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1" t="s">
        <v>1198</v>
      </c>
      <c r="C6" s="1846">
        <f ca="1">ROUND(F6*F8*F7*(1-F9)/10000,0)</f>
        <v>0</v>
      </c>
      <c r="D6" s="1847" t="s">
        <v>1199</v>
      </c>
      <c r="E6" s="1848" t="s">
        <v>1200</v>
      </c>
      <c r="F6" s="1849">
        <f ca="1">INDIRECT("'数据-取费表'!u"&amp;$G$1)</f>
        <v>0</v>
      </c>
      <c r="G6" s="718"/>
      <c r="H6" s="1845" t="s">
        <v>939</v>
      </c>
      <c r="I6" s="3361" t="s">
        <v>1198</v>
      </c>
      <c r="J6" s="1919">
        <f ca="1">ROUND(M6*M8*M7*(1-M9)/10000,0)</f>
        <v>0</v>
      </c>
      <c r="K6" s="1847" t="s">
        <v>1201</v>
      </c>
      <c r="L6" s="1848" t="s">
        <v>1200</v>
      </c>
      <c r="M6" s="1849">
        <f ca="1">INDIRECT("'数据-取费表'!z"&amp;$G$1)</f>
        <v>0</v>
      </c>
    </row>
    <row r="7" spans="1:37" ht="18" customHeight="1">
      <c r="A7" s="1850"/>
      <c r="B7" s="3362"/>
      <c r="C7" s="1851"/>
      <c r="D7" s="1852"/>
      <c r="E7" s="1853" t="s">
        <v>1202</v>
      </c>
      <c r="F7" s="1849">
        <f ca="1">IF(INDIRECT("'数据-取费表'!ah"&amp;$G$1)="",INDIRECT("'数据-取费表'!k"&amp;$G$1),INDIRECT("'数据-取费表'!ah"&amp;$G$1))</f>
        <v>0</v>
      </c>
      <c r="G7" s="718"/>
      <c r="H7" s="1854"/>
      <c r="I7" s="3362"/>
      <c r="J7" s="1855"/>
      <c r="K7" s="1852"/>
      <c r="L7" s="1848" t="s">
        <v>1202</v>
      </c>
      <c r="M7" s="1849">
        <f ca="1">F7</f>
        <v>0</v>
      </c>
    </row>
    <row r="8" spans="1:37" ht="18" customHeight="1">
      <c r="A8" s="1854"/>
      <c r="B8" s="3362"/>
      <c r="C8" s="1855"/>
      <c r="D8" s="1852"/>
      <c r="E8" s="1848" t="s">
        <v>1203</v>
      </c>
      <c r="F8" s="1849">
        <f ca="1">INDIRECT("'数据-取费表'!ai"&amp;$G$1)</f>
        <v>0</v>
      </c>
      <c r="G8" s="718"/>
      <c r="H8" s="1854"/>
      <c r="I8" s="3362"/>
      <c r="J8" s="1855"/>
      <c r="K8" s="1852"/>
      <c r="L8" s="1848" t="s">
        <v>1203</v>
      </c>
      <c r="M8" s="1849">
        <f ca="1">INDIRECT("'数据-取费表'!ai"&amp;$G$1)</f>
        <v>0</v>
      </c>
    </row>
    <row r="9" spans="1:37" ht="18" customHeight="1">
      <c r="A9" s="1854"/>
      <c r="B9" s="3363"/>
      <c r="C9" s="1855"/>
      <c r="D9" s="1852"/>
      <c r="E9" s="1848" t="s">
        <v>1204</v>
      </c>
      <c r="F9" s="1856">
        <f ca="1">INDIRECT("'数据-取费表'!w"&amp;$G$1)</f>
        <v>0</v>
      </c>
      <c r="G9" s="718"/>
      <c r="H9" s="1854"/>
      <c r="I9" s="3363"/>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9" t="s">
        <v>1322</v>
      </c>
      <c r="L53" s="3360"/>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5.5000000000000007E-2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 zoomScaleNormal="70" workbookViewId="0">
      <selection activeCell="I8" sqref="I8"/>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329.17</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20777</v>
      </c>
      <c r="C3" s="1376" t="s">
        <v>1377</v>
      </c>
      <c r="D3" s="1377">
        <f>IF(D1="",'数据-汇总表'!E3,SUMIF('数据-汇总表'!$C19:$C33,D1,'数据-汇总表'!$E19:$E33))</f>
        <v>158.43</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6" t="s">
        <v>1379</v>
      </c>
      <c r="D4" s="3407"/>
      <c r="E4" s="3408" t="s">
        <v>1380</v>
      </c>
      <c r="F4" s="3409"/>
      <c r="G4" s="3406" t="s">
        <v>1381</v>
      </c>
      <c r="H4" s="3407"/>
      <c r="I4" s="3406" t="s">
        <v>1382</v>
      </c>
      <c r="J4" s="3407"/>
      <c r="K4" s="1171" t="s">
        <v>1383</v>
      </c>
      <c r="L4" s="1172"/>
      <c r="M4" s="1122"/>
      <c r="N4" s="1122"/>
      <c r="O4" s="1122"/>
      <c r="P4" s="3370" t="s">
        <v>1384</v>
      </c>
      <c r="Q4" s="3371"/>
      <c r="R4" s="3376" t="s">
        <v>1380</v>
      </c>
      <c r="S4" s="3377"/>
      <c r="T4" s="3376" t="s">
        <v>1381</v>
      </c>
      <c r="U4" s="3377"/>
      <c r="V4" s="3382" t="s">
        <v>1382</v>
      </c>
      <c r="W4" s="3382"/>
      <c r="X4" s="2095"/>
      <c r="Y4" s="3376" t="s">
        <v>1384</v>
      </c>
      <c r="Z4" s="3377"/>
      <c r="AA4" s="3364" t="s">
        <v>1380</v>
      </c>
      <c r="AB4" s="3364" t="s">
        <v>1381</v>
      </c>
      <c r="AC4" s="3367" t="s">
        <v>1382</v>
      </c>
    </row>
    <row r="5" spans="1:29" ht="15">
      <c r="A5" s="1029"/>
      <c r="B5" s="1030"/>
      <c r="C5" s="3410" t="s">
        <v>2804</v>
      </c>
      <c r="D5" s="3411"/>
      <c r="E5" s="3410" t="s">
        <v>2804</v>
      </c>
      <c r="F5" s="3411"/>
      <c r="G5" s="3410" t="s">
        <v>2804</v>
      </c>
      <c r="H5" s="3411"/>
      <c r="I5" s="3410" t="s">
        <v>2804</v>
      </c>
      <c r="J5" s="3411"/>
      <c r="K5" s="1171"/>
      <c r="L5" s="1172"/>
      <c r="M5" s="1122"/>
      <c r="N5" s="1122"/>
      <c r="O5" s="1122"/>
      <c r="P5" s="3372"/>
      <c r="Q5" s="3373"/>
      <c r="R5" s="3378"/>
      <c r="S5" s="3379"/>
      <c r="T5" s="3378"/>
      <c r="U5" s="3379"/>
      <c r="V5" s="3383"/>
      <c r="W5" s="3383"/>
      <c r="X5" s="1214"/>
      <c r="Y5" s="3378"/>
      <c r="Z5" s="3379"/>
      <c r="AA5" s="3365"/>
      <c r="AB5" s="3365"/>
      <c r="AC5" s="3368"/>
    </row>
    <row r="6" spans="1:29" ht="15">
      <c r="A6" s="1031"/>
      <c r="B6" s="1032"/>
      <c r="C6" s="3401" t="s">
        <v>1389</v>
      </c>
      <c r="D6" s="3402"/>
      <c r="E6" s="3403" t="s">
        <v>1389</v>
      </c>
      <c r="F6" s="3404"/>
      <c r="G6" s="3401" t="s">
        <v>1389</v>
      </c>
      <c r="H6" s="3402"/>
      <c r="I6" s="3401" t="s">
        <v>1389</v>
      </c>
      <c r="J6" s="3402"/>
      <c r="K6" s="1171" t="s">
        <v>1390</v>
      </c>
      <c r="L6" s="1172"/>
      <c r="M6" s="1122"/>
      <c r="N6" s="1122"/>
      <c r="O6" s="1122"/>
      <c r="P6" s="3374"/>
      <c r="Q6" s="3375"/>
      <c r="R6" s="3378"/>
      <c r="S6" s="3379"/>
      <c r="T6" s="3380"/>
      <c r="U6" s="3381"/>
      <c r="V6" s="3383"/>
      <c r="W6" s="3383"/>
      <c r="X6" s="1214"/>
      <c r="Y6" s="3380"/>
      <c r="Z6" s="3381"/>
      <c r="AA6" s="3366"/>
      <c r="AB6" s="3366"/>
      <c r="AC6" s="3369"/>
    </row>
    <row r="7" spans="1:29" s="1008" customFormat="1" ht="15">
      <c r="A7" s="1033" t="s">
        <v>1391</v>
      </c>
      <c r="B7" s="1034"/>
      <c r="C7" s="1035">
        <f>'数据-取费表'!B2</f>
        <v>45975</v>
      </c>
      <c r="D7" s="1036">
        <v>100</v>
      </c>
      <c r="E7" s="1037">
        <v>45787</v>
      </c>
      <c r="F7" s="1038">
        <f>SUMIF(59:59,YEAR(E7)&amp;"-"&amp;MONTH(E7),60:60)</f>
        <v>100</v>
      </c>
      <c r="G7" s="1037">
        <v>45839</v>
      </c>
      <c r="H7" s="1036">
        <f>SUMIF(59:59,YEAR(G7)&amp;"-"&amp;MONTH(G7),60:60)</f>
        <v>100</v>
      </c>
      <c r="I7" s="1037">
        <v>45962</v>
      </c>
      <c r="J7" s="1036">
        <f>SUMIF(59:59,YEAR(I7)&amp;"-"&amp;MONTH(I7),60:60)</f>
        <v>100</v>
      </c>
      <c r="K7" s="1173"/>
      <c r="L7" s="1174"/>
      <c r="M7" s="1175"/>
      <c r="N7" s="1175"/>
      <c r="O7" s="1175"/>
      <c r="P7" s="3391" t="s">
        <v>1392</v>
      </c>
      <c r="Q7" s="3405"/>
      <c r="R7" s="1215" t="s">
        <v>1393</v>
      </c>
      <c r="S7" s="1216">
        <f t="shared" ref="S7:S15" si="0">F7</f>
        <v>100</v>
      </c>
      <c r="T7" s="1215" t="s">
        <v>1393</v>
      </c>
      <c r="U7" s="1216">
        <f t="shared" ref="U7:U15" si="1">H7</f>
        <v>100</v>
      </c>
      <c r="V7" s="1215" t="s">
        <v>1393</v>
      </c>
      <c r="W7" s="1216">
        <f t="shared" ref="W7:W15" si="2">J7</f>
        <v>100</v>
      </c>
      <c r="X7" s="1217"/>
      <c r="Y7" s="3389" t="s">
        <v>1392</v>
      </c>
      <c r="Z7" s="3390"/>
      <c r="AA7" s="1227">
        <f>D7/F7</f>
        <v>1</v>
      </c>
      <c r="AB7" s="1227">
        <f>D7/H7</f>
        <v>1</v>
      </c>
      <c r="AC7" s="2096">
        <f>D7/J7</f>
        <v>1</v>
      </c>
    </row>
    <row r="8" spans="1:29" s="1008" customFormat="1" ht="15">
      <c r="A8" s="1033" t="s">
        <v>1394</v>
      </c>
      <c r="B8" s="1034"/>
      <c r="C8" s="1040" t="s">
        <v>1395</v>
      </c>
      <c r="D8" s="1036">
        <v>100</v>
      </c>
      <c r="E8" s="1040" t="s">
        <v>1395</v>
      </c>
      <c r="F8" s="1038">
        <f>SUMIF(62:62,E8,63:63)-SUMIF(62:62,C8,63:63)+100</f>
        <v>100</v>
      </c>
      <c r="G8" s="1040" t="s">
        <v>1395</v>
      </c>
      <c r="H8" s="1036">
        <f>SUMIF(62:62,G8,63:63)-SUMIF(62:62,C8,63:63)+100</f>
        <v>100</v>
      </c>
      <c r="I8" s="1040" t="s">
        <v>1395</v>
      </c>
      <c r="J8" s="1036">
        <f>SUMIF(62:62,I8,63:63)-SUMIF(62:62,C8,63:63)+100</f>
        <v>100</v>
      </c>
      <c r="K8" s="1173"/>
      <c r="L8" s="1174"/>
      <c r="M8" s="1175"/>
      <c r="N8" s="1175"/>
      <c r="O8" s="1175"/>
      <c r="P8" s="3391" t="s">
        <v>1397</v>
      </c>
      <c r="Q8" s="3390"/>
      <c r="R8" s="1215" t="s">
        <v>1393</v>
      </c>
      <c r="S8" s="1216">
        <f t="shared" si="0"/>
        <v>100</v>
      </c>
      <c r="T8" s="1215" t="s">
        <v>1393</v>
      </c>
      <c r="U8" s="1216">
        <f t="shared" si="1"/>
        <v>100</v>
      </c>
      <c r="V8" s="1215" t="s">
        <v>1393</v>
      </c>
      <c r="W8" s="1216">
        <f t="shared" si="2"/>
        <v>100</v>
      </c>
      <c r="X8" s="1217"/>
      <c r="Y8" s="3389" t="s">
        <v>1397</v>
      </c>
      <c r="Z8" s="3390"/>
      <c r="AA8" s="1227">
        <f t="shared" ref="AA8:AA47" si="3">D8/F8</f>
        <v>1</v>
      </c>
      <c r="AB8" s="1227">
        <f t="shared" ref="AB8:AB47" si="4">D8/H8</f>
        <v>1</v>
      </c>
      <c r="AC8" s="2096">
        <f t="shared" ref="AC8:AC47" si="5">D8/J8</f>
        <v>1</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4" t="s">
        <v>1400</v>
      </c>
      <c r="Q9" s="794" t="str">
        <f t="shared" ref="Q9:Q15" si="6">B9</f>
        <v>用途</v>
      </c>
      <c r="R9" s="1215" t="s">
        <v>1393</v>
      </c>
      <c r="S9" s="1216">
        <f t="shared" si="0"/>
        <v>100</v>
      </c>
      <c r="T9" s="1215" t="s">
        <v>1393</v>
      </c>
      <c r="U9" s="1216">
        <f t="shared" si="1"/>
        <v>100</v>
      </c>
      <c r="V9" s="1215" t="s">
        <v>1393</v>
      </c>
      <c r="W9" s="1216">
        <f t="shared" si="2"/>
        <v>100</v>
      </c>
      <c r="X9" s="1217"/>
      <c r="Y9" s="3271"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271"/>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4"/>
      <c r="Q11" s="794" t="str">
        <f t="shared" si="6"/>
        <v>容积率</v>
      </c>
      <c r="R11" s="1215" t="s">
        <v>1393</v>
      </c>
      <c r="S11" s="1216">
        <f t="shared" si="0"/>
        <v>100</v>
      </c>
      <c r="T11" s="1215" t="s">
        <v>1393</v>
      </c>
      <c r="U11" s="1216">
        <f t="shared" si="1"/>
        <v>100</v>
      </c>
      <c r="V11" s="1215" t="s">
        <v>1393</v>
      </c>
      <c r="W11" s="1216">
        <f t="shared" si="2"/>
        <v>100</v>
      </c>
      <c r="X11" s="1217"/>
      <c r="Y11" s="3271"/>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271"/>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271"/>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4"/>
      <c r="Q14" s="794">
        <f t="shared" si="6"/>
        <v>111</v>
      </c>
      <c r="R14" s="1215" t="s">
        <v>1393</v>
      </c>
      <c r="S14" s="1216">
        <f t="shared" si="0"/>
        <v>100</v>
      </c>
      <c r="T14" s="1215" t="s">
        <v>1393</v>
      </c>
      <c r="U14" s="1216">
        <f t="shared" si="1"/>
        <v>100</v>
      </c>
      <c r="V14" s="1215" t="s">
        <v>1393</v>
      </c>
      <c r="W14" s="1216">
        <f t="shared" si="2"/>
        <v>100</v>
      </c>
      <c r="X14" s="1217"/>
      <c r="Y14" s="3271"/>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92" t="s">
        <v>1406</v>
      </c>
      <c r="Q15" s="625" t="str">
        <f t="shared" si="6"/>
        <v>办公集聚程度</v>
      </c>
      <c r="R15" s="1219" t="s">
        <v>1393</v>
      </c>
      <c r="S15" s="1220">
        <f t="shared" si="0"/>
        <v>100</v>
      </c>
      <c r="T15" s="1219" t="s">
        <v>1393</v>
      </c>
      <c r="U15" s="1220">
        <f t="shared" si="1"/>
        <v>100</v>
      </c>
      <c r="V15" s="1219" t="s">
        <v>1393</v>
      </c>
      <c r="W15" s="1220">
        <f t="shared" si="2"/>
        <v>100</v>
      </c>
      <c r="X15" s="1214"/>
      <c r="Y15" s="3397"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93"/>
      <c r="Q16" s="625"/>
      <c r="R16" s="1219"/>
      <c r="S16" s="1220"/>
      <c r="T16" s="1219"/>
      <c r="U16" s="1220"/>
      <c r="V16" s="1219"/>
      <c r="W16" s="1220"/>
      <c r="X16" s="1214"/>
      <c r="Y16" s="3398"/>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93"/>
      <c r="Q17" s="625" t="str">
        <f>B17</f>
        <v>交通便捷度</v>
      </c>
      <c r="R17" s="1219" t="s">
        <v>1393</v>
      </c>
      <c r="S17" s="1220">
        <f>F17</f>
        <v>100</v>
      </c>
      <c r="T17" s="1219" t="s">
        <v>1393</v>
      </c>
      <c r="U17" s="1220">
        <f>H17</f>
        <v>100</v>
      </c>
      <c r="V17" s="1219" t="s">
        <v>1393</v>
      </c>
      <c r="W17" s="1220">
        <f>J17</f>
        <v>100</v>
      </c>
      <c r="X17" s="1214"/>
      <c r="Y17" s="3398"/>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93"/>
      <c r="Q18" s="625"/>
      <c r="R18" s="1219"/>
      <c r="S18" s="1220"/>
      <c r="T18" s="1219"/>
      <c r="U18" s="1220"/>
      <c r="V18" s="1219"/>
      <c r="W18" s="1220"/>
      <c r="X18" s="1214"/>
      <c r="Y18" s="3398"/>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93"/>
      <c r="Q19" s="625" t="str">
        <f>B19</f>
        <v>公共配套设施</v>
      </c>
      <c r="R19" s="1219" t="s">
        <v>1393</v>
      </c>
      <c r="S19" s="1220">
        <f>F19</f>
        <v>100</v>
      </c>
      <c r="T19" s="1219" t="s">
        <v>1393</v>
      </c>
      <c r="U19" s="1220">
        <f>H19</f>
        <v>100</v>
      </c>
      <c r="V19" s="1219" t="s">
        <v>1393</v>
      </c>
      <c r="W19" s="1220">
        <f>J19</f>
        <v>100</v>
      </c>
      <c r="X19" s="1214"/>
      <c r="Y19" s="3398"/>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93"/>
      <c r="Q20" s="625"/>
      <c r="R20" s="1219"/>
      <c r="S20" s="1220"/>
      <c r="T20" s="1219"/>
      <c r="U20" s="1220"/>
      <c r="V20" s="1219"/>
      <c r="W20" s="1220"/>
      <c r="X20" s="1214"/>
      <c r="Y20" s="3398"/>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93"/>
      <c r="Q21" s="625" t="str">
        <f>B21</f>
        <v>基础设施水平</v>
      </c>
      <c r="R21" s="1219" t="s">
        <v>1393</v>
      </c>
      <c r="S21" s="1220">
        <f>F21</f>
        <v>100</v>
      </c>
      <c r="T21" s="1219" t="s">
        <v>1393</v>
      </c>
      <c r="U21" s="1220">
        <f>H21</f>
        <v>100</v>
      </c>
      <c r="V21" s="1219" t="s">
        <v>1393</v>
      </c>
      <c r="W21" s="1220">
        <f>J21</f>
        <v>100</v>
      </c>
      <c r="X21" s="1214"/>
      <c r="Y21" s="3398"/>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93"/>
      <c r="Q22" s="625"/>
      <c r="R22" s="1219"/>
      <c r="S22" s="1220"/>
      <c r="T22" s="1219"/>
      <c r="U22" s="1220"/>
      <c r="V22" s="1219"/>
      <c r="W22" s="1220"/>
      <c r="X22" s="1214"/>
      <c r="Y22" s="3398"/>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93"/>
      <c r="Q23" s="625" t="str">
        <f>B23</f>
        <v>环境质量</v>
      </c>
      <c r="R23" s="1219" t="s">
        <v>1393</v>
      </c>
      <c r="S23" s="1220">
        <f>F23</f>
        <v>100</v>
      </c>
      <c r="T23" s="1219" t="s">
        <v>1393</v>
      </c>
      <c r="U23" s="1220">
        <f>H23</f>
        <v>100</v>
      </c>
      <c r="V23" s="1219" t="s">
        <v>1393</v>
      </c>
      <c r="W23" s="1220">
        <f>J23</f>
        <v>100</v>
      </c>
      <c r="X23" s="1214"/>
      <c r="Y23" s="3398"/>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93"/>
      <c r="Q24" s="625"/>
      <c r="R24" s="1219"/>
      <c r="S24" s="1220"/>
      <c r="T24" s="1219"/>
      <c r="U24" s="1220"/>
      <c r="V24" s="1219"/>
      <c r="W24" s="1220"/>
      <c r="X24" s="1214"/>
      <c r="Y24" s="3398"/>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93"/>
      <c r="Q25" s="625" t="str">
        <f>B25</f>
        <v>毗邻道路的类型与等级</v>
      </c>
      <c r="R25" s="1219" t="s">
        <v>1393</v>
      </c>
      <c r="S25" s="1220">
        <f>F25</f>
        <v>100</v>
      </c>
      <c r="T25" s="1219" t="s">
        <v>1393</v>
      </c>
      <c r="U25" s="1220">
        <f>H25</f>
        <v>100</v>
      </c>
      <c r="V25" s="1219" t="s">
        <v>1393</v>
      </c>
      <c r="W25" s="1220">
        <f>J25</f>
        <v>100</v>
      </c>
      <c r="X25" s="1214"/>
      <c r="Y25" s="3398"/>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93"/>
      <c r="Q26" s="625"/>
      <c r="R26" s="1219"/>
      <c r="S26" s="1220"/>
      <c r="T26" s="1219"/>
      <c r="U26" s="1220"/>
      <c r="V26" s="1219"/>
      <c r="W26" s="1220"/>
      <c r="X26" s="1214"/>
      <c r="Y26" s="3398"/>
      <c r="Z26" s="1204"/>
      <c r="AA26" s="1204">
        <v>1</v>
      </c>
      <c r="AB26" s="1204">
        <v>1</v>
      </c>
      <c r="AC26" s="2097">
        <v>1</v>
      </c>
    </row>
    <row r="27" spans="1:29" ht="15">
      <c r="A27" s="1049"/>
      <c r="B27" s="1076" t="s">
        <v>1413</v>
      </c>
      <c r="C27" s="1083" t="s">
        <v>1414</v>
      </c>
      <c r="D27" s="759">
        <v>100</v>
      </c>
      <c r="E27" s="1083" t="s">
        <v>1414</v>
      </c>
      <c r="F27" s="759">
        <f>SUMIF(89:89,E27,90:90)-SUMIF(89:89,C27,90:90)+100</f>
        <v>100</v>
      </c>
      <c r="G27" s="1083" t="s">
        <v>1415</v>
      </c>
      <c r="H27" s="759">
        <f>SUMIF(89:89,G27,90:90)-SUMIF(89:89,C27,90:90)+100</f>
        <v>94</v>
      </c>
      <c r="I27" s="1083" t="s">
        <v>1416</v>
      </c>
      <c r="J27" s="759">
        <f>SUMIF(89:89,I27,90:90)-SUMIF(89:89,C27,90:90)+100</f>
        <v>97</v>
      </c>
      <c r="K27" s="1190">
        <v>3</v>
      </c>
      <c r="L27" s="1184"/>
      <c r="M27" s="1122"/>
      <c r="N27" s="1122"/>
      <c r="O27" s="1122"/>
      <c r="P27" s="3393"/>
      <c r="Q27" s="625" t="str">
        <f t="shared" ref="Q27:Q47" si="11">B27</f>
        <v>楼层</v>
      </c>
      <c r="R27" s="1219" t="s">
        <v>1393</v>
      </c>
      <c r="S27" s="1220">
        <f>F27</f>
        <v>100</v>
      </c>
      <c r="T27" s="1219" t="s">
        <v>1393</v>
      </c>
      <c r="U27" s="1220">
        <f>H27</f>
        <v>94</v>
      </c>
      <c r="V27" s="1219" t="s">
        <v>1393</v>
      </c>
      <c r="W27" s="1220">
        <f>J27</f>
        <v>97</v>
      </c>
      <c r="X27" s="1214"/>
      <c r="Y27" s="3398"/>
      <c r="Z27" s="1204" t="str">
        <f>Q27</f>
        <v>楼层</v>
      </c>
      <c r="AA27" s="1204">
        <f t="shared" si="3"/>
        <v>1</v>
      </c>
      <c r="AB27" s="1204">
        <f t="shared" si="4"/>
        <v>1.0638297872340425</v>
      </c>
      <c r="AC27" s="2097">
        <f t="shared" si="5"/>
        <v>1.0309278350515463</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93"/>
      <c r="Q28" s="794" t="str">
        <f t="shared" si="11"/>
        <v>朝向</v>
      </c>
      <c r="R28" s="1215" t="s">
        <v>1393</v>
      </c>
      <c r="S28" s="1216">
        <f>F28</f>
        <v>100</v>
      </c>
      <c r="T28" s="1215" t="s">
        <v>1393</v>
      </c>
      <c r="U28" s="1216">
        <f>H28</f>
        <v>100</v>
      </c>
      <c r="V28" s="1215" t="s">
        <v>1393</v>
      </c>
      <c r="W28" s="1216">
        <f>J28</f>
        <v>100</v>
      </c>
      <c r="X28" s="1217"/>
      <c r="Y28" s="3398"/>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93"/>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8"/>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93"/>
      <c r="Q30" s="625">
        <f t="shared" si="11"/>
        <v>111</v>
      </c>
      <c r="R30" s="1219" t="s">
        <v>1393</v>
      </c>
      <c r="S30" s="1220">
        <f t="shared" si="12"/>
        <v>100</v>
      </c>
      <c r="T30" s="1219" t="s">
        <v>1393</v>
      </c>
      <c r="U30" s="1220">
        <f t="shared" si="13"/>
        <v>100</v>
      </c>
      <c r="V30" s="1219" t="s">
        <v>1393</v>
      </c>
      <c r="W30" s="1220">
        <f t="shared" si="14"/>
        <v>100</v>
      </c>
      <c r="X30" s="1214"/>
      <c r="Y30" s="3398"/>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93"/>
      <c r="Q31" s="625">
        <f t="shared" si="11"/>
        <v>111</v>
      </c>
      <c r="R31" s="1219" t="s">
        <v>1393</v>
      </c>
      <c r="S31" s="1220">
        <f t="shared" si="12"/>
        <v>100</v>
      </c>
      <c r="T31" s="1219" t="s">
        <v>1393</v>
      </c>
      <c r="U31" s="1220">
        <f t="shared" si="13"/>
        <v>100</v>
      </c>
      <c r="V31" s="1219" t="s">
        <v>1393</v>
      </c>
      <c r="W31" s="1220">
        <f t="shared" si="14"/>
        <v>100</v>
      </c>
      <c r="X31" s="1214"/>
      <c r="Y31" s="3398"/>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93"/>
      <c r="Q32" s="625">
        <f t="shared" si="11"/>
        <v>111</v>
      </c>
      <c r="R32" s="1219" t="s">
        <v>1393</v>
      </c>
      <c r="S32" s="1220">
        <f t="shared" si="12"/>
        <v>100</v>
      </c>
      <c r="T32" s="1219" t="s">
        <v>1393</v>
      </c>
      <c r="U32" s="1220">
        <f t="shared" si="13"/>
        <v>100</v>
      </c>
      <c r="V32" s="1219" t="s">
        <v>1393</v>
      </c>
      <c r="W32" s="1220">
        <f t="shared" si="14"/>
        <v>100</v>
      </c>
      <c r="X32" s="1214"/>
      <c r="Y32" s="3398"/>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94" t="s">
        <v>1421</v>
      </c>
      <c r="Q33" s="625" t="str">
        <f t="shared" si="11"/>
        <v>建筑类型</v>
      </c>
      <c r="R33" s="1219" t="s">
        <v>1393</v>
      </c>
      <c r="S33" s="1220">
        <f t="shared" si="12"/>
        <v>100</v>
      </c>
      <c r="T33" s="1219" t="s">
        <v>1393</v>
      </c>
      <c r="U33" s="1220">
        <f t="shared" si="13"/>
        <v>100</v>
      </c>
      <c r="V33" s="1219" t="s">
        <v>1393</v>
      </c>
      <c r="W33" s="1220">
        <f t="shared" si="14"/>
        <v>100</v>
      </c>
      <c r="X33" s="1214"/>
      <c r="Y33" s="3399"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158.43</v>
      </c>
      <c r="D34" s="1048">
        <v>100</v>
      </c>
      <c r="E34" s="1381">
        <v>361.7</v>
      </c>
      <c r="F34" s="1046">
        <f>LOOKUP(E34,104:104,105:105)-LOOKUP(C34,104:104,105:105)+100</f>
        <v>102</v>
      </c>
      <c r="G34" s="1381">
        <v>158.43</v>
      </c>
      <c r="H34" s="1048">
        <f>LOOKUP(G34,104:104,105:105)-LOOKUP(C34,104:104,105:105)+100</f>
        <v>100</v>
      </c>
      <c r="I34" s="1381">
        <f>Sheet1!M39</f>
        <v>128.76</v>
      </c>
      <c r="J34" s="1048">
        <f>LOOKUP(I34,104:104,105:105)-LOOKUP(C34,104:104,105:105)+100</f>
        <v>100</v>
      </c>
      <c r="K34" s="1189"/>
      <c r="L34" s="1182"/>
      <c r="M34" s="1191"/>
      <c r="N34" s="1191"/>
      <c r="O34" s="1191"/>
      <c r="P34" s="3395"/>
      <c r="Q34" s="1415" t="str">
        <f t="shared" si="11"/>
        <v>项目建筑规模</v>
      </c>
      <c r="R34" s="1221" t="s">
        <v>1393</v>
      </c>
      <c r="S34" s="1222">
        <f t="shared" si="12"/>
        <v>102</v>
      </c>
      <c r="T34" s="1221" t="s">
        <v>1393</v>
      </c>
      <c r="U34" s="1222">
        <f t="shared" si="13"/>
        <v>100</v>
      </c>
      <c r="V34" s="1221" t="s">
        <v>1393</v>
      </c>
      <c r="W34" s="1222">
        <f t="shared" si="14"/>
        <v>100</v>
      </c>
      <c r="X34" s="1223"/>
      <c r="Y34" s="3399"/>
      <c r="Z34" s="1228" t="str">
        <f t="shared" si="15"/>
        <v>项目建筑规模</v>
      </c>
      <c r="AA34" s="1204">
        <f t="shared" si="3"/>
        <v>0.98039215686274506</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95"/>
      <c r="Q35" s="625" t="str">
        <f t="shared" si="11"/>
        <v>建筑结构</v>
      </c>
      <c r="R35" s="1219" t="s">
        <v>1393</v>
      </c>
      <c r="S35" s="1220">
        <f t="shared" si="12"/>
        <v>100</v>
      </c>
      <c r="T35" s="1219" t="s">
        <v>1393</v>
      </c>
      <c r="U35" s="1220">
        <f t="shared" si="13"/>
        <v>100</v>
      </c>
      <c r="V35" s="1219" t="s">
        <v>1393</v>
      </c>
      <c r="W35" s="1220">
        <f t="shared" si="14"/>
        <v>100</v>
      </c>
      <c r="X35" s="1214"/>
      <c r="Y35" s="3399"/>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95"/>
      <c r="Q36" s="625" t="str">
        <f t="shared" si="11"/>
        <v>公共部分装修</v>
      </c>
      <c r="R36" s="1219" t="s">
        <v>1393</v>
      </c>
      <c r="S36" s="1220">
        <f t="shared" si="12"/>
        <v>100</v>
      </c>
      <c r="T36" s="1219" t="s">
        <v>1393</v>
      </c>
      <c r="U36" s="1220">
        <f t="shared" si="13"/>
        <v>100</v>
      </c>
      <c r="V36" s="1219" t="s">
        <v>1393</v>
      </c>
      <c r="W36" s="1220">
        <f t="shared" si="14"/>
        <v>100</v>
      </c>
      <c r="X36" s="1214"/>
      <c r="Y36" s="3399"/>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95"/>
      <c r="Q37" s="625" t="str">
        <f t="shared" si="11"/>
        <v>成新度</v>
      </c>
      <c r="R37" s="1219" t="s">
        <v>1393</v>
      </c>
      <c r="S37" s="1220">
        <f t="shared" si="12"/>
        <v>100</v>
      </c>
      <c r="T37" s="1219" t="s">
        <v>1393</v>
      </c>
      <c r="U37" s="1220">
        <f t="shared" si="13"/>
        <v>100</v>
      </c>
      <c r="V37" s="1219" t="s">
        <v>1393</v>
      </c>
      <c r="W37" s="1220">
        <f t="shared" si="14"/>
        <v>100</v>
      </c>
      <c r="X37" s="1214"/>
      <c r="Y37" s="3399"/>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95"/>
      <c r="Q38" s="794" t="str">
        <f t="shared" si="11"/>
        <v>写字楼等级</v>
      </c>
      <c r="R38" s="1215" t="s">
        <v>1393</v>
      </c>
      <c r="S38" s="1216">
        <f t="shared" si="12"/>
        <v>100</v>
      </c>
      <c r="T38" s="1215" t="s">
        <v>1393</v>
      </c>
      <c r="U38" s="1216">
        <f t="shared" si="13"/>
        <v>100</v>
      </c>
      <c r="V38" s="1215" t="s">
        <v>1393</v>
      </c>
      <c r="W38" s="1216">
        <f t="shared" si="14"/>
        <v>100</v>
      </c>
      <c r="X38" s="1217"/>
      <c r="Y38" s="3399"/>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95" t="s">
        <v>1421</v>
      </c>
      <c r="Q39" s="625" t="str">
        <f t="shared" si="11"/>
        <v>物业管理</v>
      </c>
      <c r="R39" s="1219" t="s">
        <v>1393</v>
      </c>
      <c r="S39" s="1220">
        <f t="shared" si="12"/>
        <v>100</v>
      </c>
      <c r="T39" s="1219" t="s">
        <v>1393</v>
      </c>
      <c r="U39" s="1220">
        <f t="shared" si="13"/>
        <v>100</v>
      </c>
      <c r="V39" s="1219" t="s">
        <v>1393</v>
      </c>
      <c r="W39" s="1220">
        <f t="shared" si="14"/>
        <v>100</v>
      </c>
      <c r="X39" s="1214"/>
      <c r="Y39" s="3399"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95"/>
      <c r="Q40" s="625" t="str">
        <f t="shared" si="11"/>
        <v>市政基础设施</v>
      </c>
      <c r="R40" s="1219" t="s">
        <v>1393</v>
      </c>
      <c r="S40" s="1220">
        <f t="shared" si="12"/>
        <v>100</v>
      </c>
      <c r="T40" s="1219" t="s">
        <v>1393</v>
      </c>
      <c r="U40" s="1220">
        <f t="shared" si="13"/>
        <v>100</v>
      </c>
      <c r="V40" s="1219" t="s">
        <v>1393</v>
      </c>
      <c r="W40" s="1220">
        <f t="shared" si="14"/>
        <v>100</v>
      </c>
      <c r="X40" s="1214"/>
      <c r="Y40" s="3399"/>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5"/>
      <c r="Q41" s="625" t="str">
        <f t="shared" si="11"/>
        <v>层高</v>
      </c>
      <c r="R41" s="1219" t="s">
        <v>1393</v>
      </c>
      <c r="S41" s="1220">
        <f t="shared" si="12"/>
        <v>100</v>
      </c>
      <c r="T41" s="1219" t="s">
        <v>1393</v>
      </c>
      <c r="U41" s="1220">
        <f t="shared" si="13"/>
        <v>100</v>
      </c>
      <c r="V41" s="1219" t="s">
        <v>1393</v>
      </c>
      <c r="W41" s="1220">
        <f t="shared" si="14"/>
        <v>100</v>
      </c>
      <c r="X41" s="1214"/>
      <c r="Y41" s="3399"/>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5"/>
      <c r="Q42" s="1415" t="str">
        <f t="shared" si="11"/>
        <v>单套建筑面积</v>
      </c>
      <c r="R42" s="1221" t="s">
        <v>1393</v>
      </c>
      <c r="S42" s="1222">
        <f t="shared" si="12"/>
        <v>100</v>
      </c>
      <c r="T42" s="1221" t="s">
        <v>1393</v>
      </c>
      <c r="U42" s="1222">
        <f t="shared" si="13"/>
        <v>100</v>
      </c>
      <c r="V42" s="1221" t="s">
        <v>1393</v>
      </c>
      <c r="W42" s="1222">
        <f t="shared" si="14"/>
        <v>100</v>
      </c>
      <c r="X42" s="1223"/>
      <c r="Y42" s="3399"/>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95"/>
      <c r="Q43" s="625" t="str">
        <f t="shared" si="11"/>
        <v>内部装修</v>
      </c>
      <c r="R43" s="1219" t="s">
        <v>1393</v>
      </c>
      <c r="S43" s="1220">
        <f t="shared" si="12"/>
        <v>100</v>
      </c>
      <c r="T43" s="1219" t="s">
        <v>1393</v>
      </c>
      <c r="U43" s="1220">
        <f t="shared" si="13"/>
        <v>100</v>
      </c>
      <c r="V43" s="1219" t="s">
        <v>1393</v>
      </c>
      <c r="W43" s="1220">
        <f t="shared" si="14"/>
        <v>100</v>
      </c>
      <c r="X43" s="1214"/>
      <c r="Y43" s="3399"/>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95"/>
      <c r="Q44" s="625" t="str">
        <f t="shared" si="11"/>
        <v>内部装修维护情况</v>
      </c>
      <c r="R44" s="1219" t="s">
        <v>1393</v>
      </c>
      <c r="S44" s="1220">
        <f t="shared" si="12"/>
        <v>100</v>
      </c>
      <c r="T44" s="1219" t="s">
        <v>1393</v>
      </c>
      <c r="U44" s="1220">
        <f t="shared" si="13"/>
        <v>100</v>
      </c>
      <c r="V44" s="1219" t="s">
        <v>1393</v>
      </c>
      <c r="W44" s="1220">
        <f t="shared" si="14"/>
        <v>100</v>
      </c>
      <c r="X44" s="1214"/>
      <c r="Y44" s="3399"/>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5"/>
      <c r="Q45" s="794">
        <f t="shared" si="11"/>
        <v>111</v>
      </c>
      <c r="R45" s="1215" t="s">
        <v>1393</v>
      </c>
      <c r="S45" s="1216">
        <f t="shared" si="12"/>
        <v>100</v>
      </c>
      <c r="T45" s="1215" t="s">
        <v>1393</v>
      </c>
      <c r="U45" s="1216">
        <f t="shared" si="13"/>
        <v>100</v>
      </c>
      <c r="V45" s="1215" t="s">
        <v>1393</v>
      </c>
      <c r="W45" s="1216">
        <f t="shared" si="14"/>
        <v>100</v>
      </c>
      <c r="X45" s="1217"/>
      <c r="Y45" s="3399"/>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5"/>
      <c r="Q46" s="625">
        <f t="shared" si="11"/>
        <v>111</v>
      </c>
      <c r="R46" s="1219" t="s">
        <v>1393</v>
      </c>
      <c r="S46" s="1220">
        <f t="shared" si="12"/>
        <v>100</v>
      </c>
      <c r="T46" s="1219" t="s">
        <v>1393</v>
      </c>
      <c r="U46" s="1220">
        <f t="shared" si="13"/>
        <v>100</v>
      </c>
      <c r="V46" s="1219" t="s">
        <v>1393</v>
      </c>
      <c r="W46" s="1220">
        <f t="shared" si="14"/>
        <v>100</v>
      </c>
      <c r="X46" s="1214"/>
      <c r="Y46" s="3399"/>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6"/>
      <c r="Q47" s="625">
        <f t="shared" si="11"/>
        <v>111</v>
      </c>
      <c r="R47" s="1219" t="s">
        <v>1393</v>
      </c>
      <c r="S47" s="1220">
        <f t="shared" si="12"/>
        <v>100</v>
      </c>
      <c r="T47" s="1219" t="s">
        <v>1393</v>
      </c>
      <c r="U47" s="1220">
        <f t="shared" si="13"/>
        <v>100</v>
      </c>
      <c r="V47" s="1219" t="s">
        <v>1393</v>
      </c>
      <c r="W47" s="1220">
        <f t="shared" si="14"/>
        <v>100</v>
      </c>
      <c r="X47" s="1214"/>
      <c r="Y47" s="3400"/>
      <c r="Z47" s="1204">
        <f t="shared" si="15"/>
        <v>111</v>
      </c>
      <c r="AA47" s="1204">
        <f t="shared" si="3"/>
        <v>1</v>
      </c>
      <c r="AB47" s="1204">
        <f t="shared" si="4"/>
        <v>1</v>
      </c>
      <c r="AC47" s="2097">
        <f t="shared" si="5"/>
        <v>1</v>
      </c>
    </row>
    <row r="48" spans="1:29" ht="15">
      <c r="A48" s="1105" t="s">
        <v>1437</v>
      </c>
      <c r="B48" s="1398"/>
      <c r="C48" s="1399" t="s">
        <v>124</v>
      </c>
      <c r="D48" s="1108"/>
      <c r="E48" s="1109">
        <v>20770</v>
      </c>
      <c r="F48" s="1110"/>
      <c r="G48" s="1109">
        <v>20770</v>
      </c>
      <c r="H48" s="1112"/>
      <c r="I48" s="1109">
        <f>Sheet1!O39</f>
        <v>19277</v>
      </c>
      <c r="J48" s="1112"/>
      <c r="K48" s="1195"/>
      <c r="L48" s="1196"/>
      <c r="M48" s="1122"/>
      <c r="N48" s="1122"/>
      <c r="O48" s="1122"/>
      <c r="P48" s="3384" t="str">
        <f>A48</f>
        <v>成交单价（元/平方米）</v>
      </c>
      <c r="Q48" s="3385"/>
      <c r="R48" s="3383">
        <f>E48</f>
        <v>20770</v>
      </c>
      <c r="S48" s="3383"/>
      <c r="T48" s="3383">
        <f>G48</f>
        <v>20770</v>
      </c>
      <c r="U48" s="3383"/>
      <c r="V48" s="3383">
        <f>I48</f>
        <v>19277</v>
      </c>
      <c r="W48" s="3383"/>
      <c r="X48" s="1162"/>
      <c r="Y48" s="1229"/>
      <c r="Z48" s="1162"/>
      <c r="AA48" s="1162"/>
      <c r="AB48" s="1162"/>
      <c r="AC48" s="1067"/>
    </row>
    <row r="49" spans="1:29" ht="15">
      <c r="A49" s="1113" t="s">
        <v>1438</v>
      </c>
      <c r="B49" s="1400"/>
      <c r="C49" s="1401">
        <f>R50</f>
        <v>20777</v>
      </c>
      <c r="D49" s="1116" t="s">
        <v>1439</v>
      </c>
      <c r="E49" s="1402">
        <f>R49</f>
        <v>20363</v>
      </c>
      <c r="F49" s="1117"/>
      <c r="G49" s="1401">
        <f>T49</f>
        <v>22096</v>
      </c>
      <c r="H49" s="1117"/>
      <c r="I49" s="1402">
        <f>V49</f>
        <v>19873</v>
      </c>
      <c r="J49" s="1117"/>
      <c r="K49" s="1197">
        <f>F49+H49+J49</f>
        <v>0</v>
      </c>
      <c r="L49" s="1196"/>
      <c r="M49" s="1122"/>
      <c r="N49" s="1122"/>
      <c r="O49" s="1122"/>
      <c r="P49" s="3384" t="str">
        <f>A49</f>
        <v>比较价值（元/平方米）</v>
      </c>
      <c r="Q49" s="3385"/>
      <c r="R49" s="3383">
        <f>IF(F1="售价",ROUND(PRODUCT(R48,AA7:AA47),0),ROUND(PRODUCT(R48,AA7:AA47),1))</f>
        <v>20363</v>
      </c>
      <c r="S49" s="3383"/>
      <c r="T49" s="3383">
        <f>IF(F1="售价",ROUND(PRODUCT(T48,AB7:AB47),0),ROUND(PRODUCT(T48,AB7:AB47),1))</f>
        <v>22096</v>
      </c>
      <c r="U49" s="3383"/>
      <c r="V49" s="3383">
        <f>IF(F1="售价",ROUND(PRODUCT(V48,AC7:AC47),0),ROUND(PRODUCT(V48,AC7:AC47),1))</f>
        <v>19873</v>
      </c>
      <c r="W49" s="3383"/>
      <c r="X49" s="1162"/>
      <c r="Y49" s="1162"/>
      <c r="Z49" s="1162"/>
      <c r="AA49" s="1162"/>
      <c r="AB49" s="1162"/>
      <c r="AC49" s="1067"/>
    </row>
    <row r="50" spans="1:29" ht="15">
      <c r="A50" s="1119" t="s">
        <v>1440</v>
      </c>
      <c r="B50" s="1120"/>
      <c r="C50" s="1032">
        <f>R50</f>
        <v>20777</v>
      </c>
      <c r="D50" s="1032"/>
      <c r="E50" s="1032"/>
      <c r="F50" s="1032"/>
      <c r="G50" s="1032"/>
      <c r="H50" s="1032"/>
      <c r="I50" s="1032"/>
      <c r="J50" s="1121"/>
      <c r="K50" s="1198"/>
      <c r="L50" s="1196"/>
      <c r="M50" s="1122"/>
      <c r="N50" s="1122"/>
      <c r="O50" s="1122"/>
      <c r="P50" s="3386" t="str">
        <f>A50</f>
        <v>估价对象XX用房的比较价值（楼面单价，元/平方米）</v>
      </c>
      <c r="Q50" s="3387"/>
      <c r="R50" s="3388">
        <f>IF(F1="售价",ROUND(IF(D49="简单平均",AVERAGE(R49:V49),R49*F49+T49*H49+V49*J49),0),ROUND(IF(D49="简单平均",AVERAGE(R49:V49),R49*F49+T49*H49+V49*J49),1))</f>
        <v>20777</v>
      </c>
      <c r="S50" s="3388"/>
      <c r="T50" s="3388"/>
      <c r="U50" s="3388"/>
      <c r="V50" s="3388"/>
      <c r="W50" s="3388"/>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1.9987231743849199E-2</v>
      </c>
      <c r="F53" s="1126" t="str">
        <f>IF(OR(E53&gt;=0.3,E53&lt;=-0.3),"超过30%","")</f>
        <v/>
      </c>
      <c r="G53" s="1125">
        <f>IF(G48&lt;G49,G49/G48-1,G48/G49-1)</f>
        <v>6.3842079922965755E-2</v>
      </c>
      <c r="H53" s="1126" t="str">
        <f>IF(OR(G53&gt;=0.3,G53&lt;=-0.3),"超过30%","")</f>
        <v/>
      </c>
      <c r="I53" s="1125">
        <f>IF(I48&lt;I49,I49/I48-1,I48/I49-1)</f>
        <v>3.0917673911915688E-2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8.51053381132445E-2</v>
      </c>
      <c r="F54" s="1126" t="str">
        <f>IF(OR(E54&gt;=0.2,E54&lt;=-0.2),"超过20%","")</f>
        <v/>
      </c>
      <c r="G54" s="1125">
        <f>IF(G49&lt;I49,I49/G49-1,G49/I49-1)</f>
        <v>0.11186031298747046</v>
      </c>
      <c r="H54" s="1126" t="str">
        <f>IF(OR(G54&gt;=0.2,G54&lt;=-0.2),"超过20%","")</f>
        <v/>
      </c>
      <c r="I54" s="1125">
        <f>IF(I49&lt;E49,E49/I49-1,I49/E49-1)</f>
        <v>2.4656569214512203E-2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v>
      </c>
      <c r="F55" s="1126" t="str">
        <f>IF(OR(E55&gt;=0.3,E55&lt;=-0.3),"超过30%","")</f>
        <v/>
      </c>
      <c r="G55" s="1125">
        <f>IF(G48&lt;I48,I48/G48-1,G48/I48-1)</f>
        <v>7.7449810655184859E-2</v>
      </c>
      <c r="H55" s="1126" t="str">
        <f>IF(OR(G55&gt;=0.3,G55&lt;=-0.3),"超过30%","")</f>
        <v/>
      </c>
      <c r="I55" s="1125">
        <f>IF(I48&lt;E48,E48/I48-1,I48/E48-1)</f>
        <v>7.7449810655184859E-2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v>100</v>
      </c>
      <c r="F60" s="1245">
        <v>100</v>
      </c>
      <c r="G60" s="1245">
        <v>100</v>
      </c>
      <c r="H60" s="1245">
        <v>100</v>
      </c>
      <c r="I60" s="1245">
        <v>100</v>
      </c>
      <c r="J60" s="1245">
        <v>100</v>
      </c>
      <c r="K60" s="1245">
        <v>100</v>
      </c>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102</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6" t="s">
        <v>1379</v>
      </c>
      <c r="D4" s="3407"/>
      <c r="E4" s="3408" t="s">
        <v>1380</v>
      </c>
      <c r="F4" s="3409"/>
      <c r="G4" s="3406" t="s">
        <v>1381</v>
      </c>
      <c r="H4" s="3407"/>
      <c r="I4" s="3406" t="s">
        <v>1382</v>
      </c>
      <c r="J4" s="3407"/>
      <c r="K4" s="1171" t="s">
        <v>1383</v>
      </c>
      <c r="L4" s="1172"/>
      <c r="M4" s="1122"/>
      <c r="N4" s="1122"/>
      <c r="O4" s="1122"/>
      <c r="P4" s="3413" t="s">
        <v>1384</v>
      </c>
      <c r="Q4" s="3414"/>
      <c r="R4" s="3417" t="s">
        <v>1380</v>
      </c>
      <c r="S4" s="3418"/>
      <c r="T4" s="3417" t="s">
        <v>1381</v>
      </c>
      <c r="U4" s="3418"/>
      <c r="V4" s="3383" t="s">
        <v>1382</v>
      </c>
      <c r="W4" s="3383"/>
      <c r="X4" s="1214"/>
      <c r="Y4" s="3417" t="s">
        <v>1384</v>
      </c>
      <c r="Z4" s="3418"/>
      <c r="AA4" s="3412" t="s">
        <v>1380</v>
      </c>
      <c r="AB4" s="3383" t="s">
        <v>1381</v>
      </c>
      <c r="AC4" s="3412" t="s">
        <v>1382</v>
      </c>
    </row>
    <row r="5" spans="1:29" ht="15">
      <c r="A5" s="1029"/>
      <c r="B5" s="1030"/>
      <c r="C5" s="3422" t="s">
        <v>1385</v>
      </c>
      <c r="D5" s="3411"/>
      <c r="E5" s="3423"/>
      <c r="F5" s="3424"/>
      <c r="G5" s="3422"/>
      <c r="H5" s="3411"/>
      <c r="I5" s="3422"/>
      <c r="J5" s="3411"/>
      <c r="K5" s="1171"/>
      <c r="L5" s="1172"/>
      <c r="M5" s="1122"/>
      <c r="N5" s="1122"/>
      <c r="O5" s="1122"/>
      <c r="P5" s="3415"/>
      <c r="Q5" s="3373"/>
      <c r="R5" s="3378"/>
      <c r="S5" s="3379"/>
      <c r="T5" s="3378"/>
      <c r="U5" s="3379"/>
      <c r="V5" s="3383"/>
      <c r="W5" s="3383"/>
      <c r="X5" s="1214"/>
      <c r="Y5" s="3378"/>
      <c r="Z5" s="3379"/>
      <c r="AA5" s="3365"/>
      <c r="AB5" s="3383"/>
      <c r="AC5" s="3365"/>
    </row>
    <row r="6" spans="1:29" ht="15">
      <c r="A6" s="1031"/>
      <c r="B6" s="1032"/>
      <c r="C6" s="3401" t="s">
        <v>1389</v>
      </c>
      <c r="D6" s="3402"/>
      <c r="E6" s="3403" t="s">
        <v>1389</v>
      </c>
      <c r="F6" s="3404"/>
      <c r="G6" s="3401" t="s">
        <v>1389</v>
      </c>
      <c r="H6" s="3402"/>
      <c r="I6" s="3401" t="s">
        <v>1389</v>
      </c>
      <c r="J6" s="3402"/>
      <c r="K6" s="1171" t="s">
        <v>1390</v>
      </c>
      <c r="L6" s="1172"/>
      <c r="M6" s="1122"/>
      <c r="N6" s="1122"/>
      <c r="O6" s="1122"/>
      <c r="P6" s="3416"/>
      <c r="Q6" s="3375"/>
      <c r="R6" s="3378"/>
      <c r="S6" s="3379"/>
      <c r="T6" s="3380"/>
      <c r="U6" s="3381"/>
      <c r="V6" s="3383"/>
      <c r="W6" s="3383"/>
      <c r="X6" s="1214"/>
      <c r="Y6" s="3380"/>
      <c r="Z6" s="3381"/>
      <c r="AA6" s="3366"/>
      <c r="AB6" s="3383"/>
      <c r="AC6" s="3366"/>
    </row>
    <row r="7" spans="1:29" s="1008" customFormat="1" ht="15">
      <c r="A7" s="1033" t="s">
        <v>1391</v>
      </c>
      <c r="B7" s="1034"/>
      <c r="C7" s="1035">
        <f>'数据-取费表'!B2</f>
        <v>45975</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89" t="s">
        <v>1392</v>
      </c>
      <c r="Q7" s="3405"/>
      <c r="R7" s="1215" t="s">
        <v>1393</v>
      </c>
      <c r="S7" s="1216">
        <f t="shared" ref="S7:S15" si="0">F7</f>
        <v>100.5</v>
      </c>
      <c r="T7" s="1215" t="s">
        <v>1393</v>
      </c>
      <c r="U7" s="1216">
        <f t="shared" ref="U7:U15" si="1">H7</f>
        <v>100.5</v>
      </c>
      <c r="V7" s="1215" t="s">
        <v>1393</v>
      </c>
      <c r="W7" s="1216">
        <f t="shared" ref="W7:W15" si="2">J7</f>
        <v>100.5</v>
      </c>
      <c r="X7" s="1217"/>
      <c r="Y7" s="3389" t="s">
        <v>1392</v>
      </c>
      <c r="Z7" s="3390"/>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89" t="s">
        <v>1397</v>
      </c>
      <c r="Q8" s="3390"/>
      <c r="R8" s="1215" t="s">
        <v>1393</v>
      </c>
      <c r="S8" s="1216">
        <f t="shared" si="0"/>
        <v>102</v>
      </c>
      <c r="T8" s="1215" t="s">
        <v>1393</v>
      </c>
      <c r="U8" s="1216">
        <f t="shared" si="1"/>
        <v>102</v>
      </c>
      <c r="V8" s="1215" t="s">
        <v>1393</v>
      </c>
      <c r="W8" s="1216">
        <f t="shared" si="2"/>
        <v>102</v>
      </c>
      <c r="X8" s="1217"/>
      <c r="Y8" s="3389" t="s">
        <v>1397</v>
      </c>
      <c r="Z8" s="3390"/>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4" t="s">
        <v>1400</v>
      </c>
      <c r="Q9" s="794" t="str">
        <f t="shared" ref="Q9:Q15" si="6">B9</f>
        <v>用途</v>
      </c>
      <c r="R9" s="1215" t="s">
        <v>1393</v>
      </c>
      <c r="S9" s="1216">
        <f t="shared" si="0"/>
        <v>100</v>
      </c>
      <c r="T9" s="1215" t="s">
        <v>1393</v>
      </c>
      <c r="U9" s="1216">
        <f t="shared" si="1"/>
        <v>100</v>
      </c>
      <c r="V9" s="1215" t="s">
        <v>1393</v>
      </c>
      <c r="W9" s="1216">
        <f t="shared" si="2"/>
        <v>100</v>
      </c>
      <c r="X9" s="1217"/>
      <c r="Y9" s="3271"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271"/>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4"/>
      <c r="Q11" s="794" t="str">
        <f t="shared" si="6"/>
        <v>容积率</v>
      </c>
      <c r="R11" s="1215" t="s">
        <v>1393</v>
      </c>
      <c r="S11" s="1216">
        <f t="shared" si="0"/>
        <v>100</v>
      </c>
      <c r="T11" s="1215" t="s">
        <v>1393</v>
      </c>
      <c r="U11" s="1216">
        <f t="shared" si="1"/>
        <v>100</v>
      </c>
      <c r="V11" s="1215" t="s">
        <v>1393</v>
      </c>
      <c r="W11" s="1216">
        <f t="shared" si="2"/>
        <v>100</v>
      </c>
      <c r="X11" s="1217"/>
      <c r="Y11" s="3271"/>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271"/>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271"/>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4"/>
      <c r="Q14" s="794">
        <f t="shared" si="6"/>
        <v>111</v>
      </c>
      <c r="R14" s="1215" t="s">
        <v>1393</v>
      </c>
      <c r="S14" s="1216">
        <f t="shared" si="0"/>
        <v>100</v>
      </c>
      <c r="T14" s="1215" t="s">
        <v>1393</v>
      </c>
      <c r="U14" s="1216">
        <f t="shared" si="1"/>
        <v>100</v>
      </c>
      <c r="V14" s="1215" t="s">
        <v>1393</v>
      </c>
      <c r="W14" s="1216">
        <f t="shared" si="2"/>
        <v>100</v>
      </c>
      <c r="X14" s="1217"/>
      <c r="Y14" s="3271"/>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92" t="s">
        <v>1406</v>
      </c>
      <c r="Q15" s="625" t="str">
        <f t="shared" si="6"/>
        <v>商业繁华度</v>
      </c>
      <c r="R15" s="1219" t="s">
        <v>1393</v>
      </c>
      <c r="S15" s="1220">
        <f t="shared" si="0"/>
        <v>100</v>
      </c>
      <c r="T15" s="1219" t="s">
        <v>1393</v>
      </c>
      <c r="U15" s="1220">
        <f t="shared" si="1"/>
        <v>100</v>
      </c>
      <c r="V15" s="1219" t="s">
        <v>1393</v>
      </c>
      <c r="W15" s="1220">
        <f t="shared" si="2"/>
        <v>103</v>
      </c>
      <c r="X15" s="1214"/>
      <c r="Y15" s="3397"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93"/>
      <c r="Q16" s="625"/>
      <c r="R16" s="1219"/>
      <c r="S16" s="1220"/>
      <c r="T16" s="1219"/>
      <c r="U16" s="1220"/>
      <c r="V16" s="1219"/>
      <c r="W16" s="1220"/>
      <c r="X16" s="1214"/>
      <c r="Y16" s="3398"/>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93"/>
      <c r="Q17" s="625" t="str">
        <f>B17</f>
        <v>交通便捷度</v>
      </c>
      <c r="R17" s="1219" t="s">
        <v>1393</v>
      </c>
      <c r="S17" s="1220">
        <f>F17</f>
        <v>100</v>
      </c>
      <c r="T17" s="1219" t="s">
        <v>1393</v>
      </c>
      <c r="U17" s="1220">
        <f>H17</f>
        <v>100</v>
      </c>
      <c r="V17" s="1219" t="s">
        <v>1393</v>
      </c>
      <c r="W17" s="1220">
        <f>J17</f>
        <v>102</v>
      </c>
      <c r="X17" s="1214"/>
      <c r="Y17" s="3398"/>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93"/>
      <c r="Q18" s="625"/>
      <c r="R18" s="1219"/>
      <c r="S18" s="1220"/>
      <c r="T18" s="1219"/>
      <c r="U18" s="1220"/>
      <c r="V18" s="1219"/>
      <c r="W18" s="1220"/>
      <c r="X18" s="1214"/>
      <c r="Y18" s="3398"/>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93"/>
      <c r="Q19" s="625" t="str">
        <f>B19</f>
        <v>公共配套设施</v>
      </c>
      <c r="R19" s="1219" t="s">
        <v>1393</v>
      </c>
      <c r="S19" s="1220">
        <f>F19</f>
        <v>100</v>
      </c>
      <c r="T19" s="1219" t="s">
        <v>1393</v>
      </c>
      <c r="U19" s="1220">
        <f>H19</f>
        <v>100</v>
      </c>
      <c r="V19" s="1219" t="s">
        <v>1393</v>
      </c>
      <c r="W19" s="1220">
        <f>J19</f>
        <v>100</v>
      </c>
      <c r="X19" s="1214"/>
      <c r="Y19" s="3398"/>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93"/>
      <c r="Q20" s="625"/>
      <c r="R20" s="1219"/>
      <c r="S20" s="1220"/>
      <c r="T20" s="1219"/>
      <c r="U20" s="1220"/>
      <c r="V20" s="1219"/>
      <c r="W20" s="1220"/>
      <c r="X20" s="1214"/>
      <c r="Y20" s="3398"/>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93"/>
      <c r="Q21" s="625" t="str">
        <f>B21</f>
        <v>基础设施水平</v>
      </c>
      <c r="R21" s="1219" t="s">
        <v>1393</v>
      </c>
      <c r="S21" s="1220">
        <f>F21</f>
        <v>100</v>
      </c>
      <c r="T21" s="1219" t="s">
        <v>1393</v>
      </c>
      <c r="U21" s="1220">
        <f>H21</f>
        <v>100</v>
      </c>
      <c r="V21" s="1219" t="s">
        <v>1393</v>
      </c>
      <c r="W21" s="1220">
        <f>J21</f>
        <v>100</v>
      </c>
      <c r="X21" s="1214"/>
      <c r="Y21" s="3398"/>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93"/>
      <c r="Q22" s="625"/>
      <c r="R22" s="1219"/>
      <c r="S22" s="1220"/>
      <c r="T22" s="1219"/>
      <c r="U22" s="1220"/>
      <c r="V22" s="1219"/>
      <c r="W22" s="1220"/>
      <c r="X22" s="1214"/>
      <c r="Y22" s="3398"/>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93"/>
      <c r="Q23" s="625" t="str">
        <f>B23</f>
        <v>自然及人文环境</v>
      </c>
      <c r="R23" s="1219" t="s">
        <v>1393</v>
      </c>
      <c r="S23" s="1220">
        <f>F23</f>
        <v>100</v>
      </c>
      <c r="T23" s="1219" t="s">
        <v>1393</v>
      </c>
      <c r="U23" s="1220">
        <f>H23</f>
        <v>100</v>
      </c>
      <c r="V23" s="1219" t="s">
        <v>1393</v>
      </c>
      <c r="W23" s="1220">
        <f>J23</f>
        <v>100</v>
      </c>
      <c r="X23" s="1214"/>
      <c r="Y23" s="3398"/>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93"/>
      <c r="Q24" s="625"/>
      <c r="R24" s="1219"/>
      <c r="S24" s="1220"/>
      <c r="T24" s="1219"/>
      <c r="U24" s="1220"/>
      <c r="V24" s="1219"/>
      <c r="W24" s="1220"/>
      <c r="X24" s="1214"/>
      <c r="Y24" s="3398"/>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93"/>
      <c r="Q25" s="625" t="str">
        <f t="shared" ref="Q25:Q46" si="11">B25</f>
        <v>临街状况</v>
      </c>
      <c r="R25" s="1219" t="s">
        <v>1393</v>
      </c>
      <c r="S25" s="1220">
        <f>F25</f>
        <v>100</v>
      </c>
      <c r="T25" s="1219" t="s">
        <v>1393</v>
      </c>
      <c r="U25" s="1220">
        <f>H25</f>
        <v>100</v>
      </c>
      <c r="V25" s="1219" t="s">
        <v>1393</v>
      </c>
      <c r="W25" s="1220">
        <f>J25</f>
        <v>100</v>
      </c>
      <c r="X25" s="1214"/>
      <c r="Y25" s="3398"/>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93"/>
      <c r="Q26" s="625" t="str">
        <f t="shared" si="11"/>
        <v>平面位置/可视性</v>
      </c>
      <c r="R26" s="1219" t="s">
        <v>1393</v>
      </c>
      <c r="S26" s="1220">
        <f>F26</f>
        <v>100</v>
      </c>
      <c r="T26" s="1219" t="s">
        <v>1393</v>
      </c>
      <c r="U26" s="1220">
        <f>H26</f>
        <v>100</v>
      </c>
      <c r="V26" s="1219" t="s">
        <v>1393</v>
      </c>
      <c r="W26" s="1220">
        <f>J26</f>
        <v>100</v>
      </c>
      <c r="X26" s="1214"/>
      <c r="Y26" s="3398"/>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93"/>
      <c r="Q27" s="794" t="str">
        <f t="shared" si="11"/>
        <v>人流量</v>
      </c>
      <c r="R27" s="1215" t="s">
        <v>1393</v>
      </c>
      <c r="S27" s="1216">
        <f>F27</f>
        <v>100</v>
      </c>
      <c r="T27" s="1215" t="s">
        <v>1393</v>
      </c>
      <c r="U27" s="1216">
        <f>H27</f>
        <v>100</v>
      </c>
      <c r="V27" s="1215" t="s">
        <v>1393</v>
      </c>
      <c r="W27" s="1216">
        <f>J27</f>
        <v>100</v>
      </c>
      <c r="X27" s="1217"/>
      <c r="Y27" s="3398"/>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93"/>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8"/>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93"/>
      <c r="Q29" s="625">
        <f t="shared" si="11"/>
        <v>111</v>
      </c>
      <c r="R29" s="1219" t="s">
        <v>1393</v>
      </c>
      <c r="S29" s="1220">
        <f t="shared" si="12"/>
        <v>100</v>
      </c>
      <c r="T29" s="1219" t="s">
        <v>1393</v>
      </c>
      <c r="U29" s="1220">
        <f t="shared" si="13"/>
        <v>100</v>
      </c>
      <c r="V29" s="1219" t="s">
        <v>1393</v>
      </c>
      <c r="W29" s="1220">
        <f t="shared" si="14"/>
        <v>100</v>
      </c>
      <c r="X29" s="1214"/>
      <c r="Y29" s="3398"/>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93"/>
      <c r="Q30" s="625">
        <f t="shared" si="11"/>
        <v>111</v>
      </c>
      <c r="R30" s="1219" t="s">
        <v>1393</v>
      </c>
      <c r="S30" s="1220">
        <f t="shared" si="12"/>
        <v>100</v>
      </c>
      <c r="T30" s="1219" t="s">
        <v>1393</v>
      </c>
      <c r="U30" s="1220">
        <f t="shared" si="13"/>
        <v>100</v>
      </c>
      <c r="V30" s="1219" t="s">
        <v>1393</v>
      </c>
      <c r="W30" s="1220">
        <f t="shared" si="14"/>
        <v>100</v>
      </c>
      <c r="X30" s="1214"/>
      <c r="Y30" s="3398"/>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93"/>
      <c r="Q31" s="625">
        <f t="shared" si="11"/>
        <v>111</v>
      </c>
      <c r="R31" s="1219" t="s">
        <v>1393</v>
      </c>
      <c r="S31" s="1220">
        <f t="shared" si="12"/>
        <v>100</v>
      </c>
      <c r="T31" s="1219" t="s">
        <v>1393</v>
      </c>
      <c r="U31" s="1220">
        <f t="shared" si="13"/>
        <v>100</v>
      </c>
      <c r="V31" s="1219" t="s">
        <v>1393</v>
      </c>
      <c r="W31" s="1220">
        <f t="shared" si="14"/>
        <v>100</v>
      </c>
      <c r="X31" s="1214"/>
      <c r="Y31" s="3398"/>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94" t="s">
        <v>1421</v>
      </c>
      <c r="Q32" s="625" t="str">
        <f t="shared" si="11"/>
        <v>商业类型</v>
      </c>
      <c r="R32" s="1219" t="s">
        <v>1393</v>
      </c>
      <c r="S32" s="1220">
        <f t="shared" si="12"/>
        <v>100</v>
      </c>
      <c r="T32" s="1219" t="s">
        <v>1393</v>
      </c>
      <c r="U32" s="1220">
        <f t="shared" si="13"/>
        <v>100</v>
      </c>
      <c r="V32" s="1219" t="s">
        <v>1393</v>
      </c>
      <c r="W32" s="1220">
        <f t="shared" si="14"/>
        <v>100</v>
      </c>
      <c r="X32" s="1214"/>
      <c r="Y32" s="3399"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158.43</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95"/>
      <c r="Q33" s="1415" t="str">
        <f t="shared" si="11"/>
        <v>项目建筑规模</v>
      </c>
      <c r="R33" s="1221" t="s">
        <v>1393</v>
      </c>
      <c r="S33" s="1222">
        <f t="shared" si="12"/>
        <v>99</v>
      </c>
      <c r="T33" s="1221" t="s">
        <v>1393</v>
      </c>
      <c r="U33" s="1222">
        <f t="shared" si="13"/>
        <v>100</v>
      </c>
      <c r="V33" s="1221" t="s">
        <v>1393</v>
      </c>
      <c r="W33" s="1222">
        <f t="shared" si="14"/>
        <v>100</v>
      </c>
      <c r="X33" s="1223"/>
      <c r="Y33" s="3399"/>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95"/>
      <c r="Q34" s="625" t="str">
        <f t="shared" si="11"/>
        <v>建筑结构</v>
      </c>
      <c r="R34" s="1219" t="s">
        <v>1393</v>
      </c>
      <c r="S34" s="1220">
        <f t="shared" si="12"/>
        <v>100</v>
      </c>
      <c r="T34" s="1219" t="s">
        <v>1393</v>
      </c>
      <c r="U34" s="1220">
        <f t="shared" si="13"/>
        <v>100</v>
      </c>
      <c r="V34" s="1219" t="s">
        <v>1393</v>
      </c>
      <c r="W34" s="1220">
        <f t="shared" si="14"/>
        <v>100</v>
      </c>
      <c r="X34" s="1214"/>
      <c r="Y34" s="3399"/>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5"/>
      <c r="Q35" s="625" t="str">
        <f t="shared" si="11"/>
        <v>公共部分装修</v>
      </c>
      <c r="R35" s="1219" t="s">
        <v>1393</v>
      </c>
      <c r="S35" s="1220">
        <f t="shared" si="12"/>
        <v>100</v>
      </c>
      <c r="T35" s="1219" t="s">
        <v>1393</v>
      </c>
      <c r="U35" s="1220">
        <f t="shared" si="13"/>
        <v>100</v>
      </c>
      <c r="V35" s="1219" t="s">
        <v>1393</v>
      </c>
      <c r="W35" s="1220">
        <f t="shared" si="14"/>
        <v>100</v>
      </c>
      <c r="X35" s="1214"/>
      <c r="Y35" s="3399"/>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95"/>
      <c r="Q36" s="625" t="str">
        <f t="shared" si="11"/>
        <v>成新度</v>
      </c>
      <c r="R36" s="1219" t="s">
        <v>1393</v>
      </c>
      <c r="S36" s="1220">
        <f t="shared" si="12"/>
        <v>100</v>
      </c>
      <c r="T36" s="1219" t="s">
        <v>1393</v>
      </c>
      <c r="U36" s="1220">
        <f t="shared" si="13"/>
        <v>100</v>
      </c>
      <c r="V36" s="1219" t="s">
        <v>1393</v>
      </c>
      <c r="W36" s="1220">
        <f t="shared" si="14"/>
        <v>100</v>
      </c>
      <c r="X36" s="1214"/>
      <c r="Y36" s="3399"/>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5"/>
      <c r="Q37" s="794" t="str">
        <f t="shared" si="11"/>
        <v>市政基础设施</v>
      </c>
      <c r="R37" s="1215" t="s">
        <v>1393</v>
      </c>
      <c r="S37" s="1216">
        <f t="shared" si="12"/>
        <v>100</v>
      </c>
      <c r="T37" s="1215" t="s">
        <v>1393</v>
      </c>
      <c r="U37" s="1216">
        <f t="shared" si="13"/>
        <v>100</v>
      </c>
      <c r="V37" s="1215" t="s">
        <v>1393</v>
      </c>
      <c r="W37" s="1216">
        <f t="shared" si="14"/>
        <v>100</v>
      </c>
      <c r="X37" s="1217"/>
      <c r="Y37" s="3399"/>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95" t="s">
        <v>1421</v>
      </c>
      <c r="Q38" s="625" t="str">
        <f t="shared" si="11"/>
        <v>业态</v>
      </c>
      <c r="R38" s="1219" t="s">
        <v>1393</v>
      </c>
      <c r="S38" s="1220">
        <f t="shared" si="12"/>
        <v>100</v>
      </c>
      <c r="T38" s="1219" t="s">
        <v>1393</v>
      </c>
      <c r="U38" s="1220">
        <f t="shared" si="13"/>
        <v>100</v>
      </c>
      <c r="V38" s="1219" t="s">
        <v>1393</v>
      </c>
      <c r="W38" s="1220">
        <f t="shared" si="14"/>
        <v>100</v>
      </c>
      <c r="X38" s="1214"/>
      <c r="Y38" s="3399"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95"/>
      <c r="Q39" s="625" t="str">
        <f t="shared" si="11"/>
        <v>层高</v>
      </c>
      <c r="R39" s="1219" t="s">
        <v>1393</v>
      </c>
      <c r="S39" s="1220">
        <f t="shared" si="12"/>
        <v>104</v>
      </c>
      <c r="T39" s="1219" t="s">
        <v>1393</v>
      </c>
      <c r="U39" s="1220">
        <f t="shared" si="13"/>
        <v>104</v>
      </c>
      <c r="V39" s="1219" t="s">
        <v>1393</v>
      </c>
      <c r="W39" s="1220">
        <f t="shared" si="14"/>
        <v>104</v>
      </c>
      <c r="X39" s="1214"/>
      <c r="Y39" s="3399"/>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95"/>
      <c r="Q40" s="625" t="str">
        <f t="shared" si="11"/>
        <v>单套建筑面积</v>
      </c>
      <c r="R40" s="1219" t="s">
        <v>1393</v>
      </c>
      <c r="S40" s="1220">
        <f t="shared" si="12"/>
        <v>100</v>
      </c>
      <c r="T40" s="1219" t="s">
        <v>1393</v>
      </c>
      <c r="U40" s="1220">
        <f t="shared" si="13"/>
        <v>100</v>
      </c>
      <c r="V40" s="1219" t="s">
        <v>1393</v>
      </c>
      <c r="W40" s="1220">
        <f t="shared" si="14"/>
        <v>100</v>
      </c>
      <c r="X40" s="1214"/>
      <c r="Y40" s="3399"/>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5"/>
      <c r="Q41" s="1415" t="str">
        <f t="shared" si="11"/>
        <v>进深比</v>
      </c>
      <c r="R41" s="1221" t="s">
        <v>1393</v>
      </c>
      <c r="S41" s="1222">
        <f t="shared" si="12"/>
        <v>100</v>
      </c>
      <c r="T41" s="1221" t="s">
        <v>1393</v>
      </c>
      <c r="U41" s="1222">
        <f t="shared" si="13"/>
        <v>100</v>
      </c>
      <c r="V41" s="1221" t="s">
        <v>1393</v>
      </c>
      <c r="W41" s="1222">
        <f t="shared" si="14"/>
        <v>100</v>
      </c>
      <c r="X41" s="1223"/>
      <c r="Y41" s="3399"/>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95"/>
      <c r="Q42" s="625" t="str">
        <f t="shared" si="11"/>
        <v>内部装修</v>
      </c>
      <c r="R42" s="1219" t="s">
        <v>1393</v>
      </c>
      <c r="S42" s="1220">
        <f t="shared" si="12"/>
        <v>100</v>
      </c>
      <c r="T42" s="1219" t="s">
        <v>1393</v>
      </c>
      <c r="U42" s="1220">
        <f t="shared" si="13"/>
        <v>100</v>
      </c>
      <c r="V42" s="1219" t="s">
        <v>1393</v>
      </c>
      <c r="W42" s="1220">
        <f t="shared" si="14"/>
        <v>100</v>
      </c>
      <c r="X42" s="1214"/>
      <c r="Y42" s="3399"/>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95"/>
      <c r="Q43" s="625" t="str">
        <f t="shared" si="11"/>
        <v>内部装修维护情况</v>
      </c>
      <c r="R43" s="1219" t="s">
        <v>1393</v>
      </c>
      <c r="S43" s="1220">
        <f t="shared" si="12"/>
        <v>100</v>
      </c>
      <c r="T43" s="1219" t="s">
        <v>1393</v>
      </c>
      <c r="U43" s="1220">
        <f t="shared" si="13"/>
        <v>100</v>
      </c>
      <c r="V43" s="1219" t="s">
        <v>1393</v>
      </c>
      <c r="W43" s="1220">
        <f t="shared" si="14"/>
        <v>100</v>
      </c>
      <c r="X43" s="1214"/>
      <c r="Y43" s="3399"/>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95"/>
      <c r="Q44" s="794" t="str">
        <f t="shared" si="11"/>
        <v>户型</v>
      </c>
      <c r="R44" s="1215" t="s">
        <v>1393</v>
      </c>
      <c r="S44" s="1216">
        <f t="shared" si="12"/>
        <v>90</v>
      </c>
      <c r="T44" s="1215" t="s">
        <v>1393</v>
      </c>
      <c r="U44" s="1216">
        <f t="shared" si="13"/>
        <v>90</v>
      </c>
      <c r="V44" s="1215" t="s">
        <v>1393</v>
      </c>
      <c r="W44" s="1216">
        <f t="shared" si="14"/>
        <v>90</v>
      </c>
      <c r="X44" s="1217"/>
      <c r="Y44" s="3399"/>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5"/>
      <c r="Q45" s="625">
        <f t="shared" si="11"/>
        <v>111</v>
      </c>
      <c r="R45" s="1219" t="s">
        <v>1393</v>
      </c>
      <c r="S45" s="1220">
        <f t="shared" si="12"/>
        <v>100</v>
      </c>
      <c r="T45" s="1219" t="s">
        <v>1393</v>
      </c>
      <c r="U45" s="1220">
        <f t="shared" si="13"/>
        <v>100</v>
      </c>
      <c r="V45" s="1219" t="s">
        <v>1393</v>
      </c>
      <c r="W45" s="1220">
        <f t="shared" si="14"/>
        <v>100</v>
      </c>
      <c r="X45" s="1214"/>
      <c r="Y45" s="3399"/>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6"/>
      <c r="Q46" s="625">
        <f t="shared" si="11"/>
        <v>111</v>
      </c>
      <c r="R46" s="1219" t="s">
        <v>1393</v>
      </c>
      <c r="S46" s="1220">
        <f t="shared" si="12"/>
        <v>100</v>
      </c>
      <c r="T46" s="1219" t="s">
        <v>1393</v>
      </c>
      <c r="U46" s="1220">
        <f t="shared" si="13"/>
        <v>100</v>
      </c>
      <c r="V46" s="1219" t="s">
        <v>1393</v>
      </c>
      <c r="W46" s="1220">
        <f t="shared" si="14"/>
        <v>100</v>
      </c>
      <c r="X46" s="1214"/>
      <c r="Y46" s="3400"/>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5" t="str">
        <f>A47</f>
        <v>成交单价（元/平方米）</v>
      </c>
      <c r="Q47" s="3385"/>
      <c r="R47" s="3383">
        <f>E47</f>
        <v>23131</v>
      </c>
      <c r="S47" s="3383"/>
      <c r="T47" s="3383">
        <f>G47</f>
        <v>24588</v>
      </c>
      <c r="U47" s="3383"/>
      <c r="V47" s="3383">
        <f>I47</f>
        <v>24559</v>
      </c>
      <c r="W47" s="3383"/>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85" t="str">
        <f>A48</f>
        <v>比较价值（元/平方米）</v>
      </c>
      <c r="Q48" s="3385"/>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19" t="str">
        <f>A49</f>
        <v>估价对象XX用房的比较价值（楼面单价，元/平方米）</v>
      </c>
      <c r="Q49" s="3420"/>
      <c r="R49" s="3421">
        <f>IF(F1="售价",ROUND(IF(D48="简单平均",AVERAGE(R48:V48),R48*F48+T48*H48+V48*J48),0),ROUND(IF(D48="简单平均",AVERAGE(R48:V48),R48*F48+T48*H48+V48*J48),1))</f>
        <v>24468</v>
      </c>
      <c r="S49" s="3421"/>
      <c r="T49" s="3421"/>
      <c r="U49" s="3421"/>
      <c r="V49" s="3421"/>
      <c r="W49" s="3421"/>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37.42</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294.00139999999999</v>
      </c>
      <c r="C2" s="1826" t="s">
        <v>1187</v>
      </c>
      <c r="D2" s="1827">
        <f ca="1">C40+J29+L46</f>
        <v>2940014</v>
      </c>
      <c r="E2" s="1828" t="s">
        <v>1462</v>
      </c>
      <c r="F2" s="1829"/>
      <c r="G2" s="1830"/>
      <c r="H2" s="1831"/>
      <c r="I2" s="1831"/>
      <c r="J2" s="1831"/>
      <c r="K2" s="1986"/>
      <c r="L2" s="1831"/>
      <c r="M2" s="1831"/>
    </row>
    <row r="3" spans="1:37" ht="18" customHeight="1">
      <c r="A3" s="1832" t="s">
        <v>1188</v>
      </c>
      <c r="B3" s="1833">
        <f ca="1">IF(ISERROR(D2/F43),0,ROUND(D2/F43,0))</f>
        <v>18557</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156328</v>
      </c>
      <c r="D5" s="1842" t="s">
        <v>1197</v>
      </c>
      <c r="E5" s="1843"/>
      <c r="F5" s="1844"/>
      <c r="G5" s="718"/>
      <c r="H5" s="1839">
        <v>1</v>
      </c>
      <c r="I5" s="1840" t="s">
        <v>1196</v>
      </c>
      <c r="J5" s="1841">
        <f ca="1">J6+J10+J12</f>
        <v>0</v>
      </c>
      <c r="K5" s="1842" t="s">
        <v>1197</v>
      </c>
      <c r="L5" s="1843"/>
      <c r="M5" s="1844"/>
    </row>
    <row r="6" spans="1:37" ht="18" customHeight="1">
      <c r="A6" s="1845" t="s">
        <v>939</v>
      </c>
      <c r="B6" s="3361" t="s">
        <v>1198</v>
      </c>
      <c r="C6" s="1846">
        <f ca="1">ROUND(F6*F8*F7*(1-F9),0)</f>
        <v>156133</v>
      </c>
      <c r="D6" s="1847" t="s">
        <v>1463</v>
      </c>
      <c r="E6" s="1848" t="s">
        <v>1200</v>
      </c>
      <c r="F6" s="1849">
        <f ca="1">INDIRECT("'数据-取费表'!u"&amp;$G$1)</f>
        <v>3</v>
      </c>
      <c r="G6" s="718"/>
      <c r="H6" s="1845" t="s">
        <v>939</v>
      </c>
      <c r="I6" s="3361" t="s">
        <v>1198</v>
      </c>
      <c r="J6" s="1919">
        <f ca="1">ROUND(M6*M8*M7*(1-M9),0)</f>
        <v>0</v>
      </c>
      <c r="K6" s="1989" t="s">
        <v>1464</v>
      </c>
      <c r="L6" s="1848" t="s">
        <v>1200</v>
      </c>
      <c r="M6" s="1849">
        <f ca="1">INDIRECT("'数据-取费表'!z"&amp;$G$1)</f>
        <v>0</v>
      </c>
    </row>
    <row r="7" spans="1:37" ht="18" customHeight="1">
      <c r="A7" s="1850"/>
      <c r="B7" s="3362"/>
      <c r="C7" s="1851"/>
      <c r="D7" s="1852"/>
      <c r="E7" s="1853" t="s">
        <v>1202</v>
      </c>
      <c r="F7" s="1849">
        <f ca="1">IF(INDIRECT("'数据-取费表'!ah"&amp;$G$1)="",INDIRECT("'数据-取费表'!k"&amp;$G$1),INDIRECT("'数据-取费表'!ah"&amp;$G$1))</f>
        <v>158.43</v>
      </c>
      <c r="G7" s="718"/>
      <c r="H7" s="1854"/>
      <c r="I7" s="3362"/>
      <c r="J7" s="1855"/>
      <c r="K7" s="1852"/>
      <c r="L7" s="1848" t="s">
        <v>1202</v>
      </c>
      <c r="M7" s="1849">
        <f ca="1">F7</f>
        <v>158.43</v>
      </c>
    </row>
    <row r="8" spans="1:37" ht="18" customHeight="1">
      <c r="A8" s="1854"/>
      <c r="B8" s="3362"/>
      <c r="C8" s="1855"/>
      <c r="D8" s="1852"/>
      <c r="E8" s="1848" t="s">
        <v>1203</v>
      </c>
      <c r="F8" s="1849">
        <f ca="1">INDIRECT("'数据-取费表'!ai"&amp;$G$1)</f>
        <v>365</v>
      </c>
      <c r="G8" s="718"/>
      <c r="H8" s="1854"/>
      <c r="I8" s="3362"/>
      <c r="J8" s="1855"/>
      <c r="K8" s="1852"/>
      <c r="L8" s="1848" t="s">
        <v>1203</v>
      </c>
      <c r="M8" s="1849">
        <f ca="1">INDIRECT("'数据-取费表'!ai"&amp;$G$1)</f>
        <v>365</v>
      </c>
    </row>
    <row r="9" spans="1:37" ht="18" customHeight="1">
      <c r="A9" s="1854"/>
      <c r="B9" s="3363"/>
      <c r="C9" s="1855"/>
      <c r="D9" s="1852"/>
      <c r="E9" s="1848" t="s">
        <v>1204</v>
      </c>
      <c r="F9" s="1856">
        <f ca="1">INDIRECT("'数据-取费表'!w"&amp;$G$1)</f>
        <v>0.1</v>
      </c>
      <c r="G9" s="718"/>
      <c r="H9" s="1854"/>
      <c r="I9" s="3363"/>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195</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897290</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712935</v>
      </c>
      <c r="D14" s="1879" t="s">
        <v>1215</v>
      </c>
      <c r="E14" s="1880"/>
      <c r="F14" s="1881"/>
      <c r="G14" s="718"/>
      <c r="H14" s="1877" t="s">
        <v>939</v>
      </c>
      <c r="I14" s="1848" t="s">
        <v>1216</v>
      </c>
      <c r="J14" s="950">
        <f ca="1">C29</f>
        <v>1055635</v>
      </c>
      <c r="K14" s="1998"/>
      <c r="L14" s="1999"/>
      <c r="M14" s="2000"/>
    </row>
    <row r="15" spans="1:37" s="1816" customFormat="1" ht="18" customHeight="1">
      <c r="A15" s="1877" t="s">
        <v>966</v>
      </c>
      <c r="B15" s="1848" t="s">
        <v>1145</v>
      </c>
      <c r="C15" s="950">
        <f ca="1">ROUND(C14*F15,0)</f>
        <v>42776</v>
      </c>
      <c r="D15" s="1882" t="s">
        <v>1217</v>
      </c>
      <c r="E15" s="1882" t="s">
        <v>1218</v>
      </c>
      <c r="F15" s="1883">
        <f>'数据-取费表'!B33</f>
        <v>0.06</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2111</v>
      </c>
      <c r="K16" s="1897" t="s">
        <v>1221</v>
      </c>
      <c r="L16" s="1898"/>
      <c r="M16" s="1844"/>
    </row>
    <row r="17" spans="1:37" s="1816" customFormat="1" ht="18" customHeight="1">
      <c r="A17" s="1877" t="s">
        <v>1222</v>
      </c>
      <c r="B17" s="1848" t="s">
        <v>1223</v>
      </c>
      <c r="C17" s="950">
        <f ca="1">ROUND(F17*(F43+INDIRECT("'数据-取费表'!S"&amp;$G$1)),0)</f>
        <v>31686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14259</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5.5000000000000007E-2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801656</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24050</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2111</v>
      </c>
      <c r="K22" s="1901" t="s">
        <v>1247</v>
      </c>
      <c r="L22" s="1848" t="s">
        <v>1218</v>
      </c>
      <c r="M22" s="1913">
        <f ca="1">INDIRECT("'数据-取费表'!Ak"&amp;$G$1)</f>
        <v>2E-3</v>
      </c>
    </row>
    <row r="23" spans="1:37" s="1816" customFormat="1" ht="18" customHeight="1">
      <c r="A23" s="1877" t="s">
        <v>962</v>
      </c>
      <c r="B23" s="1848" t="s">
        <v>1248</v>
      </c>
      <c r="C23" s="950">
        <f ca="1">IF('数据-取费表'!B22&lt;=1,ROUND(C19*F24*F23/2,0)+ROUND(C20*F24*F23/2,0),ROUND(C19*(POWER((1+F24),F23/2)-1),0)+ROUND(C20*(POWER((1+F24),F23/2)-1),0))</f>
        <v>25845</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-2111</v>
      </c>
      <c r="K25" s="1916" t="s">
        <v>1259</v>
      </c>
      <c r="L25" s="1917"/>
      <c r="M25" s="1918"/>
    </row>
    <row r="26" spans="1:37" ht="18" customHeight="1">
      <c r="A26" s="1877" t="s">
        <v>962</v>
      </c>
      <c r="B26" s="1848" t="s">
        <v>1260</v>
      </c>
      <c r="C26" s="950">
        <f ca="1">ROUND((C19+C20)*F26,0)</f>
        <v>123856</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5.2400000000000002E-2</v>
      </c>
      <c r="D28" s="1889" t="s">
        <v>1272</v>
      </c>
      <c r="E28" s="1848" t="s">
        <v>1218</v>
      </c>
      <c r="F28" s="1886">
        <f>'数据-取费表'!B41</f>
        <v>5.5000000000000007E-2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1055635</v>
      </c>
      <c r="D29" s="1894"/>
      <c r="E29" s="1870"/>
      <c r="F29" s="1895"/>
      <c r="G29" s="1884"/>
      <c r="H29" s="1896" t="s">
        <v>1275</v>
      </c>
      <c r="I29" s="1925" t="s">
        <v>1276</v>
      </c>
      <c r="J29" s="1926">
        <f ca="1">ROUND(J26/(1+F40)^F41,0)</f>
        <v>0</v>
      </c>
      <c r="K29" s="1927" t="s">
        <v>1277</v>
      </c>
      <c r="L29" s="1928"/>
      <c r="M29" s="1929">
        <f ca="1">INDIRECT("'数据-取费表'!k"&amp;$G$1)</f>
        <v>158.43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14199</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10409</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5.5000000000000007E-2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2111</v>
      </c>
      <c r="D36" s="1901" t="s">
        <v>1279</v>
      </c>
      <c r="E36" s="1848" t="s">
        <v>1218</v>
      </c>
      <c r="F36" s="1913">
        <f ca="1">INDIRECT("'数据-取费表'!Ak"&amp;$G$1)</f>
        <v>2E-3</v>
      </c>
      <c r="G36" s="718"/>
      <c r="H36" s="1905"/>
      <c r="I36" s="2005"/>
      <c r="J36" s="2006"/>
      <c r="K36" s="2012"/>
      <c r="L36" s="1905"/>
      <c r="M36" s="1905"/>
    </row>
    <row r="37" spans="1:18" ht="18" customHeight="1">
      <c r="A37" s="1877" t="s">
        <v>988</v>
      </c>
      <c r="B37" s="1848" t="s">
        <v>1250</v>
      </c>
      <c r="C37" s="950">
        <f ca="1">ROUND(C13*F37,0)</f>
        <v>897</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782</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142129</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2911813</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37.42</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18379</v>
      </c>
      <c r="D43" s="1927" t="s">
        <v>1282</v>
      </c>
      <c r="E43" s="1928" t="s">
        <v>1283</v>
      </c>
      <c r="F43" s="1929">
        <f ca="1">INDIRECT("'数据-取费表'!k"&amp;$G$1)</f>
        <v>158.43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-295.9128</v>
      </c>
      <c r="D45" s="1934" t="s">
        <v>1470</v>
      </c>
      <c r="E45" s="1930"/>
      <c r="F45" s="1930"/>
      <c r="O45" s="2014" t="s">
        <v>1284</v>
      </c>
      <c r="P45" s="1920"/>
      <c r="Q45" s="1920"/>
      <c r="R45" s="1920"/>
    </row>
    <row r="46" spans="1:18" s="718" customFormat="1">
      <c r="A46" s="1935" t="s">
        <v>1285</v>
      </c>
      <c r="C46" s="1936">
        <f ca="1">ROUND(C45,0)</f>
        <v>-296</v>
      </c>
      <c r="D46" s="1937" t="str">
        <f>C2</f>
        <v>万元</v>
      </c>
      <c r="I46" s="2015" t="s">
        <v>1286</v>
      </c>
      <c r="J46" s="2016"/>
      <c r="K46" s="2017"/>
      <c r="L46" s="2018">
        <f ca="1">IF(M47="住宅",0,IF(L48&gt;J51,L60,J60))</f>
        <v>28201</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2911813</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37.42</v>
      </c>
      <c r="O48" s="2026" t="s">
        <v>1047</v>
      </c>
      <c r="P48" s="2027" t="s">
        <v>1298</v>
      </c>
      <c r="Q48" s="2063">
        <f ca="1">J60</f>
        <v>28201</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1055635</v>
      </c>
      <c r="R49" s="2063" t="s">
        <v>1294</v>
      </c>
    </row>
    <row r="50" spans="1:18" s="718" customFormat="1">
      <c r="A50" s="1953"/>
      <c r="B50" s="915"/>
      <c r="C50" s="1954"/>
      <c r="D50" s="1955"/>
      <c r="E50" s="1956" t="s">
        <v>1202</v>
      </c>
      <c r="F50" s="1957">
        <f ca="1">F7</f>
        <v>158.43</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1454624</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37.42</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37.42</v>
      </c>
      <c r="K53" s="3359" t="s">
        <v>1322</v>
      </c>
      <c r="L53" s="3360"/>
      <c r="O53" s="2026" t="s">
        <v>1147</v>
      </c>
      <c r="P53" s="2027" t="s">
        <v>1323</v>
      </c>
      <c r="Q53" s="2063">
        <f ca="1">Q47+Q48</f>
        <v>2940014</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0.22600000000000001</v>
      </c>
      <c r="K55" s="2049" t="s">
        <v>1327</v>
      </c>
      <c r="L55" s="2050"/>
      <c r="O55" s="2019" t="s">
        <v>1287</v>
      </c>
      <c r="P55" s="2020" t="s">
        <v>1288</v>
      </c>
      <c r="Q55" s="2062" t="s">
        <v>1289</v>
      </c>
      <c r="R55" s="2062" t="s">
        <v>1290</v>
      </c>
    </row>
    <row r="56" spans="1:18" s="718" customFormat="1" ht="36" customHeight="1">
      <c r="A56" s="1965">
        <v>2</v>
      </c>
      <c r="B56" s="1966" t="s">
        <v>1211</v>
      </c>
      <c r="C56" s="376">
        <f ca="1">C13</f>
        <v>897290</v>
      </c>
      <c r="D56" s="1967"/>
      <c r="E56" s="1968"/>
      <c r="F56" s="1964"/>
      <c r="I56" s="2051" t="s">
        <v>1328</v>
      </c>
      <c r="J56" s="2052" t="s">
        <v>534</v>
      </c>
      <c r="K56" s="2028" t="s">
        <v>1329</v>
      </c>
      <c r="L56" s="2031" t="str">
        <f ca="1">IF(L48&lt;J51,"——",L48-J51)</f>
        <v>——</v>
      </c>
      <c r="O56" s="2026" t="s">
        <v>1044</v>
      </c>
      <c r="P56" s="2027" t="s">
        <v>1293</v>
      </c>
      <c r="Q56" s="2063">
        <f ca="1">C40+J29</f>
        <v>2911813</v>
      </c>
      <c r="R56" s="2063" t="s">
        <v>1294</v>
      </c>
    </row>
    <row r="57" spans="1:18" s="718" customFormat="1" ht="24">
      <c r="A57" s="1969"/>
      <c r="B57" s="1970" t="s">
        <v>1274</v>
      </c>
      <c r="C57" s="386">
        <f ca="1">C29</f>
        <v>1055635</v>
      </c>
      <c r="D57" s="1971"/>
      <c r="E57" s="1972"/>
      <c r="F57" s="1973"/>
      <c r="I57" s="2053" t="s">
        <v>1330</v>
      </c>
      <c r="J57" s="2054">
        <f ca="1">IF(OR(M47="住宅",J51&lt;L48,J56="是"),"——",J51-L48)</f>
        <v>13.579999999999998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3008</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422254</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5.5000000000000007E-2</v>
      </c>
      <c r="I60" s="2056" t="s">
        <v>1339</v>
      </c>
      <c r="J60" s="2057">
        <f ca="1">IF(OR(M47="住宅",J51&lt;L48,J56="是"),"0",ROUND(J59/(1+J52)^J53,0))</f>
        <v>28201</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2911813</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2111</v>
      </c>
      <c r="D64" s="1978" t="s">
        <v>1279</v>
      </c>
      <c r="E64" s="1970" t="s">
        <v>1218</v>
      </c>
      <c r="F64" s="1913">
        <f t="shared" ca="1" si="0"/>
        <v>2E-3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897</v>
      </c>
      <c r="D65" s="1978" t="s">
        <v>1251</v>
      </c>
      <c r="E65" s="1970" t="s">
        <v>1218</v>
      </c>
      <c r="F65" s="1914">
        <f t="shared" ca="1" si="0"/>
        <v>1E-3</v>
      </c>
      <c r="I65" s="2059" t="s">
        <v>1352</v>
      </c>
      <c r="J65" s="1139">
        <v>40</v>
      </c>
      <c r="K65" s="1139">
        <v>30</v>
      </c>
      <c r="L65" s="1139">
        <v>50</v>
      </c>
      <c r="M65" s="2061">
        <v>0.02</v>
      </c>
      <c r="O65" s="2026" t="s">
        <v>1044</v>
      </c>
      <c r="P65" s="2027" t="s">
        <v>1293</v>
      </c>
      <c r="Q65" s="2063">
        <f ca="1">C40+J29</f>
        <v>2911813</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-3008</v>
      </c>
      <c r="D67" s="1977" t="s">
        <v>1259</v>
      </c>
      <c r="E67" s="2066"/>
      <c r="F67" s="2067"/>
      <c r="O67" s="2034" t="s">
        <v>1305</v>
      </c>
      <c r="P67" s="2027" t="s">
        <v>1336</v>
      </c>
      <c r="Q67" s="2087">
        <f ca="1">L51</f>
        <v>1454624</v>
      </c>
      <c r="R67" s="2063" t="s">
        <v>1353</v>
      </c>
    </row>
    <row r="68" spans="1:18" s="718" customFormat="1" ht="15.75">
      <c r="A68" s="2068" t="s">
        <v>1263</v>
      </c>
      <c r="B68" s="2069" t="s">
        <v>1280</v>
      </c>
      <c r="C68" s="1919">
        <f ca="1">ROUND(C67*(1-((1+F70)/(1+F68))^F69)/(F68-F70),0)</f>
        <v>-47315</v>
      </c>
      <c r="D68" s="1980" t="s">
        <v>1265</v>
      </c>
      <c r="E68" s="1970" t="s">
        <v>1266</v>
      </c>
      <c r="F68" s="1856">
        <f ca="1">F40</f>
        <v>5.5E-2</v>
      </c>
      <c r="O68" s="2034" t="s">
        <v>1309</v>
      </c>
      <c r="P68" s="2086" t="s">
        <v>1354</v>
      </c>
      <c r="Q68" s="2063">
        <f ca="1">ROUND(Q69-Q70*Q71,0)</f>
        <v>79319</v>
      </c>
      <c r="R68" s="2063" t="s">
        <v>1355</v>
      </c>
    </row>
    <row r="69" spans="1:18" s="718" customFormat="1">
      <c r="A69" s="2070"/>
      <c r="B69" s="2071"/>
      <c r="C69" s="1855"/>
      <c r="D69" s="2072" t="s">
        <v>1269</v>
      </c>
      <c r="E69" s="1970" t="s">
        <v>1270</v>
      </c>
      <c r="F69" s="1923">
        <f ca="1">F41</f>
        <v>37.42</v>
      </c>
      <c r="O69" s="2034" t="s">
        <v>1356</v>
      </c>
      <c r="P69" s="2086" t="s">
        <v>1357</v>
      </c>
      <c r="Q69" s="2063">
        <f ca="1">C39</f>
        <v>142129</v>
      </c>
      <c r="R69" s="2063" t="s">
        <v>1294</v>
      </c>
    </row>
    <row r="70" spans="1:18" s="718" customFormat="1">
      <c r="A70" s="2073"/>
      <c r="B70" s="2074"/>
      <c r="C70" s="1874"/>
      <c r="D70" s="1982"/>
      <c r="E70" s="1970" t="s">
        <v>1273</v>
      </c>
      <c r="F70" s="1960"/>
      <c r="O70" s="2034" t="s">
        <v>1358</v>
      </c>
      <c r="P70" s="2086" t="s">
        <v>1359</v>
      </c>
      <c r="Q70" s="2063">
        <f ca="1">C13</f>
        <v>897290</v>
      </c>
      <c r="R70" s="2063" t="s">
        <v>1294</v>
      </c>
    </row>
    <row r="71" spans="1:18" s="718" customFormat="1">
      <c r="A71" s="2075" t="s">
        <v>1275</v>
      </c>
      <c r="B71" s="2076" t="s">
        <v>1281</v>
      </c>
      <c r="C71" s="1926">
        <f ca="1">ROUND(C68/F71,0)</f>
        <v>-299</v>
      </c>
      <c r="D71" s="2077" t="s">
        <v>1282</v>
      </c>
      <c r="E71" s="2078" t="s">
        <v>1283</v>
      </c>
      <c r="F71" s="1929">
        <f ca="1">F43</f>
        <v>158.43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62810</v>
      </c>
      <c r="D75" s="718"/>
      <c r="E75" s="718"/>
      <c r="F75" s="718"/>
      <c r="K75" s="2013"/>
      <c r="L75" s="718"/>
      <c r="O75" s="2026" t="s">
        <v>1147</v>
      </c>
      <c r="P75" s="2027" t="s">
        <v>1323</v>
      </c>
      <c r="Q75" s="2063">
        <f ca="1">Q65+Q66</f>
        <v>2911813</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0.55800000000000005</v>
      </c>
    </row>
    <row r="80" spans="1:18">
      <c r="B80" s="2080" t="s">
        <v>1369</v>
      </c>
      <c r="C80" s="419">
        <f ca="1">ROUND(C75/C39,3)</f>
        <v>0.442</v>
      </c>
    </row>
    <row r="81" spans="2:3">
      <c r="B81" s="416" t="s">
        <v>1370</v>
      </c>
      <c r="C81" s="386"/>
    </row>
    <row r="82" spans="2:3">
      <c r="B82" s="418" t="s">
        <v>1123</v>
      </c>
      <c r="C82" s="420">
        <f ca="1">1-C83</f>
        <v>0.69199999999999995</v>
      </c>
    </row>
    <row r="83" spans="2:3">
      <c r="B83" s="418" t="s">
        <v>1124</v>
      </c>
      <c r="C83" s="419">
        <f ca="1">ROUND(C13/C40,3)</f>
        <v>0.308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7" t="s">
        <v>1479</v>
      </c>
      <c r="K2" s="3438"/>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31" t="s">
        <v>1487</v>
      </c>
      <c r="K3" s="3432"/>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31" t="s">
        <v>1489</v>
      </c>
      <c r="K4" s="3432"/>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41" t="s">
        <v>1493</v>
      </c>
      <c r="B6" s="3442"/>
      <c r="C6" s="3443"/>
      <c r="D6" s="1671"/>
      <c r="E6" s="1672"/>
      <c r="F6" s="1673"/>
      <c r="G6" s="1674"/>
      <c r="H6" s="1662"/>
      <c r="I6" s="1747"/>
      <c r="J6" s="3425">
        <v>1</v>
      </c>
      <c r="K6" s="3428"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25"/>
      <c r="K7" s="3429"/>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9" t="s">
        <v>1507</v>
      </c>
      <c r="C8" s="3440"/>
      <c r="D8" s="1685" t="s">
        <v>1508</v>
      </c>
      <c r="E8" s="1686" t="s">
        <v>1509</v>
      </c>
      <c r="F8" s="1687" t="s">
        <v>1510</v>
      </c>
      <c r="G8" s="1688"/>
      <c r="H8" s="1662"/>
      <c r="I8" s="1747"/>
      <c r="J8" s="3425"/>
      <c r="K8" s="3429"/>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9" t="s">
        <v>1513</v>
      </c>
      <c r="C9" s="3440"/>
      <c r="D9" s="1685">
        <f>ROUND(D6*E9,0)</f>
        <v>0</v>
      </c>
      <c r="E9" s="1689"/>
      <c r="F9" s="1690" t="s">
        <v>1514</v>
      </c>
      <c r="G9" s="1674"/>
      <c r="H9" s="1662"/>
      <c r="I9" s="1747"/>
      <c r="J9" s="3425"/>
      <c r="K9" s="3429"/>
      <c r="L9" s="1767" t="s">
        <v>1515</v>
      </c>
      <c r="M9" s="1768"/>
      <c r="N9" s="1667"/>
      <c r="O9" s="1769"/>
      <c r="P9" s="1769"/>
      <c r="Q9" s="1700">
        <v>365</v>
      </c>
      <c r="R9" s="1801">
        <f t="shared" si="0"/>
        <v>0</v>
      </c>
      <c r="S9" s="1716"/>
      <c r="T9" s="1716"/>
      <c r="U9" s="1716"/>
      <c r="V9" s="1747"/>
    </row>
    <row r="10" spans="1:22" s="1644" customFormat="1" ht="13.15" customHeight="1">
      <c r="A10" s="1682">
        <v>2</v>
      </c>
      <c r="B10" s="3439" t="s">
        <v>1516</v>
      </c>
      <c r="C10" s="3440"/>
      <c r="D10" s="1685">
        <f>ROUND(D6*E10,0)</f>
        <v>0</v>
      </c>
      <c r="E10" s="1689"/>
      <c r="F10" s="1690" t="s">
        <v>1517</v>
      </c>
      <c r="G10" s="1674"/>
      <c r="H10" s="1662"/>
      <c r="I10" s="1747"/>
      <c r="J10" s="3425"/>
      <c r="K10" s="3429"/>
      <c r="L10" s="1767" t="s">
        <v>1518</v>
      </c>
      <c r="M10" s="1768"/>
      <c r="N10" s="1667"/>
      <c r="O10" s="1769"/>
      <c r="P10" s="1769"/>
      <c r="Q10" s="1700">
        <v>365</v>
      </c>
      <c r="R10" s="1801">
        <f t="shared" si="0"/>
        <v>0</v>
      </c>
      <c r="S10" s="1716"/>
      <c r="T10" s="1716"/>
      <c r="U10" s="1716"/>
      <c r="V10" s="1747"/>
    </row>
    <row r="11" spans="1:22" s="1644" customFormat="1" ht="13.15" customHeight="1">
      <c r="A11" s="1682">
        <v>3</v>
      </c>
      <c r="B11" s="3439" t="s">
        <v>1519</v>
      </c>
      <c r="C11" s="3440"/>
      <c r="D11" s="1685">
        <f>D12+D14+D15+D16</f>
        <v>0</v>
      </c>
      <c r="E11" s="1691" t="e">
        <f>D11/D6</f>
        <v>#DIV/0!</v>
      </c>
      <c r="F11" s="1687"/>
      <c r="G11" s="1688"/>
      <c r="H11" s="1662"/>
      <c r="I11" s="1747"/>
      <c r="J11" s="3425"/>
      <c r="K11" s="3429"/>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3" t="s">
        <v>1522</v>
      </c>
      <c r="C12" s="3434"/>
      <c r="D12" s="1695">
        <f>ROUND(D13*1.2%*(1-30%),0)</f>
        <v>0</v>
      </c>
      <c r="E12" s="1696">
        <v>1.2E-2</v>
      </c>
      <c r="F12" s="1687" t="s">
        <v>1523</v>
      </c>
      <c r="G12" s="1688"/>
      <c r="H12" s="1662"/>
      <c r="I12" s="1747"/>
      <c r="J12" s="3425"/>
      <c r="K12" s="3429"/>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25"/>
      <c r="K13" s="3429"/>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3" t="s">
        <v>1528</v>
      </c>
      <c r="C14" s="3434"/>
      <c r="D14" s="1695">
        <f>ROUND(E14*B5/10000,0)</f>
        <v>0</v>
      </c>
      <c r="E14" s="1700"/>
      <c r="F14" s="1687" t="s">
        <v>1529</v>
      </c>
      <c r="G14" s="1688"/>
      <c r="H14" s="1662"/>
      <c r="I14" s="1747"/>
      <c r="J14" s="3425"/>
      <c r="K14" s="3430"/>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3" t="s">
        <v>1532</v>
      </c>
      <c r="C15" s="3434"/>
      <c r="D15" s="1695">
        <f>ROUND(D6*E15,0)</f>
        <v>0</v>
      </c>
      <c r="E15" s="1696">
        <v>5.5E-2</v>
      </c>
      <c r="F15" s="1687" t="s">
        <v>1533</v>
      </c>
      <c r="G15" s="1674"/>
      <c r="H15" s="1662"/>
      <c r="I15" s="1747"/>
      <c r="J15" s="3425">
        <v>2</v>
      </c>
      <c r="K15" s="3428"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3" t="s">
        <v>1540</v>
      </c>
      <c r="C16" s="3434"/>
      <c r="D16" s="1701">
        <f>D6*E16</f>
        <v>0</v>
      </c>
      <c r="E16" s="1702"/>
      <c r="F16" s="1690" t="s">
        <v>1541</v>
      </c>
      <c r="G16" s="1674"/>
      <c r="H16" s="1662"/>
      <c r="I16" s="1747"/>
      <c r="J16" s="3425"/>
      <c r="K16" s="3429"/>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5" t="s">
        <v>1543</v>
      </c>
      <c r="C17" s="3436"/>
      <c r="D17" s="1704">
        <f>ROUND(D6*E17,0)</f>
        <v>0</v>
      </c>
      <c r="E17" s="1705"/>
      <c r="F17" s="1706" t="s">
        <v>1544</v>
      </c>
      <c r="G17" s="1674"/>
      <c r="H17" s="1662"/>
      <c r="I17" s="1747"/>
      <c r="J17" s="3425"/>
      <c r="K17" s="3429"/>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25"/>
      <c r="K18" s="3429"/>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25"/>
      <c r="K19" s="3430"/>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25">
        <v>3</v>
      </c>
      <c r="K20" s="3428"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25"/>
      <c r="K21" s="3429"/>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25"/>
      <c r="K22" s="3429"/>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25"/>
      <c r="K23" s="3429"/>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25"/>
      <c r="K24" s="3430"/>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26">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7"/>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7" t="s">
        <v>1479</v>
      </c>
      <c r="K32" s="3438"/>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31" t="s">
        <v>1487</v>
      </c>
      <c r="K33" s="3432"/>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31" t="s">
        <v>1489</v>
      </c>
      <c r="K34" s="3432"/>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25">
        <v>1</v>
      </c>
      <c r="K36" s="3428"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25"/>
      <c r="K37" s="3429"/>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25"/>
      <c r="K38" s="3429"/>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25"/>
      <c r="K39" s="3429"/>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25"/>
      <c r="K40" s="3430"/>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26">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7"/>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294.00139999999999</v>
      </c>
      <c r="C2" s="1629" t="s">
        <v>1590</v>
      </c>
      <c r="D2" s="1630" t="s">
        <v>1591</v>
      </c>
      <c r="E2" s="1631">
        <f>SUM(E6:E13)</f>
        <v>158.43</v>
      </c>
      <c r="F2" s="1627"/>
      <c r="G2" s="1507"/>
      <c r="H2" s="1507"/>
      <c r="I2" s="1507"/>
      <c r="J2" s="1507"/>
      <c r="K2" s="1507"/>
      <c r="L2" s="1507"/>
      <c r="M2" s="1507"/>
      <c r="N2" s="1507"/>
      <c r="O2" s="1507"/>
      <c r="P2" s="1507"/>
      <c r="Q2" s="1507"/>
      <c r="R2" s="1507"/>
      <c r="S2" s="1507"/>
    </row>
    <row r="3" spans="1:22" ht="15.75">
      <c r="A3" s="1628" t="s">
        <v>1031</v>
      </c>
      <c r="B3" s="1632">
        <f ca="1">ROUND(B2*10000/E2,0)</f>
        <v>18557</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4" t="s">
        <v>1594</v>
      </c>
      <c r="C5" s="3445"/>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294.00139999999999</v>
      </c>
      <c r="C6" s="1629" t="s">
        <v>1590</v>
      </c>
      <c r="D6" s="1627"/>
      <c r="E6" s="1639">
        <f>IF(OR(A6=0,F6="否"),0,'数据-取费表'!K6+'数据-取费表'!S6)</f>
        <v>158.43</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158.43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6" t="s">
        <v>1379</v>
      </c>
      <c r="D4" s="3407"/>
      <c r="E4" s="3408" t="s">
        <v>1380</v>
      </c>
      <c r="F4" s="3409"/>
      <c r="G4" s="3406" t="s">
        <v>1381</v>
      </c>
      <c r="H4" s="3407"/>
      <c r="I4" s="3406" t="s">
        <v>1382</v>
      </c>
      <c r="J4" s="3407"/>
      <c r="K4" s="1561" t="s">
        <v>1383</v>
      </c>
      <c r="L4" s="1172"/>
      <c r="M4" s="1122"/>
      <c r="N4" s="1122"/>
      <c r="O4" s="1122"/>
      <c r="P4" s="3413" t="s">
        <v>1384</v>
      </c>
      <c r="Q4" s="3414"/>
      <c r="R4" s="3417" t="s">
        <v>1380</v>
      </c>
      <c r="S4" s="3418"/>
      <c r="T4" s="3417" t="s">
        <v>1381</v>
      </c>
      <c r="U4" s="3418"/>
      <c r="V4" s="3383" t="s">
        <v>1382</v>
      </c>
      <c r="W4" s="3383"/>
      <c r="X4" s="1214"/>
      <c r="Y4" s="3417" t="s">
        <v>1384</v>
      </c>
      <c r="Z4" s="3418"/>
      <c r="AA4" s="3412" t="s">
        <v>1380</v>
      </c>
      <c r="AB4" s="3412" t="s">
        <v>1381</v>
      </c>
      <c r="AC4" s="3412" t="s">
        <v>1382</v>
      </c>
    </row>
    <row r="5" spans="1:29" ht="15">
      <c r="A5" s="1029"/>
      <c r="B5" s="1030"/>
      <c r="C5" s="3422" t="s">
        <v>1385</v>
      </c>
      <c r="D5" s="3411"/>
      <c r="E5" s="3423" t="s">
        <v>1386</v>
      </c>
      <c r="F5" s="3424"/>
      <c r="G5" s="3422" t="s">
        <v>1387</v>
      </c>
      <c r="H5" s="3411"/>
      <c r="I5" s="3422" t="s">
        <v>1388</v>
      </c>
      <c r="J5" s="3411"/>
      <c r="K5" s="1562"/>
      <c r="L5" s="1172"/>
      <c r="M5" s="1122"/>
      <c r="N5" s="1122"/>
      <c r="O5" s="1122"/>
      <c r="P5" s="3415"/>
      <c r="Q5" s="3373"/>
      <c r="R5" s="3378"/>
      <c r="S5" s="3379"/>
      <c r="T5" s="3378"/>
      <c r="U5" s="3379"/>
      <c r="V5" s="3383"/>
      <c r="W5" s="3383"/>
      <c r="X5" s="1214"/>
      <c r="Y5" s="3378"/>
      <c r="Z5" s="3379"/>
      <c r="AA5" s="3365"/>
      <c r="AB5" s="3365"/>
      <c r="AC5" s="3365"/>
    </row>
    <row r="6" spans="1:29" ht="15">
      <c r="A6" s="1031"/>
      <c r="B6" s="1032"/>
      <c r="C6" s="3401" t="s">
        <v>1389</v>
      </c>
      <c r="D6" s="3402"/>
      <c r="E6" s="3403" t="s">
        <v>1389</v>
      </c>
      <c r="F6" s="3404"/>
      <c r="G6" s="3401" t="s">
        <v>1389</v>
      </c>
      <c r="H6" s="3402"/>
      <c r="I6" s="3401" t="s">
        <v>1389</v>
      </c>
      <c r="J6" s="3402"/>
      <c r="K6" s="1562" t="s">
        <v>1390</v>
      </c>
      <c r="L6" s="1172"/>
      <c r="M6" s="1122"/>
      <c r="N6" s="1122"/>
      <c r="O6" s="1122"/>
      <c r="P6" s="3416"/>
      <c r="Q6" s="3375"/>
      <c r="R6" s="3378"/>
      <c r="S6" s="3379"/>
      <c r="T6" s="3380"/>
      <c r="U6" s="3381"/>
      <c r="V6" s="3383"/>
      <c r="W6" s="3383"/>
      <c r="X6" s="1214"/>
      <c r="Y6" s="3380"/>
      <c r="Z6" s="3381"/>
      <c r="AA6" s="3366"/>
      <c r="AB6" s="3366"/>
      <c r="AC6" s="3366"/>
    </row>
    <row r="7" spans="1:29" s="1008" customFormat="1" ht="15">
      <c r="A7" s="1033" t="s">
        <v>1391</v>
      </c>
      <c r="B7" s="1034"/>
      <c r="C7" s="1035">
        <f>'数据-取费表'!B2</f>
        <v>45975</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89" t="s">
        <v>1392</v>
      </c>
      <c r="Q7" s="3405"/>
      <c r="R7" s="1215" t="s">
        <v>1393</v>
      </c>
      <c r="S7" s="1216">
        <f t="shared" ref="S7:S15" si="0">F7</f>
        <v>0</v>
      </c>
      <c r="T7" s="1215" t="s">
        <v>1393</v>
      </c>
      <c r="U7" s="1216">
        <f t="shared" ref="U7:U15" si="1">H7</f>
        <v>0</v>
      </c>
      <c r="V7" s="1215" t="s">
        <v>1393</v>
      </c>
      <c r="W7" s="1216">
        <f t="shared" ref="W7:W15" si="2">J7</f>
        <v>0</v>
      </c>
      <c r="X7" s="1217"/>
      <c r="Y7" s="3389" t="s">
        <v>1392</v>
      </c>
      <c r="Z7" s="3390"/>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89" t="s">
        <v>1397</v>
      </c>
      <c r="Q8" s="3390"/>
      <c r="R8" s="1215" t="s">
        <v>1393</v>
      </c>
      <c r="S8" s="1216">
        <f t="shared" si="0"/>
        <v>100</v>
      </c>
      <c r="T8" s="1215" t="s">
        <v>1393</v>
      </c>
      <c r="U8" s="1216">
        <f t="shared" si="1"/>
        <v>100</v>
      </c>
      <c r="V8" s="1215" t="s">
        <v>1393</v>
      </c>
      <c r="W8" s="1216">
        <f t="shared" si="2"/>
        <v>100</v>
      </c>
      <c r="X8" s="1217"/>
      <c r="Y8" s="3389" t="s">
        <v>1397</v>
      </c>
      <c r="Z8" s="3390"/>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4" t="s">
        <v>1400</v>
      </c>
      <c r="Q9" s="794" t="str">
        <f t="shared" ref="Q9:Q15" si="6">B9</f>
        <v>用途</v>
      </c>
      <c r="R9" s="1215" t="s">
        <v>1393</v>
      </c>
      <c r="S9" s="1216">
        <f t="shared" si="0"/>
        <v>100</v>
      </c>
      <c r="T9" s="1215" t="s">
        <v>1393</v>
      </c>
      <c r="U9" s="1216">
        <f t="shared" si="1"/>
        <v>100</v>
      </c>
      <c r="V9" s="1215" t="s">
        <v>1393</v>
      </c>
      <c r="W9" s="1216">
        <f t="shared" si="2"/>
        <v>100</v>
      </c>
      <c r="X9" s="1217"/>
      <c r="Y9" s="3271"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4"/>
      <c r="Q10" s="794" t="str">
        <f t="shared" si="6"/>
        <v>土地使用年限（年）</v>
      </c>
      <c r="R10" s="1215" t="s">
        <v>1393</v>
      </c>
      <c r="S10" s="1216">
        <f t="shared" si="0"/>
        <v>100</v>
      </c>
      <c r="T10" s="1215" t="s">
        <v>1393</v>
      </c>
      <c r="U10" s="1216">
        <f t="shared" si="1"/>
        <v>100</v>
      </c>
      <c r="V10" s="1215" t="s">
        <v>1393</v>
      </c>
      <c r="W10" s="1216">
        <f t="shared" si="2"/>
        <v>100</v>
      </c>
      <c r="X10" s="1217"/>
      <c r="Y10" s="3271"/>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4"/>
      <c r="Q11" s="794" t="str">
        <f t="shared" si="6"/>
        <v>容积率</v>
      </c>
      <c r="R11" s="1215" t="s">
        <v>1393</v>
      </c>
      <c r="S11" s="1216" t="e">
        <f t="shared" si="0"/>
        <v>#N/A</v>
      </c>
      <c r="T11" s="1215" t="s">
        <v>1393</v>
      </c>
      <c r="U11" s="1216" t="e">
        <f t="shared" si="1"/>
        <v>#N/A</v>
      </c>
      <c r="V11" s="1215" t="s">
        <v>1393</v>
      </c>
      <c r="W11" s="1216" t="e">
        <f t="shared" si="2"/>
        <v>#N/A</v>
      </c>
      <c r="X11" s="1217"/>
      <c r="Y11" s="3271"/>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4"/>
      <c r="Q12" s="794">
        <f t="shared" si="6"/>
        <v>111</v>
      </c>
      <c r="R12" s="1215" t="s">
        <v>1393</v>
      </c>
      <c r="S12" s="1216">
        <f t="shared" si="0"/>
        <v>100</v>
      </c>
      <c r="T12" s="1215" t="s">
        <v>1393</v>
      </c>
      <c r="U12" s="1216">
        <f t="shared" si="1"/>
        <v>100</v>
      </c>
      <c r="V12" s="1215" t="s">
        <v>1393</v>
      </c>
      <c r="W12" s="1216">
        <f t="shared" si="2"/>
        <v>100</v>
      </c>
      <c r="X12" s="1217"/>
      <c r="Y12" s="3271"/>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4"/>
      <c r="Q13" s="794">
        <f t="shared" si="6"/>
        <v>111</v>
      </c>
      <c r="R13" s="1215" t="s">
        <v>1393</v>
      </c>
      <c r="S13" s="1216">
        <f t="shared" si="0"/>
        <v>100</v>
      </c>
      <c r="T13" s="1215" t="s">
        <v>1393</v>
      </c>
      <c r="U13" s="1216">
        <f t="shared" si="1"/>
        <v>100</v>
      </c>
      <c r="V13" s="1215" t="s">
        <v>1393</v>
      </c>
      <c r="W13" s="1216">
        <f t="shared" si="2"/>
        <v>100</v>
      </c>
      <c r="X13" s="1217"/>
      <c r="Y13" s="3271"/>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4"/>
      <c r="Q14" s="794">
        <f t="shared" si="6"/>
        <v>111</v>
      </c>
      <c r="R14" s="1215" t="s">
        <v>1393</v>
      </c>
      <c r="S14" s="1216">
        <f t="shared" si="0"/>
        <v>100</v>
      </c>
      <c r="T14" s="1215" t="s">
        <v>1393</v>
      </c>
      <c r="U14" s="1216">
        <f t="shared" si="1"/>
        <v>100</v>
      </c>
      <c r="V14" s="1215" t="s">
        <v>1393</v>
      </c>
      <c r="W14" s="1216">
        <f t="shared" si="2"/>
        <v>100</v>
      </c>
      <c r="X14" s="1217"/>
      <c r="Y14" s="3271"/>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92" t="s">
        <v>1406</v>
      </c>
      <c r="Q15" s="625" t="str">
        <f t="shared" si="6"/>
        <v>居住社区成熟度</v>
      </c>
      <c r="R15" s="1219" t="s">
        <v>1393</v>
      </c>
      <c r="S15" s="1220">
        <f t="shared" si="0"/>
        <v>100</v>
      </c>
      <c r="T15" s="1219" t="s">
        <v>1393</v>
      </c>
      <c r="U15" s="1220">
        <f t="shared" si="1"/>
        <v>100</v>
      </c>
      <c r="V15" s="1219" t="s">
        <v>1393</v>
      </c>
      <c r="W15" s="1220">
        <f t="shared" si="2"/>
        <v>100</v>
      </c>
      <c r="X15" s="1214"/>
      <c r="Y15" s="3397"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93"/>
      <c r="Q16" s="625"/>
      <c r="R16" s="1219"/>
      <c r="S16" s="1220"/>
      <c r="T16" s="1219"/>
      <c r="U16" s="1220"/>
      <c r="V16" s="1219"/>
      <c r="W16" s="1220"/>
      <c r="X16" s="1214"/>
      <c r="Y16" s="3398"/>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93"/>
      <c r="Q17" s="625" t="str">
        <f>B17</f>
        <v>交通便捷度</v>
      </c>
      <c r="R17" s="1219" t="s">
        <v>1393</v>
      </c>
      <c r="S17" s="1220">
        <f>F17</f>
        <v>100</v>
      </c>
      <c r="T17" s="1219" t="s">
        <v>1393</v>
      </c>
      <c r="U17" s="1220">
        <f>H17</f>
        <v>100</v>
      </c>
      <c r="V17" s="1219" t="s">
        <v>1393</v>
      </c>
      <c r="W17" s="1220">
        <f>J17</f>
        <v>100</v>
      </c>
      <c r="X17" s="1214"/>
      <c r="Y17" s="3398"/>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93"/>
      <c r="Q18" s="625"/>
      <c r="R18" s="1219"/>
      <c r="S18" s="1220"/>
      <c r="T18" s="1219"/>
      <c r="U18" s="1220"/>
      <c r="V18" s="1219"/>
      <c r="W18" s="1220"/>
      <c r="X18" s="1214"/>
      <c r="Y18" s="3398"/>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93"/>
      <c r="Q19" s="625" t="str">
        <f>B19</f>
        <v>公共配套设施</v>
      </c>
      <c r="R19" s="1219" t="s">
        <v>1393</v>
      </c>
      <c r="S19" s="1220">
        <f>F19</f>
        <v>100</v>
      </c>
      <c r="T19" s="1219" t="s">
        <v>1393</v>
      </c>
      <c r="U19" s="1220">
        <f>H19</f>
        <v>100</v>
      </c>
      <c r="V19" s="1219" t="s">
        <v>1393</v>
      </c>
      <c r="W19" s="1220">
        <f>J19</f>
        <v>100</v>
      </c>
      <c r="X19" s="1214"/>
      <c r="Y19" s="3398"/>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93"/>
      <c r="Q20" s="625"/>
      <c r="R20" s="1219"/>
      <c r="S20" s="1220"/>
      <c r="T20" s="1219"/>
      <c r="U20" s="1220"/>
      <c r="V20" s="1219"/>
      <c r="W20" s="1220"/>
      <c r="X20" s="1214"/>
      <c r="Y20" s="3398"/>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93"/>
      <c r="Q21" s="625" t="str">
        <f>B21</f>
        <v>基础设施水平</v>
      </c>
      <c r="R21" s="1219" t="s">
        <v>1393</v>
      </c>
      <c r="S21" s="1220">
        <f>F21</f>
        <v>100</v>
      </c>
      <c r="T21" s="1219" t="s">
        <v>1393</v>
      </c>
      <c r="U21" s="1220">
        <f>H21</f>
        <v>100</v>
      </c>
      <c r="V21" s="1219" t="s">
        <v>1393</v>
      </c>
      <c r="W21" s="1220">
        <f>J21</f>
        <v>100</v>
      </c>
      <c r="X21" s="1214"/>
      <c r="Y21" s="3398"/>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93"/>
      <c r="Q22" s="625"/>
      <c r="R22" s="1219"/>
      <c r="S22" s="1220"/>
      <c r="T22" s="1219"/>
      <c r="U22" s="1220"/>
      <c r="V22" s="1219"/>
      <c r="W22" s="1220"/>
      <c r="X22" s="1214"/>
      <c r="Y22" s="3398"/>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93"/>
      <c r="Q23" s="625" t="str">
        <f>B23</f>
        <v>自然及人文环境</v>
      </c>
      <c r="R23" s="1219" t="s">
        <v>1393</v>
      </c>
      <c r="S23" s="1220">
        <f>F23</f>
        <v>100</v>
      </c>
      <c r="T23" s="1219" t="s">
        <v>1393</v>
      </c>
      <c r="U23" s="1220">
        <f>H23</f>
        <v>100</v>
      </c>
      <c r="V23" s="1219" t="s">
        <v>1393</v>
      </c>
      <c r="W23" s="1220">
        <f>J23</f>
        <v>100</v>
      </c>
      <c r="X23" s="1214"/>
      <c r="Y23" s="3398"/>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93"/>
      <c r="Q24" s="625"/>
      <c r="R24" s="1219"/>
      <c r="S24" s="1220"/>
      <c r="T24" s="1219"/>
      <c r="U24" s="1220"/>
      <c r="V24" s="1219"/>
      <c r="W24" s="1220"/>
      <c r="X24" s="1214"/>
      <c r="Y24" s="3398"/>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93"/>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8"/>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93"/>
      <c r="Q26" s="625" t="str">
        <f t="shared" si="11"/>
        <v>朝向</v>
      </c>
      <c r="R26" s="1219" t="s">
        <v>1393</v>
      </c>
      <c r="S26" s="1220">
        <f t="shared" si="12"/>
        <v>100</v>
      </c>
      <c r="T26" s="1219" t="s">
        <v>1393</v>
      </c>
      <c r="U26" s="1220">
        <f t="shared" si="13"/>
        <v>100</v>
      </c>
      <c r="V26" s="1219" t="s">
        <v>1393</v>
      </c>
      <c r="W26" s="1220">
        <f t="shared" si="14"/>
        <v>100</v>
      </c>
      <c r="X26" s="1214"/>
      <c r="Y26" s="3398"/>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93"/>
      <c r="Q27" s="794">
        <f t="shared" si="11"/>
        <v>111</v>
      </c>
      <c r="R27" s="1215" t="s">
        <v>1393</v>
      </c>
      <c r="S27" s="1216">
        <f t="shared" si="12"/>
        <v>100</v>
      </c>
      <c r="T27" s="1215" t="s">
        <v>1393</v>
      </c>
      <c r="U27" s="1216">
        <f t="shared" si="13"/>
        <v>100</v>
      </c>
      <c r="V27" s="1215" t="s">
        <v>1393</v>
      </c>
      <c r="W27" s="1216">
        <f t="shared" si="14"/>
        <v>100</v>
      </c>
      <c r="X27" s="1217"/>
      <c r="Y27" s="3398"/>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93"/>
      <c r="Q28" s="625">
        <f t="shared" si="11"/>
        <v>111</v>
      </c>
      <c r="R28" s="1219" t="s">
        <v>1393</v>
      </c>
      <c r="S28" s="1220">
        <f t="shared" si="12"/>
        <v>100</v>
      </c>
      <c r="T28" s="1219" t="s">
        <v>1393</v>
      </c>
      <c r="U28" s="1220">
        <f t="shared" si="13"/>
        <v>100</v>
      </c>
      <c r="V28" s="1219" t="s">
        <v>1393</v>
      </c>
      <c r="W28" s="1220">
        <f t="shared" si="14"/>
        <v>100</v>
      </c>
      <c r="X28" s="1214"/>
      <c r="Y28" s="3398"/>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93"/>
      <c r="Q29" s="625">
        <f t="shared" si="11"/>
        <v>111</v>
      </c>
      <c r="R29" s="1219" t="s">
        <v>1393</v>
      </c>
      <c r="S29" s="1220">
        <f t="shared" si="12"/>
        <v>100</v>
      </c>
      <c r="T29" s="1219" t="s">
        <v>1393</v>
      </c>
      <c r="U29" s="1220">
        <f t="shared" si="13"/>
        <v>100</v>
      </c>
      <c r="V29" s="1219" t="s">
        <v>1393</v>
      </c>
      <c r="W29" s="1220">
        <f t="shared" si="14"/>
        <v>100</v>
      </c>
      <c r="X29" s="1214"/>
      <c r="Y29" s="3398"/>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93"/>
      <c r="Q30" s="625">
        <f t="shared" si="11"/>
        <v>111</v>
      </c>
      <c r="R30" s="1219" t="s">
        <v>1393</v>
      </c>
      <c r="S30" s="1220">
        <f t="shared" si="12"/>
        <v>100</v>
      </c>
      <c r="T30" s="1219" t="s">
        <v>1393</v>
      </c>
      <c r="U30" s="1220">
        <f t="shared" si="13"/>
        <v>100</v>
      </c>
      <c r="V30" s="1219" t="s">
        <v>1393</v>
      </c>
      <c r="W30" s="1220">
        <f t="shared" si="14"/>
        <v>100</v>
      </c>
      <c r="X30" s="1214"/>
      <c r="Y30" s="3398"/>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93"/>
      <c r="Q31" s="625">
        <f t="shared" si="11"/>
        <v>111</v>
      </c>
      <c r="R31" s="1219" t="s">
        <v>1393</v>
      </c>
      <c r="S31" s="1220">
        <f t="shared" si="12"/>
        <v>100</v>
      </c>
      <c r="T31" s="1219" t="s">
        <v>1393</v>
      </c>
      <c r="U31" s="1220">
        <f t="shared" si="13"/>
        <v>100</v>
      </c>
      <c r="V31" s="1219" t="s">
        <v>1393</v>
      </c>
      <c r="W31" s="1220">
        <f t="shared" si="14"/>
        <v>100</v>
      </c>
      <c r="X31" s="1214"/>
      <c r="Y31" s="3398"/>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94" t="s">
        <v>1421</v>
      </c>
      <c r="Q32" s="625" t="str">
        <f t="shared" si="11"/>
        <v>建筑类型</v>
      </c>
      <c r="R32" s="1219" t="s">
        <v>1393</v>
      </c>
      <c r="S32" s="1220">
        <f t="shared" si="12"/>
        <v>100</v>
      </c>
      <c r="T32" s="1219" t="s">
        <v>1393</v>
      </c>
      <c r="U32" s="1220">
        <f t="shared" si="13"/>
        <v>100</v>
      </c>
      <c r="V32" s="1219" t="s">
        <v>1393</v>
      </c>
      <c r="W32" s="1220">
        <f t="shared" si="14"/>
        <v>100</v>
      </c>
      <c r="X32" s="1214"/>
      <c r="Y32" s="3399"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95"/>
      <c r="Q33" s="1415" t="str">
        <f t="shared" si="11"/>
        <v>项目建筑规模</v>
      </c>
      <c r="R33" s="1221" t="s">
        <v>1393</v>
      </c>
      <c r="S33" s="1222" t="e">
        <f t="shared" si="12"/>
        <v>#N/A</v>
      </c>
      <c r="T33" s="1221" t="s">
        <v>1393</v>
      </c>
      <c r="U33" s="1222" t="e">
        <f t="shared" si="13"/>
        <v>#N/A</v>
      </c>
      <c r="V33" s="1221" t="s">
        <v>1393</v>
      </c>
      <c r="W33" s="1222" t="e">
        <f t="shared" si="14"/>
        <v>#N/A</v>
      </c>
      <c r="X33" s="1223"/>
      <c r="Y33" s="3399"/>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95"/>
      <c r="Q34" s="625" t="str">
        <f t="shared" si="11"/>
        <v>建筑结构</v>
      </c>
      <c r="R34" s="1219" t="s">
        <v>1393</v>
      </c>
      <c r="S34" s="1220">
        <f t="shared" si="12"/>
        <v>100</v>
      </c>
      <c r="T34" s="1219" t="s">
        <v>1393</v>
      </c>
      <c r="U34" s="1220">
        <f t="shared" si="13"/>
        <v>100</v>
      </c>
      <c r="V34" s="1219" t="s">
        <v>1393</v>
      </c>
      <c r="W34" s="1220">
        <f t="shared" si="14"/>
        <v>100</v>
      </c>
      <c r="X34" s="1214"/>
      <c r="Y34" s="3399"/>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95"/>
      <c r="Q35" s="625" t="str">
        <f t="shared" si="11"/>
        <v>建筑品质</v>
      </c>
      <c r="R35" s="1219" t="s">
        <v>1393</v>
      </c>
      <c r="S35" s="1220">
        <f t="shared" si="12"/>
        <v>100</v>
      </c>
      <c r="T35" s="1219" t="s">
        <v>1393</v>
      </c>
      <c r="U35" s="1220">
        <f t="shared" si="13"/>
        <v>100</v>
      </c>
      <c r="V35" s="1219" t="s">
        <v>1393</v>
      </c>
      <c r="W35" s="1220">
        <f t="shared" si="14"/>
        <v>100</v>
      </c>
      <c r="X35" s="1214"/>
      <c r="Y35" s="3399"/>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95"/>
      <c r="Q36" s="625" t="str">
        <f t="shared" si="11"/>
        <v>公共部分装修</v>
      </c>
      <c r="R36" s="1219" t="s">
        <v>1393</v>
      </c>
      <c r="S36" s="1220">
        <f t="shared" si="12"/>
        <v>100</v>
      </c>
      <c r="T36" s="1219" t="s">
        <v>1393</v>
      </c>
      <c r="U36" s="1220">
        <f t="shared" si="13"/>
        <v>100</v>
      </c>
      <c r="V36" s="1219" t="s">
        <v>1393</v>
      </c>
      <c r="W36" s="1220">
        <f t="shared" si="14"/>
        <v>100</v>
      </c>
      <c r="X36" s="1214"/>
      <c r="Y36" s="3399"/>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95"/>
      <c r="Q37" s="794" t="str">
        <f t="shared" si="11"/>
        <v>成新度</v>
      </c>
      <c r="R37" s="1215" t="s">
        <v>1393</v>
      </c>
      <c r="S37" s="1216" t="e">
        <f t="shared" si="12"/>
        <v>#N/A</v>
      </c>
      <c r="T37" s="1215" t="s">
        <v>1393</v>
      </c>
      <c r="U37" s="1216" t="e">
        <f t="shared" si="13"/>
        <v>#N/A</v>
      </c>
      <c r="V37" s="1215" t="s">
        <v>1393</v>
      </c>
      <c r="W37" s="1216" t="e">
        <f t="shared" si="14"/>
        <v>#N/A</v>
      </c>
      <c r="X37" s="1217"/>
      <c r="Y37" s="3399"/>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95" t="s">
        <v>1421</v>
      </c>
      <c r="Q38" s="625" t="str">
        <f t="shared" si="11"/>
        <v>物业管理</v>
      </c>
      <c r="R38" s="1219" t="s">
        <v>1393</v>
      </c>
      <c r="S38" s="1220">
        <f t="shared" si="12"/>
        <v>100</v>
      </c>
      <c r="T38" s="1219" t="s">
        <v>1393</v>
      </c>
      <c r="U38" s="1220">
        <f t="shared" si="13"/>
        <v>100</v>
      </c>
      <c r="V38" s="1219" t="s">
        <v>1393</v>
      </c>
      <c r="W38" s="1220">
        <f t="shared" si="14"/>
        <v>100</v>
      </c>
      <c r="X38" s="1214"/>
      <c r="Y38" s="3399"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95"/>
      <c r="Q39" s="625" t="str">
        <f t="shared" si="11"/>
        <v>市政基础设施</v>
      </c>
      <c r="R39" s="1219" t="s">
        <v>1393</v>
      </c>
      <c r="S39" s="1220">
        <f t="shared" si="12"/>
        <v>100</v>
      </c>
      <c r="T39" s="1219" t="s">
        <v>1393</v>
      </c>
      <c r="U39" s="1220">
        <f t="shared" si="13"/>
        <v>100</v>
      </c>
      <c r="V39" s="1219" t="s">
        <v>1393</v>
      </c>
      <c r="W39" s="1220">
        <f t="shared" si="14"/>
        <v>100</v>
      </c>
      <c r="X39" s="1214"/>
      <c r="Y39" s="3399"/>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95"/>
      <c r="Q40" s="625" t="str">
        <f t="shared" si="11"/>
        <v>房型</v>
      </c>
      <c r="R40" s="1219" t="s">
        <v>1393</v>
      </c>
      <c r="S40" s="1220">
        <f t="shared" si="12"/>
        <v>100</v>
      </c>
      <c r="T40" s="1219" t="s">
        <v>1393</v>
      </c>
      <c r="U40" s="1220">
        <f t="shared" si="13"/>
        <v>100</v>
      </c>
      <c r="V40" s="1219" t="s">
        <v>1393</v>
      </c>
      <c r="W40" s="1220">
        <f t="shared" si="14"/>
        <v>100</v>
      </c>
      <c r="X40" s="1214"/>
      <c r="Y40" s="3399"/>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95"/>
      <c r="Q41" s="1415" t="str">
        <f t="shared" si="11"/>
        <v>单套/主力户型建筑面积</v>
      </c>
      <c r="R41" s="1221" t="s">
        <v>1393</v>
      </c>
      <c r="S41" s="1222">
        <f t="shared" si="12"/>
        <v>100</v>
      </c>
      <c r="T41" s="1221" t="s">
        <v>1393</v>
      </c>
      <c r="U41" s="1222">
        <f t="shared" si="13"/>
        <v>100</v>
      </c>
      <c r="V41" s="1221" t="s">
        <v>1393</v>
      </c>
      <c r="W41" s="1222">
        <f t="shared" si="14"/>
        <v>100</v>
      </c>
      <c r="X41" s="1223"/>
      <c r="Y41" s="3399"/>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95"/>
      <c r="Q42" s="625" t="str">
        <f t="shared" si="11"/>
        <v>内部装修</v>
      </c>
      <c r="R42" s="1219" t="s">
        <v>1393</v>
      </c>
      <c r="S42" s="1220">
        <f t="shared" si="12"/>
        <v>100</v>
      </c>
      <c r="T42" s="1219" t="s">
        <v>1393</v>
      </c>
      <c r="U42" s="1220">
        <f t="shared" si="13"/>
        <v>100</v>
      </c>
      <c r="V42" s="1219" t="s">
        <v>1393</v>
      </c>
      <c r="W42" s="1220">
        <f t="shared" si="14"/>
        <v>100</v>
      </c>
      <c r="X42" s="1214"/>
      <c r="Y42" s="3399"/>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95"/>
      <c r="Q43" s="625" t="str">
        <f t="shared" si="11"/>
        <v>内部装修维护情况</v>
      </c>
      <c r="R43" s="1219" t="s">
        <v>1393</v>
      </c>
      <c r="S43" s="1220">
        <f t="shared" si="12"/>
        <v>100</v>
      </c>
      <c r="T43" s="1219" t="s">
        <v>1393</v>
      </c>
      <c r="U43" s="1220">
        <f t="shared" si="13"/>
        <v>100</v>
      </c>
      <c r="V43" s="1219" t="s">
        <v>1393</v>
      </c>
      <c r="W43" s="1220">
        <f t="shared" si="14"/>
        <v>100</v>
      </c>
      <c r="X43" s="1214"/>
      <c r="Y43" s="3399"/>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95"/>
      <c r="Q44" s="794">
        <f t="shared" si="11"/>
        <v>111</v>
      </c>
      <c r="R44" s="1215" t="s">
        <v>1393</v>
      </c>
      <c r="S44" s="1216">
        <f t="shared" si="12"/>
        <v>100</v>
      </c>
      <c r="T44" s="1215" t="s">
        <v>1393</v>
      </c>
      <c r="U44" s="1216">
        <f t="shared" si="13"/>
        <v>100</v>
      </c>
      <c r="V44" s="1215" t="s">
        <v>1393</v>
      </c>
      <c r="W44" s="1216">
        <f t="shared" si="14"/>
        <v>100</v>
      </c>
      <c r="X44" s="1217"/>
      <c r="Y44" s="3399"/>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95"/>
      <c r="Q45" s="625">
        <f t="shared" si="11"/>
        <v>111</v>
      </c>
      <c r="R45" s="1219" t="s">
        <v>1393</v>
      </c>
      <c r="S45" s="1220">
        <f t="shared" si="12"/>
        <v>100</v>
      </c>
      <c r="T45" s="1219" t="s">
        <v>1393</v>
      </c>
      <c r="U45" s="1220">
        <f t="shared" si="13"/>
        <v>100</v>
      </c>
      <c r="V45" s="1219" t="s">
        <v>1393</v>
      </c>
      <c r="W45" s="1220">
        <f t="shared" si="14"/>
        <v>100</v>
      </c>
      <c r="X45" s="1214"/>
      <c r="Y45" s="3399"/>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6"/>
      <c r="Q46" s="625">
        <f t="shared" si="11"/>
        <v>111</v>
      </c>
      <c r="R46" s="1219" t="s">
        <v>1393</v>
      </c>
      <c r="S46" s="1220">
        <f t="shared" si="12"/>
        <v>100</v>
      </c>
      <c r="T46" s="1219" t="s">
        <v>1393</v>
      </c>
      <c r="U46" s="1220">
        <f t="shared" si="13"/>
        <v>100</v>
      </c>
      <c r="V46" s="1219" t="s">
        <v>1393</v>
      </c>
      <c r="W46" s="1220">
        <f t="shared" si="14"/>
        <v>100</v>
      </c>
      <c r="X46" s="1214"/>
      <c r="Y46" s="3400"/>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5" t="str">
        <f>A47</f>
        <v>成交单价（元/平方米）</v>
      </c>
      <c r="Q47" s="3385"/>
      <c r="R47" s="3383">
        <f>E47</f>
        <v>0</v>
      </c>
      <c r="S47" s="3383"/>
      <c r="T47" s="3383">
        <f>G47</f>
        <v>0</v>
      </c>
      <c r="U47" s="3383"/>
      <c r="V47" s="3383">
        <f>I47</f>
        <v>0</v>
      </c>
      <c r="W47" s="3383"/>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5" t="str">
        <f>A48</f>
        <v>比较价值（元/平方米）</v>
      </c>
      <c r="Q48" s="3385"/>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9" t="str">
        <f>A49</f>
        <v>估价对象XX用房的比较价值（楼面单价，元/平方米）</v>
      </c>
      <c r="Q49" s="3420"/>
      <c r="R49" s="3421" t="e">
        <f>IF(F1="售价",ROUND(IF(D48="简单平均",AVERAGE(R48:V48),R48*F48+T48*H48+V48*J48),0),ROUND(IF(D48="简单平均",AVERAGE(R48:V48),R48*F48+T48*H48+V48*J48),1))</f>
        <v>#DIV/0!</v>
      </c>
      <c r="S49" s="3421"/>
      <c r="T49" s="3421"/>
      <c r="U49" s="3421"/>
      <c r="V49" s="3421"/>
      <c r="W49" s="3421"/>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158.43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6" t="s">
        <v>1379</v>
      </c>
      <c r="D4" s="3407"/>
      <c r="E4" s="3408" t="s">
        <v>1380</v>
      </c>
      <c r="F4" s="3409"/>
      <c r="G4" s="3406" t="s">
        <v>1381</v>
      </c>
      <c r="H4" s="3407"/>
      <c r="I4" s="3406" t="s">
        <v>1382</v>
      </c>
      <c r="J4" s="3407"/>
      <c r="K4" s="1171" t="s">
        <v>1383</v>
      </c>
      <c r="L4" s="1487"/>
      <c r="M4" s="1157"/>
      <c r="N4" s="1157"/>
      <c r="O4" s="1157"/>
      <c r="P4" s="3413" t="s">
        <v>1384</v>
      </c>
      <c r="Q4" s="3414"/>
      <c r="R4" s="3417" t="s">
        <v>1380</v>
      </c>
      <c r="S4" s="3418"/>
      <c r="T4" s="3417" t="s">
        <v>1381</v>
      </c>
      <c r="U4" s="3418"/>
      <c r="V4" s="3383" t="s">
        <v>1382</v>
      </c>
      <c r="W4" s="3383"/>
      <c r="X4" s="1214"/>
      <c r="Y4" s="3417" t="s">
        <v>1384</v>
      </c>
      <c r="Z4" s="3418"/>
      <c r="AA4" s="3412" t="s">
        <v>1380</v>
      </c>
      <c r="AB4" s="3365" t="s">
        <v>1381</v>
      </c>
      <c r="AC4" s="3412" t="s">
        <v>1382</v>
      </c>
    </row>
    <row r="5" spans="1:29" ht="15">
      <c r="A5" s="1029"/>
      <c r="B5" s="1030"/>
      <c r="C5" s="3422" t="s">
        <v>1385</v>
      </c>
      <c r="D5" s="3411"/>
      <c r="E5" s="3423" t="s">
        <v>1386</v>
      </c>
      <c r="F5" s="3424"/>
      <c r="G5" s="3422" t="s">
        <v>1387</v>
      </c>
      <c r="H5" s="3411"/>
      <c r="I5" s="3422" t="s">
        <v>1388</v>
      </c>
      <c r="J5" s="3411"/>
      <c r="K5" s="1171"/>
      <c r="L5" s="1487"/>
      <c r="M5" s="1157"/>
      <c r="N5" s="1157"/>
      <c r="O5" s="1157"/>
      <c r="P5" s="3415"/>
      <c r="Q5" s="3373"/>
      <c r="R5" s="3378"/>
      <c r="S5" s="3379"/>
      <c r="T5" s="3378"/>
      <c r="U5" s="3379"/>
      <c r="V5" s="3383"/>
      <c r="W5" s="3383"/>
      <c r="X5" s="1214"/>
      <c r="Y5" s="3378"/>
      <c r="Z5" s="3379"/>
      <c r="AA5" s="3365"/>
      <c r="AB5" s="3365"/>
      <c r="AC5" s="3365"/>
    </row>
    <row r="6" spans="1:29" ht="15">
      <c r="A6" s="1031"/>
      <c r="B6" s="1032"/>
      <c r="C6" s="3401" t="s">
        <v>1389</v>
      </c>
      <c r="D6" s="3402"/>
      <c r="E6" s="3403" t="s">
        <v>1389</v>
      </c>
      <c r="F6" s="3404"/>
      <c r="G6" s="3401" t="s">
        <v>1389</v>
      </c>
      <c r="H6" s="3402"/>
      <c r="I6" s="3401" t="s">
        <v>1389</v>
      </c>
      <c r="J6" s="3402"/>
      <c r="K6" s="1171" t="s">
        <v>1390</v>
      </c>
      <c r="L6" s="1487"/>
      <c r="M6" s="1157"/>
      <c r="N6" s="1157"/>
      <c r="O6" s="1157"/>
      <c r="P6" s="3416"/>
      <c r="Q6" s="3375"/>
      <c r="R6" s="3378"/>
      <c r="S6" s="3379"/>
      <c r="T6" s="3380"/>
      <c r="U6" s="3381"/>
      <c r="V6" s="3383"/>
      <c r="W6" s="3383"/>
      <c r="X6" s="1214"/>
      <c r="Y6" s="3380"/>
      <c r="Z6" s="3381"/>
      <c r="AA6" s="3366"/>
      <c r="AB6" s="3366"/>
      <c r="AC6" s="3366"/>
    </row>
    <row r="7" spans="1:29" s="1008" customFormat="1" ht="15">
      <c r="A7" s="1033" t="s">
        <v>1391</v>
      </c>
      <c r="B7" s="1034"/>
      <c r="C7" s="1035">
        <f>'数据-取费表'!B2</f>
        <v>45975</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89" t="s">
        <v>1392</v>
      </c>
      <c r="Q7" s="3405"/>
      <c r="R7" s="1215" t="s">
        <v>1393</v>
      </c>
      <c r="S7" s="1216">
        <f t="shared" ref="S7:S15" si="0">F7</f>
        <v>0</v>
      </c>
      <c r="T7" s="1215" t="s">
        <v>1393</v>
      </c>
      <c r="U7" s="1216">
        <f t="shared" ref="U7:U15" si="1">H7</f>
        <v>0</v>
      </c>
      <c r="V7" s="1215" t="s">
        <v>1393</v>
      </c>
      <c r="W7" s="1216">
        <f t="shared" ref="W7:W15" si="2">J7</f>
        <v>0</v>
      </c>
      <c r="X7" s="1217"/>
      <c r="Y7" s="3389" t="s">
        <v>1392</v>
      </c>
      <c r="Z7" s="3390"/>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89" t="s">
        <v>1397</v>
      </c>
      <c r="Q8" s="3390"/>
      <c r="R8" s="1215" t="s">
        <v>1393</v>
      </c>
      <c r="S8" s="1216">
        <f t="shared" si="0"/>
        <v>100</v>
      </c>
      <c r="T8" s="1215" t="s">
        <v>1393</v>
      </c>
      <c r="U8" s="1216">
        <f t="shared" si="1"/>
        <v>100</v>
      </c>
      <c r="V8" s="1215" t="s">
        <v>1393</v>
      </c>
      <c r="W8" s="1216">
        <f t="shared" si="2"/>
        <v>100</v>
      </c>
      <c r="X8" s="1217"/>
      <c r="Y8" s="3389" t="s">
        <v>1397</v>
      </c>
      <c r="Z8" s="3390"/>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5" t="s">
        <v>1400</v>
      </c>
      <c r="Q9" s="794" t="str">
        <f t="shared" ref="Q9:Q15" si="6">B9</f>
        <v>用途</v>
      </c>
      <c r="R9" s="1215" t="s">
        <v>1393</v>
      </c>
      <c r="S9" s="1216">
        <f t="shared" si="0"/>
        <v>100</v>
      </c>
      <c r="T9" s="1215" t="s">
        <v>1393</v>
      </c>
      <c r="U9" s="1216">
        <f t="shared" si="1"/>
        <v>100</v>
      </c>
      <c r="V9" s="1215" t="s">
        <v>1393</v>
      </c>
      <c r="W9" s="1216">
        <f t="shared" si="2"/>
        <v>100</v>
      </c>
      <c r="X9" s="1217"/>
      <c r="Y9" s="3271"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5"/>
      <c r="Q10" s="794" t="str">
        <f t="shared" si="6"/>
        <v>土地使用年限（年）</v>
      </c>
      <c r="R10" s="1215" t="s">
        <v>1393</v>
      </c>
      <c r="S10" s="1216">
        <f t="shared" si="0"/>
        <v>100</v>
      </c>
      <c r="T10" s="1215" t="s">
        <v>1393</v>
      </c>
      <c r="U10" s="1216">
        <f t="shared" si="1"/>
        <v>100</v>
      </c>
      <c r="V10" s="1215" t="s">
        <v>1393</v>
      </c>
      <c r="W10" s="1216">
        <f t="shared" si="2"/>
        <v>100</v>
      </c>
      <c r="X10" s="1217"/>
      <c r="Y10" s="3271"/>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5"/>
      <c r="Q11" s="794" t="str">
        <f t="shared" si="6"/>
        <v>容积率</v>
      </c>
      <c r="R11" s="1215" t="s">
        <v>1393</v>
      </c>
      <c r="S11" s="1216">
        <f t="shared" si="0"/>
        <v>100</v>
      </c>
      <c r="T11" s="1215" t="s">
        <v>1393</v>
      </c>
      <c r="U11" s="1216">
        <f t="shared" si="1"/>
        <v>100</v>
      </c>
      <c r="V11" s="1215" t="s">
        <v>1393</v>
      </c>
      <c r="W11" s="1216">
        <f t="shared" si="2"/>
        <v>100</v>
      </c>
      <c r="X11" s="1217"/>
      <c r="Y11" s="3271"/>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5"/>
      <c r="Q12" s="794">
        <f t="shared" si="6"/>
        <v>111</v>
      </c>
      <c r="R12" s="1215" t="s">
        <v>1393</v>
      </c>
      <c r="S12" s="1216">
        <f t="shared" si="0"/>
        <v>100</v>
      </c>
      <c r="T12" s="1215" t="s">
        <v>1393</v>
      </c>
      <c r="U12" s="1216">
        <f t="shared" si="1"/>
        <v>100</v>
      </c>
      <c r="V12" s="1215" t="s">
        <v>1393</v>
      </c>
      <c r="W12" s="1216">
        <f t="shared" si="2"/>
        <v>100</v>
      </c>
      <c r="X12" s="1217"/>
      <c r="Y12" s="3271"/>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5"/>
      <c r="Q13" s="794">
        <f t="shared" si="6"/>
        <v>111</v>
      </c>
      <c r="R13" s="1215" t="s">
        <v>1393</v>
      </c>
      <c r="S13" s="1216">
        <f t="shared" si="0"/>
        <v>100</v>
      </c>
      <c r="T13" s="1215" t="s">
        <v>1393</v>
      </c>
      <c r="U13" s="1216">
        <f t="shared" si="1"/>
        <v>100</v>
      </c>
      <c r="V13" s="1215" t="s">
        <v>1393</v>
      </c>
      <c r="W13" s="1216">
        <f t="shared" si="2"/>
        <v>100</v>
      </c>
      <c r="X13" s="1217"/>
      <c r="Y13" s="3271"/>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5"/>
      <c r="Q14" s="794">
        <f t="shared" si="6"/>
        <v>111</v>
      </c>
      <c r="R14" s="1215" t="s">
        <v>1393</v>
      </c>
      <c r="S14" s="1216">
        <f t="shared" si="0"/>
        <v>100</v>
      </c>
      <c r="T14" s="1215" t="s">
        <v>1393</v>
      </c>
      <c r="U14" s="1216">
        <f t="shared" si="1"/>
        <v>100</v>
      </c>
      <c r="V14" s="1215" t="s">
        <v>1393</v>
      </c>
      <c r="W14" s="1216">
        <f t="shared" si="2"/>
        <v>100</v>
      </c>
      <c r="X14" s="1217"/>
      <c r="Y14" s="3271"/>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7" t="s">
        <v>1406</v>
      </c>
      <c r="Q15" s="625" t="str">
        <f t="shared" si="6"/>
        <v>产业集聚程度</v>
      </c>
      <c r="R15" s="1219" t="s">
        <v>1393</v>
      </c>
      <c r="S15" s="1220">
        <f t="shared" si="0"/>
        <v>100</v>
      </c>
      <c r="T15" s="1219" t="s">
        <v>1393</v>
      </c>
      <c r="U15" s="1220">
        <f t="shared" si="1"/>
        <v>100</v>
      </c>
      <c r="V15" s="1219" t="s">
        <v>1393</v>
      </c>
      <c r="W15" s="1220">
        <f t="shared" si="2"/>
        <v>100</v>
      </c>
      <c r="X15" s="1214"/>
      <c r="Y15" s="3397"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8"/>
      <c r="Q16" s="625"/>
      <c r="R16" s="1219"/>
      <c r="S16" s="1220"/>
      <c r="T16" s="1219"/>
      <c r="U16" s="1220"/>
      <c r="V16" s="1219"/>
      <c r="W16" s="1220"/>
      <c r="X16" s="1214"/>
      <c r="Y16" s="3398"/>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8"/>
      <c r="Q17" s="625" t="str">
        <f>B17</f>
        <v>交通便捷度</v>
      </c>
      <c r="R17" s="1219" t="s">
        <v>1393</v>
      </c>
      <c r="S17" s="1220">
        <f>F17</f>
        <v>100</v>
      </c>
      <c r="T17" s="1219" t="s">
        <v>1393</v>
      </c>
      <c r="U17" s="1220">
        <f>H17</f>
        <v>100</v>
      </c>
      <c r="V17" s="1219" t="s">
        <v>1393</v>
      </c>
      <c r="W17" s="1220">
        <f>J17</f>
        <v>100</v>
      </c>
      <c r="X17" s="1214"/>
      <c r="Y17" s="3398"/>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8"/>
      <c r="Q18" s="625"/>
      <c r="R18" s="1219"/>
      <c r="S18" s="1220"/>
      <c r="T18" s="1219"/>
      <c r="U18" s="1220"/>
      <c r="V18" s="1219"/>
      <c r="W18" s="1220"/>
      <c r="X18" s="1214"/>
      <c r="Y18" s="3398"/>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8"/>
      <c r="Q19" s="625" t="str">
        <f>B19</f>
        <v>公共配套设施</v>
      </c>
      <c r="R19" s="1219" t="s">
        <v>1393</v>
      </c>
      <c r="S19" s="1220">
        <f>F19</f>
        <v>100</v>
      </c>
      <c r="T19" s="1219" t="s">
        <v>1393</v>
      </c>
      <c r="U19" s="1220">
        <f>H19</f>
        <v>100</v>
      </c>
      <c r="V19" s="1219" t="s">
        <v>1393</v>
      </c>
      <c r="W19" s="1220">
        <f>J19</f>
        <v>100</v>
      </c>
      <c r="X19" s="1214"/>
      <c r="Y19" s="3398"/>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8"/>
      <c r="Q20" s="625"/>
      <c r="R20" s="1219"/>
      <c r="S20" s="1220"/>
      <c r="T20" s="1219"/>
      <c r="U20" s="1220"/>
      <c r="V20" s="1219"/>
      <c r="W20" s="1220"/>
      <c r="X20" s="1214"/>
      <c r="Y20" s="3398"/>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8"/>
      <c r="Q21" s="625" t="str">
        <f>B21</f>
        <v>基础设施水平</v>
      </c>
      <c r="R21" s="1219" t="s">
        <v>1393</v>
      </c>
      <c r="S21" s="1220">
        <f>F21</f>
        <v>100</v>
      </c>
      <c r="T21" s="1219" t="s">
        <v>1393</v>
      </c>
      <c r="U21" s="1220">
        <f>H21</f>
        <v>100</v>
      </c>
      <c r="V21" s="1219" t="s">
        <v>1393</v>
      </c>
      <c r="W21" s="1220">
        <f>J21</f>
        <v>100</v>
      </c>
      <c r="X21" s="1214"/>
      <c r="Y21" s="3398"/>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8"/>
      <c r="Q22" s="625"/>
      <c r="R22" s="1219"/>
      <c r="S22" s="1220"/>
      <c r="T22" s="1219"/>
      <c r="U22" s="1220"/>
      <c r="V22" s="1219"/>
      <c r="W22" s="1220"/>
      <c r="X22" s="1214"/>
      <c r="Y22" s="3398"/>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8"/>
      <c r="Q23" s="625" t="str">
        <f>B23</f>
        <v>环境质量</v>
      </c>
      <c r="R23" s="1219" t="s">
        <v>1393</v>
      </c>
      <c r="S23" s="1220">
        <f>F23</f>
        <v>100</v>
      </c>
      <c r="T23" s="1219" t="s">
        <v>1393</v>
      </c>
      <c r="U23" s="1220">
        <f>H23</f>
        <v>100</v>
      </c>
      <c r="V23" s="1219" t="s">
        <v>1393</v>
      </c>
      <c r="W23" s="1220">
        <f>J23</f>
        <v>100</v>
      </c>
      <c r="X23" s="1214"/>
      <c r="Y23" s="3398"/>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8"/>
      <c r="Q24" s="625"/>
      <c r="R24" s="1219"/>
      <c r="S24" s="1220"/>
      <c r="T24" s="1219"/>
      <c r="U24" s="1220"/>
      <c r="V24" s="1219"/>
      <c r="W24" s="1220"/>
      <c r="X24" s="1214"/>
      <c r="Y24" s="3398"/>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8"/>
      <c r="Q25" s="625">
        <f>B25</f>
        <v>111</v>
      </c>
      <c r="R25" s="1219" t="s">
        <v>1393</v>
      </c>
      <c r="S25" s="1220">
        <f>F25</f>
        <v>100</v>
      </c>
      <c r="T25" s="1219" t="s">
        <v>1393</v>
      </c>
      <c r="U25" s="1220">
        <f>H25</f>
        <v>100</v>
      </c>
      <c r="V25" s="1219" t="s">
        <v>1393</v>
      </c>
      <c r="W25" s="1220">
        <f>J25</f>
        <v>100</v>
      </c>
      <c r="X25" s="1214"/>
      <c r="Y25" s="3398"/>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8"/>
      <c r="Q26" s="625">
        <f t="shared" ref="Q26:Q40" si="11">B26</f>
        <v>111</v>
      </c>
      <c r="R26" s="1219" t="s">
        <v>1393</v>
      </c>
      <c r="S26" s="1220">
        <f>F26</f>
        <v>100</v>
      </c>
      <c r="T26" s="1219" t="s">
        <v>1393</v>
      </c>
      <c r="U26" s="1220">
        <f>H26</f>
        <v>100</v>
      </c>
      <c r="V26" s="1219" t="s">
        <v>1393</v>
      </c>
      <c r="W26" s="1220">
        <f>J26</f>
        <v>100</v>
      </c>
      <c r="X26" s="1214"/>
      <c r="Y26" s="3398"/>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8"/>
      <c r="Q27" s="794">
        <f t="shared" si="11"/>
        <v>111</v>
      </c>
      <c r="R27" s="1215" t="s">
        <v>1393</v>
      </c>
      <c r="S27" s="1216">
        <f>F27</f>
        <v>100</v>
      </c>
      <c r="T27" s="1215" t="s">
        <v>1393</v>
      </c>
      <c r="U27" s="1216">
        <f>H27</f>
        <v>100</v>
      </c>
      <c r="V27" s="1215" t="s">
        <v>1393</v>
      </c>
      <c r="W27" s="1216">
        <f>J27</f>
        <v>100</v>
      </c>
      <c r="X27" s="1217"/>
      <c r="Y27" s="3398"/>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8"/>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8"/>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6" t="s">
        <v>1421</v>
      </c>
      <c r="Q29" s="625" t="str">
        <f t="shared" si="11"/>
        <v>建筑类型</v>
      </c>
      <c r="R29" s="1219" t="s">
        <v>1393</v>
      </c>
      <c r="S29" s="1220">
        <f t="shared" si="12"/>
        <v>100</v>
      </c>
      <c r="T29" s="1219" t="s">
        <v>1393</v>
      </c>
      <c r="U29" s="1220">
        <f t="shared" si="13"/>
        <v>100</v>
      </c>
      <c r="V29" s="1219" t="s">
        <v>1393</v>
      </c>
      <c r="W29" s="1220">
        <f t="shared" si="14"/>
        <v>100</v>
      </c>
      <c r="X29" s="1214"/>
      <c r="Y29" s="3399"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99"/>
      <c r="Q30" s="1415" t="str">
        <f t="shared" si="11"/>
        <v>项目建筑规模</v>
      </c>
      <c r="R30" s="1221" t="s">
        <v>1393</v>
      </c>
      <c r="S30" s="1222" t="e">
        <f t="shared" si="12"/>
        <v>#N/A</v>
      </c>
      <c r="T30" s="1221" t="s">
        <v>1393</v>
      </c>
      <c r="U30" s="1222" t="e">
        <f t="shared" si="13"/>
        <v>#N/A</v>
      </c>
      <c r="V30" s="1221" t="s">
        <v>1393</v>
      </c>
      <c r="W30" s="1222" t="e">
        <f t="shared" si="14"/>
        <v>#N/A</v>
      </c>
      <c r="X30" s="1223"/>
      <c r="Y30" s="3399"/>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99"/>
      <c r="Q31" s="625" t="str">
        <f t="shared" si="11"/>
        <v>建筑结构</v>
      </c>
      <c r="R31" s="1219" t="s">
        <v>1393</v>
      </c>
      <c r="S31" s="1220">
        <f t="shared" si="12"/>
        <v>100</v>
      </c>
      <c r="T31" s="1219" t="s">
        <v>1393</v>
      </c>
      <c r="U31" s="1220">
        <f t="shared" si="13"/>
        <v>100</v>
      </c>
      <c r="V31" s="1219" t="s">
        <v>1393</v>
      </c>
      <c r="W31" s="1220">
        <f t="shared" si="14"/>
        <v>100</v>
      </c>
      <c r="X31" s="1214"/>
      <c r="Y31" s="3399"/>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99"/>
      <c r="Q32" s="625" t="str">
        <f t="shared" si="11"/>
        <v>公共部分装修</v>
      </c>
      <c r="R32" s="1219" t="s">
        <v>1393</v>
      </c>
      <c r="S32" s="1220">
        <f t="shared" si="12"/>
        <v>100</v>
      </c>
      <c r="T32" s="1219" t="s">
        <v>1393</v>
      </c>
      <c r="U32" s="1220">
        <f t="shared" si="13"/>
        <v>100</v>
      </c>
      <c r="V32" s="1219" t="s">
        <v>1393</v>
      </c>
      <c r="W32" s="1220">
        <f t="shared" si="14"/>
        <v>100</v>
      </c>
      <c r="X32" s="1214"/>
      <c r="Y32" s="3399"/>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99"/>
      <c r="Q33" s="625" t="str">
        <f t="shared" si="11"/>
        <v>成新度</v>
      </c>
      <c r="R33" s="1219" t="s">
        <v>1393</v>
      </c>
      <c r="S33" s="1220" t="e">
        <f t="shared" si="12"/>
        <v>#N/A</v>
      </c>
      <c r="T33" s="1219" t="s">
        <v>1393</v>
      </c>
      <c r="U33" s="1220" t="e">
        <f t="shared" si="13"/>
        <v>#N/A</v>
      </c>
      <c r="V33" s="1219" t="s">
        <v>1393</v>
      </c>
      <c r="W33" s="1220" t="e">
        <f t="shared" si="14"/>
        <v>#N/A</v>
      </c>
      <c r="X33" s="1214"/>
      <c r="Y33" s="3399"/>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99"/>
      <c r="Q34" s="794" t="str">
        <f t="shared" si="11"/>
        <v>物业管理</v>
      </c>
      <c r="R34" s="1215" t="s">
        <v>1393</v>
      </c>
      <c r="S34" s="1216">
        <f t="shared" si="12"/>
        <v>100</v>
      </c>
      <c r="T34" s="1215" t="s">
        <v>1393</v>
      </c>
      <c r="U34" s="1216">
        <f t="shared" si="13"/>
        <v>100</v>
      </c>
      <c r="V34" s="1215" t="s">
        <v>1393</v>
      </c>
      <c r="W34" s="1216">
        <f t="shared" si="14"/>
        <v>100</v>
      </c>
      <c r="X34" s="1217"/>
      <c r="Y34" s="3399"/>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99" t="s">
        <v>1421</v>
      </c>
      <c r="Q35" s="625" t="str">
        <f t="shared" si="11"/>
        <v>市政基础设施</v>
      </c>
      <c r="R35" s="1219" t="s">
        <v>1393</v>
      </c>
      <c r="S35" s="1220">
        <f t="shared" si="12"/>
        <v>100</v>
      </c>
      <c r="T35" s="1219" t="s">
        <v>1393</v>
      </c>
      <c r="U35" s="1220">
        <f t="shared" si="13"/>
        <v>100</v>
      </c>
      <c r="V35" s="1219" t="s">
        <v>1393</v>
      </c>
      <c r="W35" s="1220">
        <f t="shared" si="14"/>
        <v>100</v>
      </c>
      <c r="X35" s="1214"/>
      <c r="Y35" s="3399"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99"/>
      <c r="Q36" s="625" t="str">
        <f t="shared" si="11"/>
        <v>内部装修</v>
      </c>
      <c r="R36" s="1219" t="s">
        <v>1393</v>
      </c>
      <c r="S36" s="1220">
        <f t="shared" si="12"/>
        <v>100</v>
      </c>
      <c r="T36" s="1219" t="s">
        <v>1393</v>
      </c>
      <c r="U36" s="1220">
        <f t="shared" si="13"/>
        <v>100</v>
      </c>
      <c r="V36" s="1219" t="s">
        <v>1393</v>
      </c>
      <c r="W36" s="1220">
        <f t="shared" si="14"/>
        <v>100</v>
      </c>
      <c r="X36" s="1214"/>
      <c r="Y36" s="3399"/>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99"/>
      <c r="Q37" s="625" t="str">
        <f t="shared" si="11"/>
        <v>内部装修状况</v>
      </c>
      <c r="R37" s="1219" t="s">
        <v>1393</v>
      </c>
      <c r="S37" s="1220">
        <f t="shared" si="12"/>
        <v>100</v>
      </c>
      <c r="T37" s="1219" t="s">
        <v>1393</v>
      </c>
      <c r="U37" s="1220">
        <f t="shared" si="13"/>
        <v>100</v>
      </c>
      <c r="V37" s="1219" t="s">
        <v>1393</v>
      </c>
      <c r="W37" s="1220">
        <f t="shared" si="14"/>
        <v>100</v>
      </c>
      <c r="X37" s="1214"/>
      <c r="Y37" s="3399"/>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99"/>
      <c r="Q38" s="1415">
        <f t="shared" si="11"/>
        <v>111</v>
      </c>
      <c r="R38" s="1221" t="s">
        <v>1393</v>
      </c>
      <c r="S38" s="1222">
        <f t="shared" si="12"/>
        <v>100</v>
      </c>
      <c r="T38" s="1221" t="s">
        <v>1393</v>
      </c>
      <c r="U38" s="1222">
        <f t="shared" si="13"/>
        <v>100</v>
      </c>
      <c r="V38" s="1221" t="s">
        <v>1393</v>
      </c>
      <c r="W38" s="1222">
        <f t="shared" si="14"/>
        <v>100</v>
      </c>
      <c r="X38" s="1223"/>
      <c r="Y38" s="3399"/>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99"/>
      <c r="Q39" s="625">
        <f t="shared" si="11"/>
        <v>111</v>
      </c>
      <c r="R39" s="1219" t="s">
        <v>1393</v>
      </c>
      <c r="S39" s="1220">
        <f t="shared" si="12"/>
        <v>100</v>
      </c>
      <c r="T39" s="1219" t="s">
        <v>1393</v>
      </c>
      <c r="U39" s="1220">
        <f t="shared" si="13"/>
        <v>100</v>
      </c>
      <c r="V39" s="1219" t="s">
        <v>1393</v>
      </c>
      <c r="W39" s="1220">
        <f t="shared" si="14"/>
        <v>100</v>
      </c>
      <c r="X39" s="1214"/>
      <c r="Y39" s="3399"/>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400"/>
      <c r="Q40" s="625">
        <f t="shared" si="11"/>
        <v>111</v>
      </c>
      <c r="R40" s="1219" t="s">
        <v>1393</v>
      </c>
      <c r="S40" s="1220">
        <f t="shared" si="12"/>
        <v>100</v>
      </c>
      <c r="T40" s="1219" t="s">
        <v>1393</v>
      </c>
      <c r="U40" s="1220">
        <f t="shared" si="13"/>
        <v>100</v>
      </c>
      <c r="V40" s="1219" t="s">
        <v>1393</v>
      </c>
      <c r="W40" s="1220">
        <f t="shared" si="14"/>
        <v>100</v>
      </c>
      <c r="X40" s="1214"/>
      <c r="Y40" s="3400"/>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5" t="str">
        <f>A41</f>
        <v>成交单价（元/平方米）</v>
      </c>
      <c r="Q41" s="3385"/>
      <c r="R41" s="3383">
        <f>E41</f>
        <v>0</v>
      </c>
      <c r="S41" s="3383"/>
      <c r="T41" s="3383">
        <f>G41</f>
        <v>0</v>
      </c>
      <c r="U41" s="3383"/>
      <c r="V41" s="3383">
        <f>I41</f>
        <v>0</v>
      </c>
      <c r="W41" s="3383"/>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5" t="str">
        <f>A42</f>
        <v>比较价值（元/平方米）</v>
      </c>
      <c r="Q42" s="3385"/>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9" t="str">
        <f>A43</f>
        <v>估价对象XX用房的比较价值（楼面单价，元/平方米）</v>
      </c>
      <c r="Q43" s="3420"/>
      <c r="R43" s="3421" t="e">
        <f>IF(F1="售价",ROUND(IF(D42="简单平均",AVERAGE(R42:V42),R42*F42+T42*H42+V42*J42),0),ROUND(IF(D42="简单平均",AVERAGE(R42:V42),R42*F42+T42*H42+V42*J42),1))</f>
        <v>#DIV/0!</v>
      </c>
      <c r="S43" s="3421"/>
      <c r="T43" s="3421"/>
      <c r="U43" s="3421"/>
      <c r="V43" s="3421"/>
      <c r="W43" s="3421"/>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估价对象为北京市房地产，为所有。根据《国有土地使用证》[]，估价对象（分摊）出让国有建设用地使用权面积为0平方米，建筑面积为158.43平方米。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估价对象为北京市房地产,属开发建设的办公项目，该项目尚在开发建设中。根据《国有土地使用证》[]，估价对象（分摊）出让国有建设用地使用权面积为0平方米，规划建筑面积为158.43平方米。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2025年11月14日（评估专业人员实地查勘之日）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14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6" t="s">
        <v>1379</v>
      </c>
      <c r="D4" s="3407"/>
      <c r="E4" s="3408" t="s">
        <v>1380</v>
      </c>
      <c r="F4" s="3409"/>
      <c r="G4" s="3406" t="s">
        <v>1381</v>
      </c>
      <c r="H4" s="3407"/>
      <c r="I4" s="3406" t="s">
        <v>1382</v>
      </c>
      <c r="J4" s="3407"/>
      <c r="K4" s="1171" t="s">
        <v>1383</v>
      </c>
      <c r="L4" s="1172"/>
      <c r="M4" s="1122"/>
      <c r="N4" s="1122"/>
      <c r="O4" s="1122"/>
      <c r="P4" s="3413" t="s">
        <v>1384</v>
      </c>
      <c r="Q4" s="3414"/>
      <c r="R4" s="3417" t="s">
        <v>1380</v>
      </c>
      <c r="S4" s="3418"/>
      <c r="T4" s="3417" t="s">
        <v>1381</v>
      </c>
      <c r="U4" s="3418"/>
      <c r="V4" s="3383" t="s">
        <v>1382</v>
      </c>
      <c r="W4" s="3383"/>
      <c r="X4" s="1214"/>
      <c r="Y4" s="3417" t="s">
        <v>1384</v>
      </c>
      <c r="Z4" s="3418"/>
      <c r="AA4" s="3412" t="s">
        <v>1380</v>
      </c>
      <c r="AB4" s="3365" t="s">
        <v>1381</v>
      </c>
      <c r="AC4" s="3412" t="s">
        <v>1382</v>
      </c>
    </row>
    <row r="5" spans="1:29" ht="15">
      <c r="A5" s="1029"/>
      <c r="B5" s="1030"/>
      <c r="C5" s="3422" t="s">
        <v>1385</v>
      </c>
      <c r="D5" s="3411"/>
      <c r="E5" s="3423" t="s">
        <v>1386</v>
      </c>
      <c r="F5" s="3424"/>
      <c r="G5" s="3422" t="s">
        <v>1387</v>
      </c>
      <c r="H5" s="3411"/>
      <c r="I5" s="3422" t="s">
        <v>1388</v>
      </c>
      <c r="J5" s="3411"/>
      <c r="K5" s="1171"/>
      <c r="L5" s="1172"/>
      <c r="M5" s="1122"/>
      <c r="N5" s="1122"/>
      <c r="O5" s="1122"/>
      <c r="P5" s="3415"/>
      <c r="Q5" s="3373"/>
      <c r="R5" s="3378"/>
      <c r="S5" s="3379"/>
      <c r="T5" s="3378"/>
      <c r="U5" s="3379"/>
      <c r="V5" s="3383"/>
      <c r="W5" s="3383"/>
      <c r="X5" s="1214"/>
      <c r="Y5" s="3378"/>
      <c r="Z5" s="3379"/>
      <c r="AA5" s="3365"/>
      <c r="AB5" s="3365"/>
      <c r="AC5" s="3365"/>
    </row>
    <row r="6" spans="1:29" ht="15">
      <c r="A6" s="1031"/>
      <c r="B6" s="1032"/>
      <c r="C6" s="3401" t="s">
        <v>1389</v>
      </c>
      <c r="D6" s="3402"/>
      <c r="E6" s="3403" t="s">
        <v>1389</v>
      </c>
      <c r="F6" s="3404"/>
      <c r="G6" s="3401" t="s">
        <v>1389</v>
      </c>
      <c r="H6" s="3402"/>
      <c r="I6" s="3401" t="s">
        <v>1389</v>
      </c>
      <c r="J6" s="3402"/>
      <c r="K6" s="1171" t="s">
        <v>1390</v>
      </c>
      <c r="L6" s="1172"/>
      <c r="M6" s="1122"/>
      <c r="N6" s="1122"/>
      <c r="O6" s="1122"/>
      <c r="P6" s="3416"/>
      <c r="Q6" s="3375"/>
      <c r="R6" s="3378"/>
      <c r="S6" s="3379"/>
      <c r="T6" s="3380"/>
      <c r="U6" s="3381"/>
      <c r="V6" s="3383"/>
      <c r="W6" s="3383"/>
      <c r="X6" s="1214"/>
      <c r="Y6" s="3380"/>
      <c r="Z6" s="3381"/>
      <c r="AA6" s="3366"/>
      <c r="AB6" s="3366"/>
      <c r="AC6" s="3366"/>
    </row>
    <row r="7" spans="1:29" s="1008" customFormat="1" ht="15">
      <c r="A7" s="1033" t="s">
        <v>1391</v>
      </c>
      <c r="B7" s="1034"/>
      <c r="C7" s="1035">
        <f>'数据-取费表'!B2</f>
        <v>45975</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89" t="s">
        <v>1392</v>
      </c>
      <c r="Q7" s="3405"/>
      <c r="R7" s="1215" t="s">
        <v>1393</v>
      </c>
      <c r="S7" s="1216">
        <f t="shared" ref="S7:S14" si="0">F7</f>
        <v>0</v>
      </c>
      <c r="T7" s="1215" t="s">
        <v>1393</v>
      </c>
      <c r="U7" s="1216">
        <f t="shared" ref="U7:U14" si="1">H7</f>
        <v>0</v>
      </c>
      <c r="V7" s="1215" t="s">
        <v>1393</v>
      </c>
      <c r="W7" s="1216">
        <f t="shared" ref="W7:W14" si="2">J7</f>
        <v>0</v>
      </c>
      <c r="X7" s="1217"/>
      <c r="Y7" s="3389" t="s">
        <v>1392</v>
      </c>
      <c r="Z7" s="3390"/>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89" t="s">
        <v>1397</v>
      </c>
      <c r="Q8" s="3390"/>
      <c r="R8" s="1215" t="s">
        <v>1393</v>
      </c>
      <c r="S8" s="1216">
        <f t="shared" si="0"/>
        <v>100</v>
      </c>
      <c r="T8" s="1215" t="s">
        <v>1393</v>
      </c>
      <c r="U8" s="1216">
        <f t="shared" si="1"/>
        <v>100</v>
      </c>
      <c r="V8" s="1215" t="s">
        <v>1393</v>
      </c>
      <c r="W8" s="1216">
        <f t="shared" si="2"/>
        <v>100</v>
      </c>
      <c r="X8" s="1217"/>
      <c r="Y8" s="3389" t="s">
        <v>1397</v>
      </c>
      <c r="Z8" s="3390"/>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5" t="s">
        <v>1400</v>
      </c>
      <c r="Q9" s="794" t="str">
        <f t="shared" ref="Q9:Q14" si="6">B9</f>
        <v>用途</v>
      </c>
      <c r="R9" s="1215" t="s">
        <v>1393</v>
      </c>
      <c r="S9" s="1216">
        <f t="shared" si="0"/>
        <v>100</v>
      </c>
      <c r="T9" s="1215" t="s">
        <v>1393</v>
      </c>
      <c r="U9" s="1216">
        <f t="shared" si="1"/>
        <v>100</v>
      </c>
      <c r="V9" s="1215" t="s">
        <v>1393</v>
      </c>
      <c r="W9" s="1216">
        <f t="shared" si="2"/>
        <v>100</v>
      </c>
      <c r="X9" s="1217"/>
      <c r="Y9" s="3271"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5"/>
      <c r="Q10" s="794" t="str">
        <f t="shared" si="6"/>
        <v>土地使用年限（年）</v>
      </c>
      <c r="R10" s="1215" t="s">
        <v>1393</v>
      </c>
      <c r="S10" s="1216">
        <f t="shared" si="0"/>
        <v>100</v>
      </c>
      <c r="T10" s="1215" t="s">
        <v>1393</v>
      </c>
      <c r="U10" s="1216">
        <f t="shared" si="1"/>
        <v>100</v>
      </c>
      <c r="V10" s="1215" t="s">
        <v>1393</v>
      </c>
      <c r="W10" s="1216">
        <f t="shared" si="2"/>
        <v>100</v>
      </c>
      <c r="X10" s="1217"/>
      <c r="Y10" s="3271"/>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5"/>
      <c r="Q11" s="794">
        <f t="shared" si="6"/>
        <v>111</v>
      </c>
      <c r="R11" s="1215" t="s">
        <v>1393</v>
      </c>
      <c r="S11" s="1216">
        <f t="shared" si="0"/>
        <v>100</v>
      </c>
      <c r="T11" s="1215" t="s">
        <v>1393</v>
      </c>
      <c r="U11" s="1216">
        <f t="shared" si="1"/>
        <v>100</v>
      </c>
      <c r="V11" s="1215" t="s">
        <v>1393</v>
      </c>
      <c r="W11" s="1216">
        <f t="shared" si="2"/>
        <v>100</v>
      </c>
      <c r="X11" s="1217"/>
      <c r="Y11" s="3271"/>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5"/>
      <c r="Q12" s="794">
        <f t="shared" si="6"/>
        <v>111</v>
      </c>
      <c r="R12" s="1215" t="s">
        <v>1393</v>
      </c>
      <c r="S12" s="1216">
        <f t="shared" si="0"/>
        <v>100</v>
      </c>
      <c r="T12" s="1215" t="s">
        <v>1393</v>
      </c>
      <c r="U12" s="1216">
        <f t="shared" si="1"/>
        <v>100</v>
      </c>
      <c r="V12" s="1215" t="s">
        <v>1393</v>
      </c>
      <c r="W12" s="1216">
        <f t="shared" si="2"/>
        <v>100</v>
      </c>
      <c r="X12" s="1217"/>
      <c r="Y12" s="3271"/>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5"/>
      <c r="Q13" s="794">
        <f t="shared" si="6"/>
        <v>111</v>
      </c>
      <c r="R13" s="1215" t="s">
        <v>1393</v>
      </c>
      <c r="S13" s="1216">
        <f t="shared" si="0"/>
        <v>100</v>
      </c>
      <c r="T13" s="1215" t="s">
        <v>1393</v>
      </c>
      <c r="U13" s="1216">
        <f t="shared" si="1"/>
        <v>100</v>
      </c>
      <c r="V13" s="1215" t="s">
        <v>1393</v>
      </c>
      <c r="W13" s="1216">
        <f t="shared" si="2"/>
        <v>100</v>
      </c>
      <c r="X13" s="1217"/>
      <c r="Y13" s="3271"/>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7" t="s">
        <v>1406</v>
      </c>
      <c r="Q14" s="625" t="str">
        <f t="shared" si="6"/>
        <v>交通便捷度</v>
      </c>
      <c r="R14" s="1219" t="s">
        <v>1393</v>
      </c>
      <c r="S14" s="1220">
        <f t="shared" si="0"/>
        <v>100</v>
      </c>
      <c r="T14" s="1219" t="s">
        <v>1393</v>
      </c>
      <c r="U14" s="1220">
        <f t="shared" si="1"/>
        <v>100</v>
      </c>
      <c r="V14" s="1219" t="s">
        <v>1393</v>
      </c>
      <c r="W14" s="1220">
        <f t="shared" si="2"/>
        <v>100</v>
      </c>
      <c r="X14" s="1214"/>
      <c r="Y14" s="3397"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8"/>
      <c r="Q15" s="625"/>
      <c r="R15" s="1219"/>
      <c r="S15" s="1220"/>
      <c r="T15" s="1219"/>
      <c r="U15" s="1220"/>
      <c r="V15" s="1219"/>
      <c r="W15" s="1220"/>
      <c r="X15" s="1214"/>
      <c r="Y15" s="3398"/>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8"/>
      <c r="Q16" s="625" t="str">
        <f>B16</f>
        <v>公共配套设施</v>
      </c>
      <c r="R16" s="1219" t="s">
        <v>1393</v>
      </c>
      <c r="S16" s="1220">
        <f>F16</f>
        <v>100</v>
      </c>
      <c r="T16" s="1219" t="s">
        <v>1393</v>
      </c>
      <c r="U16" s="1220">
        <f>H16</f>
        <v>100</v>
      </c>
      <c r="V16" s="1219" t="s">
        <v>1393</v>
      </c>
      <c r="W16" s="1220">
        <f>J16</f>
        <v>100</v>
      </c>
      <c r="X16" s="1214"/>
      <c r="Y16" s="3398"/>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8"/>
      <c r="Q17" s="625"/>
      <c r="R17" s="1219"/>
      <c r="S17" s="1220"/>
      <c r="T17" s="1219"/>
      <c r="U17" s="1220"/>
      <c r="V17" s="1219"/>
      <c r="W17" s="1220"/>
      <c r="X17" s="1214"/>
      <c r="Y17" s="3398"/>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8"/>
      <c r="Q18" s="625" t="str">
        <f>B18</f>
        <v>基础设施水平</v>
      </c>
      <c r="R18" s="1219" t="s">
        <v>1393</v>
      </c>
      <c r="S18" s="1220">
        <f>F18</f>
        <v>100</v>
      </c>
      <c r="T18" s="1219" t="s">
        <v>1393</v>
      </c>
      <c r="U18" s="1220">
        <f>H18</f>
        <v>100</v>
      </c>
      <c r="V18" s="1219" t="s">
        <v>1393</v>
      </c>
      <c r="W18" s="1220">
        <f>J18</f>
        <v>100</v>
      </c>
      <c r="X18" s="1214"/>
      <c r="Y18" s="3398"/>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8"/>
      <c r="Q19" s="625"/>
      <c r="R19" s="1219"/>
      <c r="S19" s="1220"/>
      <c r="T19" s="1219"/>
      <c r="U19" s="1220"/>
      <c r="V19" s="1219"/>
      <c r="W19" s="1220"/>
      <c r="X19" s="1214"/>
      <c r="Y19" s="3398"/>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8"/>
      <c r="Q20" s="625" t="str">
        <f>B20</f>
        <v>自然及人文环境</v>
      </c>
      <c r="R20" s="1219" t="s">
        <v>1393</v>
      </c>
      <c r="S20" s="1220">
        <f>F20</f>
        <v>100</v>
      </c>
      <c r="T20" s="1219" t="s">
        <v>1393</v>
      </c>
      <c r="U20" s="1220">
        <f>H20</f>
        <v>100</v>
      </c>
      <c r="V20" s="1219" t="s">
        <v>1393</v>
      </c>
      <c r="W20" s="1220">
        <f>J20</f>
        <v>100</v>
      </c>
      <c r="X20" s="1214"/>
      <c r="Y20" s="3398"/>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8"/>
      <c r="Q21" s="625"/>
      <c r="R21" s="1219"/>
      <c r="S21" s="1220"/>
      <c r="T21" s="1219"/>
      <c r="U21" s="1220"/>
      <c r="V21" s="1219"/>
      <c r="W21" s="1220"/>
      <c r="X21" s="1214"/>
      <c r="Y21" s="3398"/>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8"/>
      <c r="Q22" s="625" t="str">
        <f>B22</f>
        <v>楼层</v>
      </c>
      <c r="R22" s="1219" t="s">
        <v>1393</v>
      </c>
      <c r="S22" s="1220">
        <f>F22</f>
        <v>100</v>
      </c>
      <c r="T22" s="1219" t="s">
        <v>1393</v>
      </c>
      <c r="U22" s="1220">
        <f>H22</f>
        <v>100</v>
      </c>
      <c r="V22" s="1219" t="s">
        <v>1393</v>
      </c>
      <c r="W22" s="1220">
        <f>J22</f>
        <v>100</v>
      </c>
      <c r="X22" s="1214"/>
      <c r="Y22" s="3398"/>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8"/>
      <c r="Q23" s="625">
        <f>B23</f>
        <v>111</v>
      </c>
      <c r="R23" s="1219" t="s">
        <v>1393</v>
      </c>
      <c r="S23" s="1220">
        <f>F23</f>
        <v>100</v>
      </c>
      <c r="T23" s="1219" t="s">
        <v>1393</v>
      </c>
      <c r="U23" s="1220">
        <f>H23</f>
        <v>100</v>
      </c>
      <c r="V23" s="1219" t="s">
        <v>1393</v>
      </c>
      <c r="W23" s="1220">
        <f>J23</f>
        <v>100</v>
      </c>
      <c r="X23" s="1214"/>
      <c r="Y23" s="3398"/>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8"/>
      <c r="Q24" s="625">
        <f t="shared" ref="Q24:Q36" si="11">B24</f>
        <v>111</v>
      </c>
      <c r="R24" s="1219" t="s">
        <v>1393</v>
      </c>
      <c r="S24" s="1220">
        <f>F24</f>
        <v>100</v>
      </c>
      <c r="T24" s="1219" t="s">
        <v>1393</v>
      </c>
      <c r="U24" s="1220">
        <f>H24</f>
        <v>100</v>
      </c>
      <c r="V24" s="1219" t="s">
        <v>1393</v>
      </c>
      <c r="W24" s="1220">
        <f>J24</f>
        <v>100</v>
      </c>
      <c r="X24" s="1214"/>
      <c r="Y24" s="3398"/>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8"/>
      <c r="Q25" s="794">
        <f t="shared" si="11"/>
        <v>111</v>
      </c>
      <c r="R25" s="1215" t="s">
        <v>1393</v>
      </c>
      <c r="S25" s="1216">
        <f>F25</f>
        <v>100</v>
      </c>
      <c r="T25" s="1215" t="s">
        <v>1393</v>
      </c>
      <c r="U25" s="1216">
        <f>H25</f>
        <v>100</v>
      </c>
      <c r="V25" s="1215" t="s">
        <v>1393</v>
      </c>
      <c r="W25" s="1216">
        <f>J25</f>
        <v>100</v>
      </c>
      <c r="X25" s="1217"/>
      <c r="Y25" s="3398"/>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6"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99"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99"/>
      <c r="Q27" s="1415" t="str">
        <f t="shared" si="11"/>
        <v>项目停车位配比</v>
      </c>
      <c r="R27" s="1221" t="s">
        <v>1393</v>
      </c>
      <c r="S27" s="1222">
        <f t="shared" si="12"/>
        <v>100</v>
      </c>
      <c r="T27" s="1221" t="s">
        <v>1393</v>
      </c>
      <c r="U27" s="1222">
        <f t="shared" si="13"/>
        <v>100</v>
      </c>
      <c r="V27" s="1221" t="s">
        <v>1393</v>
      </c>
      <c r="W27" s="1222">
        <f t="shared" si="14"/>
        <v>100</v>
      </c>
      <c r="X27" s="1223"/>
      <c r="Y27" s="3399"/>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99"/>
      <c r="Q28" s="625" t="str">
        <f t="shared" si="11"/>
        <v>公共部分装修</v>
      </c>
      <c r="R28" s="1219" t="s">
        <v>1393</v>
      </c>
      <c r="S28" s="1220">
        <f t="shared" si="12"/>
        <v>100</v>
      </c>
      <c r="T28" s="1219" t="s">
        <v>1393</v>
      </c>
      <c r="U28" s="1220">
        <f t="shared" si="13"/>
        <v>100</v>
      </c>
      <c r="V28" s="1219" t="s">
        <v>1393</v>
      </c>
      <c r="W28" s="1220">
        <f t="shared" si="14"/>
        <v>100</v>
      </c>
      <c r="X28" s="1214"/>
      <c r="Y28" s="3399"/>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99"/>
      <c r="Q29" s="625" t="str">
        <f t="shared" si="11"/>
        <v>成新率</v>
      </c>
      <c r="R29" s="1219" t="s">
        <v>1393</v>
      </c>
      <c r="S29" s="1220" t="e">
        <f t="shared" si="12"/>
        <v>#N/A</v>
      </c>
      <c r="T29" s="1219" t="s">
        <v>1393</v>
      </c>
      <c r="U29" s="1220" t="e">
        <f t="shared" si="13"/>
        <v>#N/A</v>
      </c>
      <c r="V29" s="1219" t="s">
        <v>1393</v>
      </c>
      <c r="W29" s="1220" t="e">
        <f t="shared" si="14"/>
        <v>#N/A</v>
      </c>
      <c r="X29" s="1214"/>
      <c r="Y29" s="3399"/>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99"/>
      <c r="Q30" s="625" t="str">
        <f t="shared" si="11"/>
        <v>物业等级</v>
      </c>
      <c r="R30" s="1219" t="s">
        <v>1393</v>
      </c>
      <c r="S30" s="1220">
        <f t="shared" si="12"/>
        <v>100</v>
      </c>
      <c r="T30" s="1219" t="s">
        <v>1393</v>
      </c>
      <c r="U30" s="1220">
        <f t="shared" si="13"/>
        <v>100</v>
      </c>
      <c r="V30" s="1219" t="s">
        <v>1393</v>
      </c>
      <c r="W30" s="1220">
        <f t="shared" si="14"/>
        <v>100</v>
      </c>
      <c r="X30" s="1214"/>
      <c r="Y30" s="3399"/>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99"/>
      <c r="Q31" s="794" t="str">
        <f t="shared" si="11"/>
        <v>停车位面积</v>
      </c>
      <c r="R31" s="1215" t="s">
        <v>1393</v>
      </c>
      <c r="S31" s="1216" t="e">
        <f t="shared" si="12"/>
        <v>#N/A</v>
      </c>
      <c r="T31" s="1215" t="s">
        <v>1393</v>
      </c>
      <c r="U31" s="1216" t="e">
        <f t="shared" si="13"/>
        <v>#N/A</v>
      </c>
      <c r="V31" s="1215" t="s">
        <v>1393</v>
      </c>
      <c r="W31" s="1216" t="e">
        <f t="shared" si="14"/>
        <v>#N/A</v>
      </c>
      <c r="X31" s="1217"/>
      <c r="Y31" s="3399"/>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99" t="s">
        <v>1421</v>
      </c>
      <c r="Q32" s="625" t="str">
        <f t="shared" si="11"/>
        <v>车位类型</v>
      </c>
      <c r="R32" s="1219" t="s">
        <v>1393</v>
      </c>
      <c r="S32" s="1220">
        <f t="shared" si="12"/>
        <v>100</v>
      </c>
      <c r="T32" s="1219" t="s">
        <v>1393</v>
      </c>
      <c r="U32" s="1220">
        <f t="shared" si="13"/>
        <v>100</v>
      </c>
      <c r="V32" s="1219" t="s">
        <v>1393</v>
      </c>
      <c r="W32" s="1220">
        <f t="shared" si="14"/>
        <v>100</v>
      </c>
      <c r="X32" s="1214"/>
      <c r="Y32" s="3399"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99"/>
      <c r="Q33" s="625" t="str">
        <f t="shared" si="11"/>
        <v>是否直接入户</v>
      </c>
      <c r="R33" s="1219" t="s">
        <v>1393</v>
      </c>
      <c r="S33" s="1220">
        <f t="shared" si="12"/>
        <v>100</v>
      </c>
      <c r="T33" s="1219" t="s">
        <v>1393</v>
      </c>
      <c r="U33" s="1220">
        <f t="shared" si="13"/>
        <v>100</v>
      </c>
      <c r="V33" s="1219" t="s">
        <v>1393</v>
      </c>
      <c r="W33" s="1220">
        <f t="shared" si="14"/>
        <v>100</v>
      </c>
      <c r="X33" s="1214"/>
      <c r="Y33" s="3399"/>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99"/>
      <c r="Q34" s="625">
        <f t="shared" si="11"/>
        <v>111</v>
      </c>
      <c r="R34" s="1219" t="s">
        <v>1393</v>
      </c>
      <c r="S34" s="1220">
        <f t="shared" si="12"/>
        <v>100</v>
      </c>
      <c r="T34" s="1219" t="s">
        <v>1393</v>
      </c>
      <c r="U34" s="1220">
        <f t="shared" si="13"/>
        <v>100</v>
      </c>
      <c r="V34" s="1219" t="s">
        <v>1393</v>
      </c>
      <c r="W34" s="1220">
        <f t="shared" si="14"/>
        <v>100</v>
      </c>
      <c r="X34" s="1214"/>
      <c r="Y34" s="3399"/>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99"/>
      <c r="Q35" s="1415">
        <f t="shared" si="11"/>
        <v>111</v>
      </c>
      <c r="R35" s="1221" t="s">
        <v>1393</v>
      </c>
      <c r="S35" s="1222">
        <f t="shared" si="12"/>
        <v>100</v>
      </c>
      <c r="T35" s="1221" t="s">
        <v>1393</v>
      </c>
      <c r="U35" s="1222">
        <f t="shared" si="13"/>
        <v>100</v>
      </c>
      <c r="V35" s="1221" t="s">
        <v>1393</v>
      </c>
      <c r="W35" s="1222">
        <f t="shared" si="14"/>
        <v>100</v>
      </c>
      <c r="X35" s="1223"/>
      <c r="Y35" s="3399"/>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99"/>
      <c r="Q36" s="625">
        <f t="shared" si="11"/>
        <v>111</v>
      </c>
      <c r="R36" s="1219" t="s">
        <v>1393</v>
      </c>
      <c r="S36" s="1220">
        <f t="shared" si="12"/>
        <v>100</v>
      </c>
      <c r="T36" s="1219" t="s">
        <v>1393</v>
      </c>
      <c r="U36" s="1220">
        <f t="shared" si="13"/>
        <v>100</v>
      </c>
      <c r="V36" s="1219" t="s">
        <v>1393</v>
      </c>
      <c r="W36" s="1220">
        <f t="shared" si="14"/>
        <v>100</v>
      </c>
      <c r="X36" s="1214"/>
      <c r="Y36" s="3399"/>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5" t="str">
        <f>A37</f>
        <v>成交单价</v>
      </c>
      <c r="Q37" s="3385"/>
      <c r="R37" s="3383">
        <f>E37</f>
        <v>0</v>
      </c>
      <c r="S37" s="3383"/>
      <c r="T37" s="3383">
        <f>G37</f>
        <v>0</v>
      </c>
      <c r="U37" s="3383"/>
      <c r="V37" s="3383">
        <f>I37</f>
        <v>0</v>
      </c>
      <c r="W37" s="3383"/>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5" t="str">
        <f>A38</f>
        <v>比较价值（元/平方米）</v>
      </c>
      <c r="Q38" s="3385"/>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9" t="str">
        <f>A39</f>
        <v>估价对象XX用房的比较价值（楼面单价，元/平方米）</v>
      </c>
      <c r="Q39" s="3420"/>
      <c r="R39" s="3447" t="e">
        <f>IF(F1="售价",ROUND(IF(D38="简单平均",AVERAGE(R38:W38),R38*F38+T38*H38+V38*J38),0),ROUND(IF(D38="简单平均",AVERAGE(R38:V38),R38*F38+T38*H38+V38*J38),1))</f>
        <v>#DIV/0!</v>
      </c>
      <c r="S39" s="3447"/>
      <c r="T39" s="3447"/>
      <c r="U39" s="3447"/>
      <c r="V39" s="3447"/>
      <c r="W39" s="3447"/>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6" t="s">
        <v>1379</v>
      </c>
      <c r="D4" s="3407"/>
      <c r="E4" s="3408" t="s">
        <v>1380</v>
      </c>
      <c r="F4" s="3409"/>
      <c r="G4" s="3406" t="s">
        <v>1381</v>
      </c>
      <c r="H4" s="3407"/>
      <c r="I4" s="3406" t="s">
        <v>1382</v>
      </c>
      <c r="J4" s="3407"/>
      <c r="K4" s="1171" t="s">
        <v>1383</v>
      </c>
      <c r="L4" s="1172"/>
      <c r="M4" s="1122"/>
      <c r="N4" s="1122"/>
      <c r="O4" s="1122"/>
      <c r="P4" s="3413" t="s">
        <v>1384</v>
      </c>
      <c r="Q4" s="3414"/>
      <c r="R4" s="3417" t="s">
        <v>1380</v>
      </c>
      <c r="S4" s="3418"/>
      <c r="T4" s="3417" t="s">
        <v>1381</v>
      </c>
      <c r="U4" s="3418"/>
      <c r="V4" s="3383" t="s">
        <v>1382</v>
      </c>
      <c r="W4" s="3383"/>
      <c r="X4" s="1214"/>
      <c r="Y4" s="3417" t="s">
        <v>1384</v>
      </c>
      <c r="Z4" s="3418"/>
      <c r="AA4" s="3412" t="s">
        <v>1380</v>
      </c>
      <c r="AB4" s="3365" t="s">
        <v>1381</v>
      </c>
      <c r="AC4" s="3412" t="s">
        <v>1382</v>
      </c>
    </row>
    <row r="5" spans="1:29" ht="15">
      <c r="A5" s="1029"/>
      <c r="B5" s="1030"/>
      <c r="C5" s="3422" t="s">
        <v>1385</v>
      </c>
      <c r="D5" s="3411"/>
      <c r="E5" s="3423" t="s">
        <v>1386</v>
      </c>
      <c r="F5" s="3424"/>
      <c r="G5" s="3422" t="s">
        <v>1387</v>
      </c>
      <c r="H5" s="3411"/>
      <c r="I5" s="3422" t="s">
        <v>1388</v>
      </c>
      <c r="J5" s="3411"/>
      <c r="K5" s="1171"/>
      <c r="L5" s="1172"/>
      <c r="M5" s="1122"/>
      <c r="N5" s="1122"/>
      <c r="O5" s="1122"/>
      <c r="P5" s="3415"/>
      <c r="Q5" s="3373"/>
      <c r="R5" s="3378"/>
      <c r="S5" s="3379"/>
      <c r="T5" s="3378"/>
      <c r="U5" s="3379"/>
      <c r="V5" s="3383"/>
      <c r="W5" s="3383"/>
      <c r="X5" s="1214"/>
      <c r="Y5" s="3378"/>
      <c r="Z5" s="3379"/>
      <c r="AA5" s="3365"/>
      <c r="AB5" s="3365"/>
      <c r="AC5" s="3365"/>
    </row>
    <row r="6" spans="1:29" ht="15">
      <c r="A6" s="1031"/>
      <c r="B6" s="1032"/>
      <c r="C6" s="3401" t="s">
        <v>1389</v>
      </c>
      <c r="D6" s="3402"/>
      <c r="E6" s="3403" t="s">
        <v>1389</v>
      </c>
      <c r="F6" s="3404"/>
      <c r="G6" s="3401" t="s">
        <v>1389</v>
      </c>
      <c r="H6" s="3402"/>
      <c r="I6" s="3401" t="s">
        <v>1389</v>
      </c>
      <c r="J6" s="3402"/>
      <c r="K6" s="1171" t="s">
        <v>1390</v>
      </c>
      <c r="L6" s="1172"/>
      <c r="M6" s="1122"/>
      <c r="N6" s="1122"/>
      <c r="O6" s="1122"/>
      <c r="P6" s="3416"/>
      <c r="Q6" s="3375"/>
      <c r="R6" s="3378"/>
      <c r="S6" s="3379"/>
      <c r="T6" s="3380"/>
      <c r="U6" s="3381"/>
      <c r="V6" s="3383"/>
      <c r="W6" s="3383"/>
      <c r="X6" s="1214"/>
      <c r="Y6" s="3380"/>
      <c r="Z6" s="3381"/>
      <c r="AA6" s="3366"/>
      <c r="AB6" s="3366"/>
      <c r="AC6" s="3366"/>
    </row>
    <row r="7" spans="1:29" s="1008" customFormat="1" ht="15">
      <c r="A7" s="1033" t="s">
        <v>1391</v>
      </c>
      <c r="B7" s="1034"/>
      <c r="C7" s="1035">
        <f>'数据-取费表'!B2</f>
        <v>45975</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89" t="s">
        <v>1392</v>
      </c>
      <c r="Q7" s="3405"/>
      <c r="R7" s="1215" t="s">
        <v>1393</v>
      </c>
      <c r="S7" s="1216">
        <f t="shared" ref="S7:S14" si="0">F7</f>
        <v>0</v>
      </c>
      <c r="T7" s="1215" t="s">
        <v>1393</v>
      </c>
      <c r="U7" s="1216">
        <f t="shared" ref="U7:U14" si="1">H7</f>
        <v>0</v>
      </c>
      <c r="V7" s="1215" t="s">
        <v>1393</v>
      </c>
      <c r="W7" s="1216">
        <f t="shared" ref="W7:W14" si="2">J7</f>
        <v>0</v>
      </c>
      <c r="X7" s="1217"/>
      <c r="Y7" s="3389" t="s">
        <v>1392</v>
      </c>
      <c r="Z7" s="3390"/>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89" t="s">
        <v>1397</v>
      </c>
      <c r="Q8" s="3390"/>
      <c r="R8" s="1215" t="s">
        <v>1393</v>
      </c>
      <c r="S8" s="1216">
        <f t="shared" si="0"/>
        <v>100</v>
      </c>
      <c r="T8" s="1215" t="s">
        <v>1393</v>
      </c>
      <c r="U8" s="1216">
        <f t="shared" si="1"/>
        <v>100</v>
      </c>
      <c r="V8" s="1215" t="s">
        <v>1393</v>
      </c>
      <c r="W8" s="1216">
        <f t="shared" si="2"/>
        <v>100</v>
      </c>
      <c r="X8" s="1217"/>
      <c r="Y8" s="3389" t="s">
        <v>1397</v>
      </c>
      <c r="Z8" s="3390"/>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5" t="s">
        <v>1400</v>
      </c>
      <c r="Q9" s="794" t="str">
        <f t="shared" ref="Q9:Q14" si="6">B9</f>
        <v>用途</v>
      </c>
      <c r="R9" s="1215" t="s">
        <v>1393</v>
      </c>
      <c r="S9" s="1216">
        <f t="shared" si="0"/>
        <v>100</v>
      </c>
      <c r="T9" s="1215" t="s">
        <v>1393</v>
      </c>
      <c r="U9" s="1216">
        <f t="shared" si="1"/>
        <v>100</v>
      </c>
      <c r="V9" s="1215" t="s">
        <v>1393</v>
      </c>
      <c r="W9" s="1216">
        <f t="shared" si="2"/>
        <v>100</v>
      </c>
      <c r="X9" s="1217"/>
      <c r="Y9" s="3271"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5"/>
      <c r="Q10" s="794" t="str">
        <f t="shared" si="6"/>
        <v>土地使用年限（年）</v>
      </c>
      <c r="R10" s="1215" t="s">
        <v>1393</v>
      </c>
      <c r="S10" s="1216">
        <f t="shared" si="0"/>
        <v>100</v>
      </c>
      <c r="T10" s="1215" t="s">
        <v>1393</v>
      </c>
      <c r="U10" s="1216">
        <f t="shared" si="1"/>
        <v>100</v>
      </c>
      <c r="V10" s="1215" t="s">
        <v>1393</v>
      </c>
      <c r="W10" s="1216">
        <f t="shared" si="2"/>
        <v>100</v>
      </c>
      <c r="X10" s="1217"/>
      <c r="Y10" s="3271"/>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5"/>
      <c r="Q11" s="794">
        <f t="shared" si="6"/>
        <v>111</v>
      </c>
      <c r="R11" s="1215" t="s">
        <v>1393</v>
      </c>
      <c r="S11" s="1216">
        <f t="shared" si="0"/>
        <v>100</v>
      </c>
      <c r="T11" s="1215" t="s">
        <v>1393</v>
      </c>
      <c r="U11" s="1216">
        <f t="shared" si="1"/>
        <v>100</v>
      </c>
      <c r="V11" s="1215" t="s">
        <v>1393</v>
      </c>
      <c r="W11" s="1216">
        <f t="shared" si="2"/>
        <v>100</v>
      </c>
      <c r="X11" s="1217"/>
      <c r="Y11" s="3271"/>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5"/>
      <c r="Q12" s="794">
        <f t="shared" si="6"/>
        <v>111</v>
      </c>
      <c r="R12" s="1215" t="s">
        <v>1393</v>
      </c>
      <c r="S12" s="1216">
        <f t="shared" si="0"/>
        <v>100</v>
      </c>
      <c r="T12" s="1215" t="s">
        <v>1393</v>
      </c>
      <c r="U12" s="1216">
        <f t="shared" si="1"/>
        <v>100</v>
      </c>
      <c r="V12" s="1215" t="s">
        <v>1393</v>
      </c>
      <c r="W12" s="1216">
        <f t="shared" si="2"/>
        <v>100</v>
      </c>
      <c r="X12" s="1217"/>
      <c r="Y12" s="3271"/>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5"/>
      <c r="Q13" s="794">
        <f t="shared" si="6"/>
        <v>111</v>
      </c>
      <c r="R13" s="1215" t="s">
        <v>1393</v>
      </c>
      <c r="S13" s="1216">
        <f t="shared" si="0"/>
        <v>100</v>
      </c>
      <c r="T13" s="1215" t="s">
        <v>1393</v>
      </c>
      <c r="U13" s="1216">
        <f t="shared" si="1"/>
        <v>100</v>
      </c>
      <c r="V13" s="1215" t="s">
        <v>1393</v>
      </c>
      <c r="W13" s="1216">
        <f t="shared" si="2"/>
        <v>100</v>
      </c>
      <c r="X13" s="1217"/>
      <c r="Y13" s="3271"/>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7" t="s">
        <v>1406</v>
      </c>
      <c r="Q14" s="625" t="str">
        <f t="shared" si="6"/>
        <v>交通便捷度</v>
      </c>
      <c r="R14" s="1219" t="s">
        <v>1393</v>
      </c>
      <c r="S14" s="1220">
        <f t="shared" si="0"/>
        <v>100</v>
      </c>
      <c r="T14" s="1219" t="s">
        <v>1393</v>
      </c>
      <c r="U14" s="1220">
        <f t="shared" si="1"/>
        <v>100</v>
      </c>
      <c r="V14" s="1219" t="s">
        <v>1393</v>
      </c>
      <c r="W14" s="1220">
        <f t="shared" si="2"/>
        <v>100</v>
      </c>
      <c r="X14" s="1214"/>
      <c r="Y14" s="3397"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8"/>
      <c r="Q15" s="625"/>
      <c r="R15" s="1219"/>
      <c r="S15" s="1220"/>
      <c r="T15" s="1219"/>
      <c r="U15" s="1220"/>
      <c r="V15" s="1219"/>
      <c r="W15" s="1220"/>
      <c r="X15" s="1214"/>
      <c r="Y15" s="3398"/>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8"/>
      <c r="Q16" s="625" t="str">
        <f>B16</f>
        <v>公共配套设施</v>
      </c>
      <c r="R16" s="1219" t="s">
        <v>1393</v>
      </c>
      <c r="S16" s="1220">
        <f>F16</f>
        <v>100</v>
      </c>
      <c r="T16" s="1219" t="s">
        <v>1393</v>
      </c>
      <c r="U16" s="1220">
        <f>H16</f>
        <v>100</v>
      </c>
      <c r="V16" s="1219" t="s">
        <v>1393</v>
      </c>
      <c r="W16" s="1220">
        <f>J16</f>
        <v>100</v>
      </c>
      <c r="X16" s="1214"/>
      <c r="Y16" s="3398"/>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8"/>
      <c r="Q17" s="625"/>
      <c r="R17" s="1219"/>
      <c r="S17" s="1220"/>
      <c r="T17" s="1219"/>
      <c r="U17" s="1220"/>
      <c r="V17" s="1219"/>
      <c r="W17" s="1220"/>
      <c r="X17" s="1214"/>
      <c r="Y17" s="3398"/>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8"/>
      <c r="Q18" s="625" t="str">
        <f>B18</f>
        <v>基础设施水平</v>
      </c>
      <c r="R18" s="1219" t="s">
        <v>1393</v>
      </c>
      <c r="S18" s="1220">
        <f>F18</f>
        <v>100</v>
      </c>
      <c r="T18" s="1219" t="s">
        <v>1393</v>
      </c>
      <c r="U18" s="1220">
        <f>H18</f>
        <v>100</v>
      </c>
      <c r="V18" s="1219" t="s">
        <v>1393</v>
      </c>
      <c r="W18" s="1220">
        <f>J18</f>
        <v>100</v>
      </c>
      <c r="X18" s="1214"/>
      <c r="Y18" s="3398"/>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8"/>
      <c r="Q19" s="625"/>
      <c r="R19" s="1219"/>
      <c r="S19" s="1220"/>
      <c r="T19" s="1219"/>
      <c r="U19" s="1220"/>
      <c r="V19" s="1219"/>
      <c r="W19" s="1220"/>
      <c r="X19" s="1214"/>
      <c r="Y19" s="3398"/>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8"/>
      <c r="Q20" s="625" t="str">
        <f>B20</f>
        <v>自然及人文环境</v>
      </c>
      <c r="R20" s="1219" t="s">
        <v>1393</v>
      </c>
      <c r="S20" s="1220">
        <f>F20</f>
        <v>100</v>
      </c>
      <c r="T20" s="1219" t="s">
        <v>1393</v>
      </c>
      <c r="U20" s="1220">
        <f>H20</f>
        <v>100</v>
      </c>
      <c r="V20" s="1219" t="s">
        <v>1393</v>
      </c>
      <c r="W20" s="1220">
        <f>J20</f>
        <v>100</v>
      </c>
      <c r="X20" s="1214"/>
      <c r="Y20" s="3398"/>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8"/>
      <c r="Q21" s="625"/>
      <c r="R21" s="1219"/>
      <c r="S21" s="1220"/>
      <c r="T21" s="1219"/>
      <c r="U21" s="1220"/>
      <c r="V21" s="1219"/>
      <c r="W21" s="1220"/>
      <c r="X21" s="1214"/>
      <c r="Y21" s="3398"/>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8"/>
      <c r="Q22" s="625" t="str">
        <f>B22</f>
        <v>楼层</v>
      </c>
      <c r="R22" s="1219" t="s">
        <v>1393</v>
      </c>
      <c r="S22" s="1220">
        <f>F22</f>
        <v>100</v>
      </c>
      <c r="T22" s="1219" t="s">
        <v>1393</v>
      </c>
      <c r="U22" s="1220">
        <f>H22</f>
        <v>100</v>
      </c>
      <c r="V22" s="1219" t="s">
        <v>1393</v>
      </c>
      <c r="W22" s="1220">
        <f>J22</f>
        <v>100</v>
      </c>
      <c r="X22" s="1214"/>
      <c r="Y22" s="3398"/>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8"/>
      <c r="Q23" s="625">
        <f>B23</f>
        <v>111</v>
      </c>
      <c r="R23" s="1219" t="s">
        <v>1393</v>
      </c>
      <c r="S23" s="1220">
        <f>F23</f>
        <v>100</v>
      </c>
      <c r="T23" s="1219" t="s">
        <v>1393</v>
      </c>
      <c r="U23" s="1220">
        <f>H23</f>
        <v>100</v>
      </c>
      <c r="V23" s="1219" t="s">
        <v>1393</v>
      </c>
      <c r="W23" s="1220">
        <f>J23</f>
        <v>100</v>
      </c>
      <c r="X23" s="1214"/>
      <c r="Y23" s="3398"/>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8"/>
      <c r="Q24" s="625">
        <f t="shared" ref="Q24:Q34" si="11">B24</f>
        <v>111</v>
      </c>
      <c r="R24" s="1219" t="s">
        <v>1393</v>
      </c>
      <c r="S24" s="1220">
        <f>F24</f>
        <v>100</v>
      </c>
      <c r="T24" s="1219" t="s">
        <v>1393</v>
      </c>
      <c r="U24" s="1220">
        <f>H24</f>
        <v>100</v>
      </c>
      <c r="V24" s="1219" t="s">
        <v>1393</v>
      </c>
      <c r="W24" s="1220">
        <f>J24</f>
        <v>100</v>
      </c>
      <c r="X24" s="1214"/>
      <c r="Y24" s="3398"/>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8"/>
      <c r="Q25" s="794">
        <f t="shared" si="11"/>
        <v>111</v>
      </c>
      <c r="R25" s="1215" t="s">
        <v>1393</v>
      </c>
      <c r="S25" s="1216">
        <f>F25</f>
        <v>100</v>
      </c>
      <c r="T25" s="1215" t="s">
        <v>1393</v>
      </c>
      <c r="U25" s="1216">
        <f>H25</f>
        <v>100</v>
      </c>
      <c r="V25" s="1215" t="s">
        <v>1393</v>
      </c>
      <c r="W25" s="1216">
        <f>J25</f>
        <v>100</v>
      </c>
      <c r="X25" s="1217"/>
      <c r="Y25" s="3398"/>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6"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99"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99"/>
      <c r="Q27" s="1415" t="str">
        <f t="shared" si="11"/>
        <v>成新率</v>
      </c>
      <c r="R27" s="1221" t="s">
        <v>1393</v>
      </c>
      <c r="S27" s="1222" t="e">
        <f t="shared" si="12"/>
        <v>#N/A</v>
      </c>
      <c r="T27" s="1221" t="s">
        <v>1393</v>
      </c>
      <c r="U27" s="1222" t="e">
        <f t="shared" si="13"/>
        <v>#N/A</v>
      </c>
      <c r="V27" s="1221" t="s">
        <v>1393</v>
      </c>
      <c r="W27" s="1222" t="e">
        <f t="shared" si="14"/>
        <v>#N/A</v>
      </c>
      <c r="X27" s="1223"/>
      <c r="Y27" s="3399"/>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99"/>
      <c r="Q28" s="625" t="str">
        <f t="shared" si="11"/>
        <v>物业等级</v>
      </c>
      <c r="R28" s="1219" t="s">
        <v>1393</v>
      </c>
      <c r="S28" s="1220">
        <f t="shared" si="12"/>
        <v>100</v>
      </c>
      <c r="T28" s="1219" t="s">
        <v>1393</v>
      </c>
      <c r="U28" s="1220">
        <f t="shared" si="13"/>
        <v>100</v>
      </c>
      <c r="V28" s="1219" t="s">
        <v>1393</v>
      </c>
      <c r="W28" s="1220">
        <f t="shared" si="14"/>
        <v>100</v>
      </c>
      <c r="X28" s="1214"/>
      <c r="Y28" s="3399"/>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99"/>
      <c r="Q29" s="625" t="str">
        <f t="shared" si="11"/>
        <v>有无电梯</v>
      </c>
      <c r="R29" s="1219" t="s">
        <v>1393</v>
      </c>
      <c r="S29" s="1220">
        <f t="shared" si="12"/>
        <v>100</v>
      </c>
      <c r="T29" s="1219" t="s">
        <v>1393</v>
      </c>
      <c r="U29" s="1220">
        <f t="shared" si="13"/>
        <v>100</v>
      </c>
      <c r="V29" s="1219" t="s">
        <v>1393</v>
      </c>
      <c r="W29" s="1220">
        <f t="shared" si="14"/>
        <v>100</v>
      </c>
      <c r="X29" s="1214"/>
      <c r="Y29" s="3399"/>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99"/>
      <c r="Q30" s="625" t="str">
        <f t="shared" si="11"/>
        <v>建筑面积</v>
      </c>
      <c r="R30" s="1219" t="s">
        <v>1393</v>
      </c>
      <c r="S30" s="1220" t="e">
        <f t="shared" si="12"/>
        <v>#N/A</v>
      </c>
      <c r="T30" s="1219" t="s">
        <v>1393</v>
      </c>
      <c r="U30" s="1220" t="e">
        <f t="shared" si="13"/>
        <v>#N/A</v>
      </c>
      <c r="V30" s="1219" t="s">
        <v>1393</v>
      </c>
      <c r="W30" s="1220" t="e">
        <f t="shared" si="14"/>
        <v>#N/A</v>
      </c>
      <c r="X30" s="1214"/>
      <c r="Y30" s="3399"/>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99"/>
      <c r="Q31" s="794" t="str">
        <f t="shared" si="11"/>
        <v>是否封闭</v>
      </c>
      <c r="R31" s="1215" t="s">
        <v>1393</v>
      </c>
      <c r="S31" s="1216">
        <f t="shared" si="12"/>
        <v>100</v>
      </c>
      <c r="T31" s="1215" t="s">
        <v>1393</v>
      </c>
      <c r="U31" s="1216">
        <f t="shared" si="13"/>
        <v>100</v>
      </c>
      <c r="V31" s="1215" t="s">
        <v>1393</v>
      </c>
      <c r="W31" s="1216">
        <f t="shared" si="14"/>
        <v>100</v>
      </c>
      <c r="X31" s="1217"/>
      <c r="Y31" s="3399"/>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99" t="s">
        <v>1421</v>
      </c>
      <c r="Q32" s="625">
        <f t="shared" si="11"/>
        <v>111</v>
      </c>
      <c r="R32" s="1219" t="s">
        <v>1393</v>
      </c>
      <c r="S32" s="1220">
        <f t="shared" si="12"/>
        <v>100</v>
      </c>
      <c r="T32" s="1219" t="s">
        <v>1393</v>
      </c>
      <c r="U32" s="1220">
        <f t="shared" si="13"/>
        <v>100</v>
      </c>
      <c r="V32" s="1219" t="s">
        <v>1393</v>
      </c>
      <c r="W32" s="1220">
        <f t="shared" si="14"/>
        <v>100</v>
      </c>
      <c r="X32" s="1214"/>
      <c r="Y32" s="3399"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99"/>
      <c r="Q33" s="625">
        <f t="shared" si="11"/>
        <v>111</v>
      </c>
      <c r="R33" s="1219" t="s">
        <v>1393</v>
      </c>
      <c r="S33" s="1220">
        <f t="shared" si="12"/>
        <v>100</v>
      </c>
      <c r="T33" s="1219" t="s">
        <v>1393</v>
      </c>
      <c r="U33" s="1220">
        <f t="shared" si="13"/>
        <v>100</v>
      </c>
      <c r="V33" s="1219" t="s">
        <v>1393</v>
      </c>
      <c r="W33" s="1220">
        <f t="shared" si="14"/>
        <v>100</v>
      </c>
      <c r="X33" s="1214"/>
      <c r="Y33" s="3399"/>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99"/>
      <c r="Q34" s="625">
        <f t="shared" si="11"/>
        <v>111</v>
      </c>
      <c r="R34" s="1219" t="s">
        <v>1393</v>
      </c>
      <c r="S34" s="1220">
        <f t="shared" si="12"/>
        <v>100</v>
      </c>
      <c r="T34" s="1219" t="s">
        <v>1393</v>
      </c>
      <c r="U34" s="1220">
        <f t="shared" si="13"/>
        <v>100</v>
      </c>
      <c r="V34" s="1219" t="s">
        <v>1393</v>
      </c>
      <c r="W34" s="1220">
        <f t="shared" si="14"/>
        <v>100</v>
      </c>
      <c r="X34" s="1214"/>
      <c r="Y34" s="3399"/>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5" t="str">
        <f>A35</f>
        <v>成交单价（元/平方米）</v>
      </c>
      <c r="Q35" s="3385"/>
      <c r="R35" s="3383">
        <f>E35</f>
        <v>0</v>
      </c>
      <c r="S35" s="3383"/>
      <c r="T35" s="3383">
        <f>G35</f>
        <v>0</v>
      </c>
      <c r="U35" s="3383"/>
      <c r="V35" s="3383">
        <f>I35</f>
        <v>0</v>
      </c>
      <c r="W35" s="3383"/>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5" t="str">
        <f>A36</f>
        <v>比较价值（元/平方米）</v>
      </c>
      <c r="Q36" s="3385"/>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9" t="str">
        <f>A37</f>
        <v>估价对象XX用房的比较价值（楼面单价，元/平方米）</v>
      </c>
      <c r="Q37" s="3420"/>
      <c r="R37" s="3447" t="e">
        <f>IF(F1="售价",ROUND(IF(D36="简单平均",AVERAGE(R36:W36),R36*F36+T36*H36+V36*J36),0),ROUND(IF(D36="简单平均",AVERAGE(R36:V36),R36*F36+T36*H36+V36*J36),1))</f>
        <v>#DIV/0!</v>
      </c>
      <c r="S37" s="3447"/>
      <c r="T37" s="3447"/>
      <c r="U37" s="3447"/>
      <c r="V37" s="3447"/>
      <c r="W37" s="3447"/>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6" t="s">
        <v>1379</v>
      </c>
      <c r="D4" s="3407"/>
      <c r="E4" s="3408" t="s">
        <v>1380</v>
      </c>
      <c r="F4" s="3409"/>
      <c r="G4" s="3406" t="s">
        <v>1381</v>
      </c>
      <c r="H4" s="3407"/>
      <c r="I4" s="3406" t="s">
        <v>1382</v>
      </c>
      <c r="J4" s="3407"/>
      <c r="K4" s="1171" t="s">
        <v>1383</v>
      </c>
      <c r="L4" s="1172"/>
      <c r="M4" s="1122"/>
      <c r="N4" s="1122"/>
      <c r="O4" s="1122"/>
      <c r="P4" s="3413" t="s">
        <v>1384</v>
      </c>
      <c r="Q4" s="3414"/>
      <c r="R4" s="3417" t="s">
        <v>1380</v>
      </c>
      <c r="S4" s="3418"/>
      <c r="T4" s="3417" t="s">
        <v>1381</v>
      </c>
      <c r="U4" s="3418"/>
      <c r="V4" s="3383" t="s">
        <v>1382</v>
      </c>
      <c r="W4" s="3383"/>
      <c r="X4" s="1214"/>
      <c r="Y4" s="3417" t="s">
        <v>1384</v>
      </c>
      <c r="Z4" s="3418"/>
      <c r="AA4" s="3412" t="s">
        <v>1380</v>
      </c>
      <c r="AB4" s="3365" t="s">
        <v>1381</v>
      </c>
      <c r="AC4" s="3412" t="s">
        <v>1382</v>
      </c>
    </row>
    <row r="5" spans="1:29" ht="15">
      <c r="A5" s="1029"/>
      <c r="B5" s="1030"/>
      <c r="C5" s="3422" t="s">
        <v>1385</v>
      </c>
      <c r="D5" s="3411"/>
      <c r="E5" s="3423" t="s">
        <v>1386</v>
      </c>
      <c r="F5" s="3424"/>
      <c r="G5" s="3422" t="s">
        <v>1387</v>
      </c>
      <c r="H5" s="3411"/>
      <c r="I5" s="3422" t="s">
        <v>1388</v>
      </c>
      <c r="J5" s="3411"/>
      <c r="K5" s="1171"/>
      <c r="L5" s="1172"/>
      <c r="M5" s="1122"/>
      <c r="N5" s="1122"/>
      <c r="O5" s="1122"/>
      <c r="P5" s="3415"/>
      <c r="Q5" s="3373"/>
      <c r="R5" s="3378"/>
      <c r="S5" s="3379"/>
      <c r="T5" s="3378"/>
      <c r="U5" s="3379"/>
      <c r="V5" s="3383"/>
      <c r="W5" s="3383"/>
      <c r="X5" s="1214"/>
      <c r="Y5" s="3378"/>
      <c r="Z5" s="3379"/>
      <c r="AA5" s="3365"/>
      <c r="AB5" s="3365"/>
      <c r="AC5" s="3365"/>
    </row>
    <row r="6" spans="1:29" ht="15">
      <c r="A6" s="1031"/>
      <c r="B6" s="1032"/>
      <c r="C6" s="3401" t="s">
        <v>1389</v>
      </c>
      <c r="D6" s="3402"/>
      <c r="E6" s="3403" t="s">
        <v>1389</v>
      </c>
      <c r="F6" s="3404"/>
      <c r="G6" s="3401" t="s">
        <v>1389</v>
      </c>
      <c r="H6" s="3402"/>
      <c r="I6" s="3401" t="s">
        <v>1389</v>
      </c>
      <c r="J6" s="3402"/>
      <c r="K6" s="1171" t="s">
        <v>1390</v>
      </c>
      <c r="L6" s="1172"/>
      <c r="M6" s="1122"/>
      <c r="N6" s="1122"/>
      <c r="O6" s="1122"/>
      <c r="P6" s="3416"/>
      <c r="Q6" s="3375"/>
      <c r="R6" s="3378"/>
      <c r="S6" s="3379"/>
      <c r="T6" s="3380"/>
      <c r="U6" s="3381"/>
      <c r="V6" s="3383"/>
      <c r="W6" s="3383"/>
      <c r="X6" s="1214"/>
      <c r="Y6" s="3380"/>
      <c r="Z6" s="3381"/>
      <c r="AA6" s="3366"/>
      <c r="AB6" s="3366"/>
      <c r="AC6" s="3366"/>
    </row>
    <row r="7" spans="1:29" s="1008" customFormat="1" ht="15">
      <c r="A7" s="1033" t="s">
        <v>1391</v>
      </c>
      <c r="B7" s="1034"/>
      <c r="C7" s="1035">
        <f>'数据-取费表'!B2</f>
        <v>45975</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89" t="s">
        <v>1392</v>
      </c>
      <c r="Q7" s="3405"/>
      <c r="R7" s="1215" t="s">
        <v>1393</v>
      </c>
      <c r="S7" s="1216">
        <f t="shared" ref="S7:S15" si="0">F7</f>
        <v>0</v>
      </c>
      <c r="T7" s="1215" t="s">
        <v>1393</v>
      </c>
      <c r="U7" s="1216">
        <f t="shared" ref="U7:U15" si="1">H7</f>
        <v>0</v>
      </c>
      <c r="V7" s="1215" t="s">
        <v>1393</v>
      </c>
      <c r="W7" s="1216">
        <f t="shared" ref="W7:W15" si="2">J7</f>
        <v>0</v>
      </c>
      <c r="X7" s="1217"/>
      <c r="Y7" s="3389" t="s">
        <v>1392</v>
      </c>
      <c r="Z7" s="3390"/>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89" t="s">
        <v>1397</v>
      </c>
      <c r="Q8" s="3390"/>
      <c r="R8" s="1215" t="s">
        <v>1393</v>
      </c>
      <c r="S8" s="1216">
        <f t="shared" si="0"/>
        <v>0</v>
      </c>
      <c r="T8" s="1215" t="s">
        <v>1393</v>
      </c>
      <c r="U8" s="1216">
        <f t="shared" si="1"/>
        <v>0</v>
      </c>
      <c r="V8" s="1215" t="s">
        <v>1393</v>
      </c>
      <c r="W8" s="1216">
        <f t="shared" si="2"/>
        <v>0</v>
      </c>
      <c r="X8" s="1217"/>
      <c r="Y8" s="3389" t="s">
        <v>1397</v>
      </c>
      <c r="Z8" s="3390"/>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5" t="s">
        <v>1400</v>
      </c>
      <c r="Q9" s="794" t="str">
        <f t="shared" ref="Q9:Q15" si="6">B9</f>
        <v>用途</v>
      </c>
      <c r="R9" s="1215" t="s">
        <v>1393</v>
      </c>
      <c r="S9" s="1216">
        <f t="shared" si="0"/>
        <v>100</v>
      </c>
      <c r="T9" s="1215" t="s">
        <v>1393</v>
      </c>
      <c r="U9" s="1216">
        <f t="shared" si="1"/>
        <v>100</v>
      </c>
      <c r="V9" s="1215" t="s">
        <v>1393</v>
      </c>
      <c r="W9" s="1216">
        <f t="shared" si="2"/>
        <v>100</v>
      </c>
      <c r="X9" s="1217"/>
      <c r="Y9" s="3271"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85"/>
      <c r="Q10" s="794" t="str">
        <f t="shared" si="6"/>
        <v>土地使用年限（年）</v>
      </c>
      <c r="R10" s="1215" t="s">
        <v>1393</v>
      </c>
      <c r="S10" s="1216">
        <f t="shared" si="0"/>
        <v>109</v>
      </c>
      <c r="T10" s="1215" t="s">
        <v>1393</v>
      </c>
      <c r="U10" s="1216">
        <f t="shared" si="1"/>
        <v>109</v>
      </c>
      <c r="V10" s="1215" t="s">
        <v>1393</v>
      </c>
      <c r="W10" s="1216">
        <f t="shared" si="2"/>
        <v>109</v>
      </c>
      <c r="X10" s="1217"/>
      <c r="Y10" s="3271"/>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5"/>
      <c r="Q11" s="794" t="str">
        <f t="shared" si="6"/>
        <v>容积率</v>
      </c>
      <c r="R11" s="1215" t="s">
        <v>1393</v>
      </c>
      <c r="S11" s="1216" t="e">
        <f t="shared" si="0"/>
        <v>#N/A</v>
      </c>
      <c r="T11" s="1215" t="s">
        <v>1393</v>
      </c>
      <c r="U11" s="1216" t="e">
        <f t="shared" si="1"/>
        <v>#N/A</v>
      </c>
      <c r="V11" s="1215" t="s">
        <v>1393</v>
      </c>
      <c r="W11" s="1216" t="e">
        <f t="shared" si="2"/>
        <v>#N/A</v>
      </c>
      <c r="X11" s="1217"/>
      <c r="Y11" s="3271"/>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5"/>
      <c r="Q12" s="794" t="str">
        <f t="shared" si="6"/>
        <v>配建</v>
      </c>
      <c r="R12" s="1215" t="s">
        <v>1393</v>
      </c>
      <c r="S12" s="1216">
        <f t="shared" si="0"/>
        <v>100</v>
      </c>
      <c r="T12" s="1215" t="s">
        <v>1393</v>
      </c>
      <c r="U12" s="1216">
        <f t="shared" si="1"/>
        <v>100</v>
      </c>
      <c r="V12" s="1215" t="s">
        <v>1393</v>
      </c>
      <c r="W12" s="1216">
        <f t="shared" si="2"/>
        <v>100</v>
      </c>
      <c r="X12" s="1217"/>
      <c r="Y12" s="3271"/>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5"/>
      <c r="Q13" s="794">
        <f t="shared" si="6"/>
        <v>111</v>
      </c>
      <c r="R13" s="1215" t="s">
        <v>1393</v>
      </c>
      <c r="S13" s="1216">
        <f t="shared" si="0"/>
        <v>100</v>
      </c>
      <c r="T13" s="1215" t="s">
        <v>1393</v>
      </c>
      <c r="U13" s="1216">
        <f t="shared" si="1"/>
        <v>100</v>
      </c>
      <c r="V13" s="1215" t="s">
        <v>1393</v>
      </c>
      <c r="W13" s="1216">
        <f t="shared" si="2"/>
        <v>100</v>
      </c>
      <c r="X13" s="1217"/>
      <c r="Y13" s="3271"/>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5"/>
      <c r="Q14" s="794">
        <f t="shared" si="6"/>
        <v>111</v>
      </c>
      <c r="R14" s="1215" t="s">
        <v>1393</v>
      </c>
      <c r="S14" s="1216">
        <f t="shared" si="0"/>
        <v>100</v>
      </c>
      <c r="T14" s="1215" t="s">
        <v>1393</v>
      </c>
      <c r="U14" s="1216">
        <f t="shared" si="1"/>
        <v>100</v>
      </c>
      <c r="V14" s="1215" t="s">
        <v>1393</v>
      </c>
      <c r="W14" s="1216">
        <f t="shared" si="2"/>
        <v>100</v>
      </c>
      <c r="X14" s="1217"/>
      <c r="Y14" s="3271"/>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7" t="s">
        <v>1406</v>
      </c>
      <c r="Q15" s="625" t="str">
        <f t="shared" si="6"/>
        <v>居住社区成熟度</v>
      </c>
      <c r="R15" s="1219" t="s">
        <v>1393</v>
      </c>
      <c r="S15" s="1220">
        <f t="shared" si="0"/>
        <v>100</v>
      </c>
      <c r="T15" s="1219" t="s">
        <v>1393</v>
      </c>
      <c r="U15" s="1220">
        <f t="shared" si="1"/>
        <v>100</v>
      </c>
      <c r="V15" s="1219" t="s">
        <v>1393</v>
      </c>
      <c r="W15" s="1220">
        <f t="shared" si="2"/>
        <v>100</v>
      </c>
      <c r="X15" s="1214"/>
      <c r="Y15" s="3397"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8"/>
      <c r="Q16" s="625"/>
      <c r="R16" s="1219"/>
      <c r="S16" s="1220"/>
      <c r="T16" s="1219"/>
      <c r="U16" s="1220"/>
      <c r="V16" s="1219"/>
      <c r="W16" s="1220"/>
      <c r="X16" s="1214"/>
      <c r="Y16" s="3398"/>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8"/>
      <c r="Q17" s="625" t="str">
        <f>B17</f>
        <v>商业繁华度</v>
      </c>
      <c r="R17" s="1219" t="s">
        <v>1393</v>
      </c>
      <c r="S17" s="1220">
        <f>F17</f>
        <v>100</v>
      </c>
      <c r="T17" s="1219" t="s">
        <v>1393</v>
      </c>
      <c r="U17" s="1220">
        <f>H17</f>
        <v>100</v>
      </c>
      <c r="V17" s="1219" t="s">
        <v>1393</v>
      </c>
      <c r="W17" s="1220">
        <f>J17</f>
        <v>100</v>
      </c>
      <c r="X17" s="1214"/>
      <c r="Y17" s="3398"/>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8"/>
      <c r="Q18" s="625"/>
      <c r="R18" s="1219"/>
      <c r="S18" s="1220"/>
      <c r="T18" s="1219"/>
      <c r="U18" s="1220"/>
      <c r="V18" s="1219"/>
      <c r="W18" s="1220"/>
      <c r="X18" s="1214"/>
      <c r="Y18" s="3398"/>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8"/>
      <c r="Q19" s="625" t="str">
        <f>B19</f>
        <v>办公集聚程度</v>
      </c>
      <c r="R19" s="1219" t="s">
        <v>1393</v>
      </c>
      <c r="S19" s="1220">
        <f>F19</f>
        <v>100</v>
      </c>
      <c r="T19" s="1219" t="s">
        <v>1393</v>
      </c>
      <c r="U19" s="1220">
        <f>H19</f>
        <v>100</v>
      </c>
      <c r="V19" s="1219" t="s">
        <v>1393</v>
      </c>
      <c r="W19" s="1220">
        <f>J19</f>
        <v>100</v>
      </c>
      <c r="X19" s="1214"/>
      <c r="Y19" s="3398"/>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8"/>
      <c r="Q20" s="625"/>
      <c r="R20" s="1219"/>
      <c r="S20" s="1220"/>
      <c r="T20" s="1219"/>
      <c r="U20" s="1220"/>
      <c r="V20" s="1219"/>
      <c r="W20" s="1220"/>
      <c r="X20" s="1214"/>
      <c r="Y20" s="3398"/>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8"/>
      <c r="Q21" s="625" t="str">
        <f>B21</f>
        <v>交通便捷度</v>
      </c>
      <c r="R21" s="1219" t="s">
        <v>1393</v>
      </c>
      <c r="S21" s="1220">
        <f>F21</f>
        <v>100</v>
      </c>
      <c r="T21" s="1219" t="s">
        <v>1393</v>
      </c>
      <c r="U21" s="1220">
        <f>H21</f>
        <v>100</v>
      </c>
      <c r="V21" s="1219" t="s">
        <v>1393</v>
      </c>
      <c r="W21" s="1220">
        <f>J21</f>
        <v>100</v>
      </c>
      <c r="X21" s="1214"/>
      <c r="Y21" s="3398"/>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8"/>
      <c r="Q22" s="625"/>
      <c r="R22" s="1219"/>
      <c r="S22" s="1220"/>
      <c r="T22" s="1219"/>
      <c r="U22" s="1220"/>
      <c r="V22" s="1219"/>
      <c r="W22" s="1220"/>
      <c r="X22" s="1214"/>
      <c r="Y22" s="3398"/>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8"/>
      <c r="Q23" s="625" t="str">
        <f t="shared" ref="Q23:Q38" si="8">B23</f>
        <v>区域土地利用方向</v>
      </c>
      <c r="R23" s="1219" t="s">
        <v>1393</v>
      </c>
      <c r="S23" s="1220">
        <f>F23</f>
        <v>100</v>
      </c>
      <c r="T23" s="1219" t="s">
        <v>1393</v>
      </c>
      <c r="U23" s="1220">
        <f>H23</f>
        <v>100</v>
      </c>
      <c r="V23" s="1219" t="s">
        <v>1393</v>
      </c>
      <c r="W23" s="1220">
        <f>J23</f>
        <v>100</v>
      </c>
      <c r="X23" s="1214"/>
      <c r="Y23" s="3398"/>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8"/>
      <c r="Q24" s="625"/>
      <c r="R24" s="1219"/>
      <c r="S24" s="1220"/>
      <c r="T24" s="1219"/>
      <c r="U24" s="1220"/>
      <c r="V24" s="1219"/>
      <c r="W24" s="1220"/>
      <c r="X24" s="1214"/>
      <c r="Y24" s="3398"/>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8"/>
      <c r="Q25" s="625" t="str">
        <f t="shared" si="8"/>
        <v>自然及人文环境状况</v>
      </c>
      <c r="R25" s="1219" t="s">
        <v>1393</v>
      </c>
      <c r="S25" s="1220">
        <f>F25</f>
        <v>100</v>
      </c>
      <c r="T25" s="1219" t="s">
        <v>1393</v>
      </c>
      <c r="U25" s="1220">
        <f>H25</f>
        <v>100</v>
      </c>
      <c r="V25" s="1219" t="s">
        <v>1393</v>
      </c>
      <c r="W25" s="1220">
        <f>J25</f>
        <v>100</v>
      </c>
      <c r="X25" s="1214"/>
      <c r="Y25" s="3398"/>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8"/>
      <c r="Q26" s="625"/>
      <c r="R26" s="1219"/>
      <c r="S26" s="1220"/>
      <c r="T26" s="1219"/>
      <c r="U26" s="1220"/>
      <c r="V26" s="1219"/>
      <c r="W26" s="1220"/>
      <c r="X26" s="1214"/>
      <c r="Y26" s="3398"/>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8"/>
      <c r="Q27" s="794" t="str">
        <f t="shared" si="8"/>
        <v>公共配套设施</v>
      </c>
      <c r="R27" s="1215" t="s">
        <v>1393</v>
      </c>
      <c r="S27" s="1216">
        <f>F27</f>
        <v>100</v>
      </c>
      <c r="T27" s="1215" t="s">
        <v>1393</v>
      </c>
      <c r="U27" s="1216">
        <f>H27</f>
        <v>100</v>
      </c>
      <c r="V27" s="1215" t="s">
        <v>1393</v>
      </c>
      <c r="W27" s="1216">
        <f>J27</f>
        <v>100</v>
      </c>
      <c r="X27" s="1217"/>
      <c r="Y27" s="3398"/>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8"/>
      <c r="Q28" s="794"/>
      <c r="R28" s="1215"/>
      <c r="S28" s="1216"/>
      <c r="T28" s="1215"/>
      <c r="U28" s="1216"/>
      <c r="V28" s="1215"/>
      <c r="W28" s="1216"/>
      <c r="X28" s="1217"/>
      <c r="Y28" s="3398"/>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8"/>
      <c r="Q29" s="794" t="str">
        <f t="shared" ref="Q29" si="9">B29</f>
        <v>基础设施水平</v>
      </c>
      <c r="R29" s="1215" t="s">
        <v>1393</v>
      </c>
      <c r="S29" s="1216">
        <f>F29</f>
        <v>100</v>
      </c>
      <c r="T29" s="1215" t="s">
        <v>1393</v>
      </c>
      <c r="U29" s="1216">
        <f>H29</f>
        <v>100</v>
      </c>
      <c r="V29" s="1215" t="s">
        <v>1393</v>
      </c>
      <c r="W29" s="1216">
        <f>J29</f>
        <v>100</v>
      </c>
      <c r="X29" s="1217"/>
      <c r="Y29" s="3398"/>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8"/>
      <c r="Q30" s="794"/>
      <c r="R30" s="1215"/>
      <c r="S30" s="1216"/>
      <c r="T30" s="1215"/>
      <c r="U30" s="1216"/>
      <c r="V30" s="1215"/>
      <c r="W30" s="1216"/>
      <c r="X30" s="1217"/>
      <c r="Y30" s="3398"/>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8"/>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8"/>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8"/>
      <c r="Q32" s="625" t="str">
        <f t="shared" si="8"/>
        <v>毗邻道路的类型与等级</v>
      </c>
      <c r="R32" s="1219" t="s">
        <v>1393</v>
      </c>
      <c r="S32" s="1220">
        <f t="shared" si="10"/>
        <v>100</v>
      </c>
      <c r="T32" s="1219" t="s">
        <v>1393</v>
      </c>
      <c r="U32" s="1220">
        <f t="shared" si="11"/>
        <v>100</v>
      </c>
      <c r="V32" s="1219" t="s">
        <v>1393</v>
      </c>
      <c r="W32" s="1220">
        <f t="shared" si="12"/>
        <v>100</v>
      </c>
      <c r="X32" s="1214"/>
      <c r="Y32" s="3398"/>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8"/>
      <c r="Q33" s="625"/>
      <c r="R33" s="1219"/>
      <c r="S33" s="1220"/>
      <c r="T33" s="1219"/>
      <c r="U33" s="1220"/>
      <c r="V33" s="1219"/>
      <c r="W33" s="1220"/>
      <c r="X33" s="1214"/>
      <c r="Y33" s="3398"/>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8"/>
      <c r="Q34" s="625" t="str">
        <f t="shared" si="8"/>
        <v>土地级别</v>
      </c>
      <c r="R34" s="1219" t="s">
        <v>1393</v>
      </c>
      <c r="S34" s="1220">
        <f t="shared" si="10"/>
        <v>100</v>
      </c>
      <c r="T34" s="1219" t="s">
        <v>1393</v>
      </c>
      <c r="U34" s="1220">
        <f t="shared" si="11"/>
        <v>100</v>
      </c>
      <c r="V34" s="1219" t="s">
        <v>1393</v>
      </c>
      <c r="W34" s="1220">
        <f t="shared" si="12"/>
        <v>100</v>
      </c>
      <c r="X34" s="1214"/>
      <c r="Y34" s="3398"/>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8"/>
      <c r="Q35" s="625">
        <f t="shared" si="8"/>
        <v>111</v>
      </c>
      <c r="R35" s="1219" t="s">
        <v>1393</v>
      </c>
      <c r="S35" s="1220">
        <f t="shared" si="10"/>
        <v>100</v>
      </c>
      <c r="T35" s="1219" t="s">
        <v>1393</v>
      </c>
      <c r="U35" s="1220">
        <f t="shared" si="11"/>
        <v>100</v>
      </c>
      <c r="V35" s="1219" t="s">
        <v>1393</v>
      </c>
      <c r="W35" s="1220">
        <f t="shared" si="12"/>
        <v>100</v>
      </c>
      <c r="X35" s="1214"/>
      <c r="Y35" s="3398"/>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6" t="s">
        <v>1421</v>
      </c>
      <c r="Q36" s="625">
        <f t="shared" si="8"/>
        <v>111</v>
      </c>
      <c r="R36" s="1219" t="s">
        <v>1393</v>
      </c>
      <c r="S36" s="1220">
        <f t="shared" si="10"/>
        <v>100</v>
      </c>
      <c r="T36" s="1219" t="s">
        <v>1393</v>
      </c>
      <c r="U36" s="1220">
        <f t="shared" si="11"/>
        <v>100</v>
      </c>
      <c r="V36" s="1219" t="s">
        <v>1393</v>
      </c>
      <c r="W36" s="1220">
        <f t="shared" si="12"/>
        <v>100</v>
      </c>
      <c r="X36" s="1214"/>
      <c r="Y36" s="3399"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99"/>
      <c r="Q37" s="625">
        <f t="shared" si="8"/>
        <v>111</v>
      </c>
      <c r="R37" s="1221" t="s">
        <v>1393</v>
      </c>
      <c r="S37" s="1222">
        <f t="shared" si="10"/>
        <v>100</v>
      </c>
      <c r="T37" s="1221" t="s">
        <v>1393</v>
      </c>
      <c r="U37" s="1222">
        <f t="shared" si="11"/>
        <v>100</v>
      </c>
      <c r="V37" s="1221" t="s">
        <v>1393</v>
      </c>
      <c r="W37" s="1222">
        <f t="shared" si="12"/>
        <v>100</v>
      </c>
      <c r="X37" s="1223"/>
      <c r="Y37" s="3399"/>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99"/>
      <c r="Q38" s="625" t="str">
        <f t="shared" si="8"/>
        <v>宗地面积</v>
      </c>
      <c r="R38" s="1219" t="s">
        <v>1393</v>
      </c>
      <c r="S38" s="1220" t="e">
        <f t="shared" si="10"/>
        <v>#N/A</v>
      </c>
      <c r="T38" s="1219" t="s">
        <v>1393</v>
      </c>
      <c r="U38" s="1220" t="e">
        <f t="shared" si="11"/>
        <v>#N/A</v>
      </c>
      <c r="V38" s="1219" t="s">
        <v>1393</v>
      </c>
      <c r="W38" s="1220" t="e">
        <f t="shared" si="12"/>
        <v>#N/A</v>
      </c>
      <c r="X38" s="1214"/>
      <c r="Y38" s="3399"/>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99"/>
      <c r="Q39" s="625" t="str">
        <f t="shared" ref="Q39:Q45" si="14">B39</f>
        <v>宗地形状</v>
      </c>
      <c r="R39" s="1219" t="s">
        <v>1393</v>
      </c>
      <c r="S39" s="1220">
        <f t="shared" si="10"/>
        <v>100</v>
      </c>
      <c r="T39" s="1219" t="s">
        <v>1393</v>
      </c>
      <c r="U39" s="1220">
        <f t="shared" si="11"/>
        <v>100</v>
      </c>
      <c r="V39" s="1219" t="s">
        <v>1393</v>
      </c>
      <c r="W39" s="1220">
        <f t="shared" si="12"/>
        <v>100</v>
      </c>
      <c r="X39" s="1214"/>
      <c r="Y39" s="3399"/>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99"/>
      <c r="Q40" s="625" t="str">
        <f t="shared" si="14"/>
        <v>临街宽度及深度</v>
      </c>
      <c r="R40" s="1219" t="s">
        <v>1393</v>
      </c>
      <c r="S40" s="1220">
        <f t="shared" si="10"/>
        <v>100</v>
      </c>
      <c r="T40" s="1219" t="s">
        <v>1393</v>
      </c>
      <c r="U40" s="1220">
        <f t="shared" si="11"/>
        <v>100</v>
      </c>
      <c r="V40" s="1219" t="s">
        <v>1393</v>
      </c>
      <c r="W40" s="1220">
        <f t="shared" si="12"/>
        <v>100</v>
      </c>
      <c r="X40" s="1214"/>
      <c r="Y40" s="3399"/>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99"/>
      <c r="Q41" s="625" t="str">
        <f t="shared" si="14"/>
        <v>宗地开发程度</v>
      </c>
      <c r="R41" s="1215" t="s">
        <v>1393</v>
      </c>
      <c r="S41" s="1216">
        <f t="shared" si="10"/>
        <v>100</v>
      </c>
      <c r="T41" s="1215" t="s">
        <v>1393</v>
      </c>
      <c r="U41" s="1216">
        <f t="shared" si="11"/>
        <v>100</v>
      </c>
      <c r="V41" s="1215" t="s">
        <v>1393</v>
      </c>
      <c r="W41" s="1216">
        <f t="shared" si="12"/>
        <v>100</v>
      </c>
      <c r="X41" s="1217"/>
      <c r="Y41" s="3399"/>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99" t="s">
        <v>1421</v>
      </c>
      <c r="Q42" s="625" t="str">
        <f t="shared" si="14"/>
        <v>工程地质条件</v>
      </c>
      <c r="R42" s="1219" t="s">
        <v>1393</v>
      </c>
      <c r="S42" s="1220">
        <f t="shared" si="10"/>
        <v>100</v>
      </c>
      <c r="T42" s="1219" t="s">
        <v>1393</v>
      </c>
      <c r="U42" s="1220">
        <f t="shared" si="11"/>
        <v>100</v>
      </c>
      <c r="V42" s="1219" t="s">
        <v>1393</v>
      </c>
      <c r="W42" s="1220">
        <f t="shared" si="12"/>
        <v>100</v>
      </c>
      <c r="X42" s="1214"/>
      <c r="Y42" s="3399"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99"/>
      <c r="Q43" s="625">
        <f t="shared" si="14"/>
        <v>111</v>
      </c>
      <c r="R43" s="1219" t="s">
        <v>1393</v>
      </c>
      <c r="S43" s="1220">
        <f t="shared" si="10"/>
        <v>100</v>
      </c>
      <c r="T43" s="1219" t="s">
        <v>1393</v>
      </c>
      <c r="U43" s="1220">
        <f t="shared" si="11"/>
        <v>100</v>
      </c>
      <c r="V43" s="1219" t="s">
        <v>1393</v>
      </c>
      <c r="W43" s="1220">
        <f t="shared" si="12"/>
        <v>100</v>
      </c>
      <c r="X43" s="1214"/>
      <c r="Y43" s="3399"/>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99"/>
      <c r="Q44" s="625">
        <f t="shared" si="14"/>
        <v>111</v>
      </c>
      <c r="R44" s="1219" t="s">
        <v>1393</v>
      </c>
      <c r="S44" s="1220">
        <f t="shared" si="10"/>
        <v>100</v>
      </c>
      <c r="T44" s="1219" t="s">
        <v>1393</v>
      </c>
      <c r="U44" s="1220">
        <f t="shared" si="11"/>
        <v>100</v>
      </c>
      <c r="V44" s="1219" t="s">
        <v>1393</v>
      </c>
      <c r="W44" s="1220">
        <f t="shared" si="12"/>
        <v>100</v>
      </c>
      <c r="X44" s="1214"/>
      <c r="Y44" s="3399"/>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99"/>
      <c r="Q45" s="625">
        <f t="shared" si="14"/>
        <v>111</v>
      </c>
      <c r="R45" s="1221" t="s">
        <v>1393</v>
      </c>
      <c r="S45" s="1222">
        <f t="shared" si="10"/>
        <v>100</v>
      </c>
      <c r="T45" s="1221" t="s">
        <v>1393</v>
      </c>
      <c r="U45" s="1222">
        <f t="shared" si="11"/>
        <v>100</v>
      </c>
      <c r="V45" s="1221" t="s">
        <v>1393</v>
      </c>
      <c r="W45" s="1222">
        <f t="shared" si="12"/>
        <v>100</v>
      </c>
      <c r="X45" s="1223"/>
      <c r="Y45" s="3399"/>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5" t="str">
        <f>A46</f>
        <v>成交单价</v>
      </c>
      <c r="Q46" s="3385"/>
      <c r="R46" s="3383">
        <f>E46</f>
        <v>0</v>
      </c>
      <c r="S46" s="3383"/>
      <c r="T46" s="3383">
        <f>G46</f>
        <v>0</v>
      </c>
      <c r="U46" s="3383"/>
      <c r="V46" s="3383">
        <f>I46</f>
        <v>0</v>
      </c>
      <c r="W46" s="3383"/>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5" t="str">
        <f>A47</f>
        <v>比较价值（元/平方米）</v>
      </c>
      <c r="Q47" s="3385"/>
      <c r="R47" s="3449" t="e">
        <f>ROUND(PRODUCT(R46,AA7:AA45),0)</f>
        <v>#DIV/0!</v>
      </c>
      <c r="S47" s="3449"/>
      <c r="T47" s="3449" t="e">
        <f>ROUND(PRODUCT(T46,AB7:AB45),0)</f>
        <v>#DIV/0!</v>
      </c>
      <c r="U47" s="3449"/>
      <c r="V47" s="3449" t="e">
        <f>ROUND(PRODUCT(V46,AC7:AC45),0)</f>
        <v>#DIV/0!</v>
      </c>
      <c r="W47" s="3449"/>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9" t="str">
        <f>A48</f>
        <v>估价对象XX用房的比较价值（楼面单价，元/平方米）</v>
      </c>
      <c r="Q48" s="3420"/>
      <c r="R48" s="3450" t="e">
        <f>ROUND(IF(D47="简单平均",AVERAGE(R47:W47),R47*F47+T47*H47+V47*J47),0)</f>
        <v>#DIV/0!</v>
      </c>
      <c r="S48" s="3450"/>
      <c r="T48" s="3450"/>
      <c r="U48" s="3450"/>
      <c r="V48" s="3450"/>
      <c r="W48" s="3450"/>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6" t="s">
        <v>1675</v>
      </c>
      <c r="H55" s="3448"/>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158.43</v>
      </c>
      <c r="F56" s="1345" t="e">
        <f t="shared" ref="F56:F64" si="15">ROUND(B56*E56/10000,0)</f>
        <v>#DIV/0!</v>
      </c>
      <c r="G56" s="3384"/>
      <c r="H56" s="3385"/>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158.43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6" t="s">
        <v>1379</v>
      </c>
      <c r="D4" s="3407"/>
      <c r="E4" s="3408" t="s">
        <v>1380</v>
      </c>
      <c r="F4" s="3409"/>
      <c r="G4" s="3406" t="s">
        <v>1381</v>
      </c>
      <c r="H4" s="3407"/>
      <c r="I4" s="3406" t="s">
        <v>1382</v>
      </c>
      <c r="J4" s="3407"/>
      <c r="K4" s="1171" t="s">
        <v>1383</v>
      </c>
      <c r="L4" s="1172"/>
      <c r="M4" s="1122"/>
      <c r="N4" s="1122"/>
      <c r="O4" s="1122"/>
      <c r="P4" s="3413" t="s">
        <v>1384</v>
      </c>
      <c r="Q4" s="3414"/>
      <c r="R4" s="3417" t="s">
        <v>1380</v>
      </c>
      <c r="S4" s="3418"/>
      <c r="T4" s="3417" t="s">
        <v>1381</v>
      </c>
      <c r="U4" s="3418"/>
      <c r="V4" s="3383" t="s">
        <v>1382</v>
      </c>
      <c r="W4" s="3383"/>
      <c r="X4" s="1214"/>
      <c r="Y4" s="3417" t="s">
        <v>1384</v>
      </c>
      <c r="Z4" s="3418"/>
      <c r="AA4" s="3412" t="s">
        <v>1380</v>
      </c>
      <c r="AB4" s="3365" t="s">
        <v>1381</v>
      </c>
      <c r="AC4" s="3412" t="s">
        <v>1382</v>
      </c>
    </row>
    <row r="5" spans="1:29" ht="15">
      <c r="A5" s="1029"/>
      <c r="B5" s="1030"/>
      <c r="C5" s="3422" t="s">
        <v>1385</v>
      </c>
      <c r="D5" s="3411"/>
      <c r="E5" s="3423" t="s">
        <v>1386</v>
      </c>
      <c r="F5" s="3424"/>
      <c r="G5" s="3422" t="s">
        <v>1387</v>
      </c>
      <c r="H5" s="3411"/>
      <c r="I5" s="3422" t="s">
        <v>1388</v>
      </c>
      <c r="J5" s="3411"/>
      <c r="K5" s="1171"/>
      <c r="L5" s="1172"/>
      <c r="M5" s="1122"/>
      <c r="N5" s="1122"/>
      <c r="O5" s="1122"/>
      <c r="P5" s="3415"/>
      <c r="Q5" s="3373"/>
      <c r="R5" s="3378"/>
      <c r="S5" s="3379"/>
      <c r="T5" s="3378"/>
      <c r="U5" s="3379"/>
      <c r="V5" s="3383"/>
      <c r="W5" s="3383"/>
      <c r="X5" s="1214"/>
      <c r="Y5" s="3378"/>
      <c r="Z5" s="3379"/>
      <c r="AA5" s="3365"/>
      <c r="AB5" s="3365"/>
      <c r="AC5" s="3365"/>
    </row>
    <row r="6" spans="1:29" ht="15">
      <c r="A6" s="1031"/>
      <c r="B6" s="1032"/>
      <c r="C6" s="3451" t="s">
        <v>1699</v>
      </c>
      <c r="D6" s="3452"/>
      <c r="E6" s="3453" t="s">
        <v>1699</v>
      </c>
      <c r="F6" s="3454"/>
      <c r="G6" s="3451" t="s">
        <v>1699</v>
      </c>
      <c r="H6" s="3452"/>
      <c r="I6" s="3451" t="s">
        <v>1699</v>
      </c>
      <c r="J6" s="3452"/>
      <c r="K6" s="1171" t="s">
        <v>1390</v>
      </c>
      <c r="L6" s="1172"/>
      <c r="M6" s="1122"/>
      <c r="N6" s="1122"/>
      <c r="O6" s="1122"/>
      <c r="P6" s="3416"/>
      <c r="Q6" s="3375"/>
      <c r="R6" s="3378"/>
      <c r="S6" s="3379"/>
      <c r="T6" s="3380"/>
      <c r="U6" s="3381"/>
      <c r="V6" s="3383"/>
      <c r="W6" s="3383"/>
      <c r="X6" s="1214"/>
      <c r="Y6" s="3380"/>
      <c r="Z6" s="3381"/>
      <c r="AA6" s="3366"/>
      <c r="AB6" s="3366"/>
      <c r="AC6" s="3366"/>
    </row>
    <row r="7" spans="1:29" s="1008" customFormat="1" ht="15">
      <c r="A7" s="1033" t="s">
        <v>1391</v>
      </c>
      <c r="B7" s="1034"/>
      <c r="C7" s="1035">
        <f>'数据-取费表'!B2</f>
        <v>45975</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89" t="s">
        <v>1392</v>
      </c>
      <c r="Q7" s="3405"/>
      <c r="R7" s="1215" t="s">
        <v>1393</v>
      </c>
      <c r="S7" s="1216">
        <f t="shared" ref="S7:S15" si="0">F7</f>
        <v>0</v>
      </c>
      <c r="T7" s="1215" t="s">
        <v>1393</v>
      </c>
      <c r="U7" s="1216">
        <f t="shared" ref="U7:U15" si="1">H7</f>
        <v>0</v>
      </c>
      <c r="V7" s="1215" t="s">
        <v>1393</v>
      </c>
      <c r="W7" s="1216">
        <f t="shared" ref="W7:W15" si="2">J7</f>
        <v>0</v>
      </c>
      <c r="X7" s="1217"/>
      <c r="Y7" s="3389" t="s">
        <v>1392</v>
      </c>
      <c r="Z7" s="3390"/>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89" t="s">
        <v>1397</v>
      </c>
      <c r="Q8" s="3390"/>
      <c r="R8" s="1215" t="s">
        <v>1393</v>
      </c>
      <c r="S8" s="1216">
        <f t="shared" si="0"/>
        <v>0</v>
      </c>
      <c r="T8" s="1215" t="s">
        <v>1393</v>
      </c>
      <c r="U8" s="1216">
        <f t="shared" si="1"/>
        <v>0</v>
      </c>
      <c r="V8" s="1215" t="s">
        <v>1393</v>
      </c>
      <c r="W8" s="1216">
        <f t="shared" si="2"/>
        <v>0</v>
      </c>
      <c r="X8" s="1217"/>
      <c r="Y8" s="3389" t="s">
        <v>1397</v>
      </c>
      <c r="Z8" s="3390"/>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5" t="s">
        <v>1400</v>
      </c>
      <c r="Q9" s="794" t="str">
        <f t="shared" ref="Q9:Q15" si="6">B9</f>
        <v>用途</v>
      </c>
      <c r="R9" s="1215" t="s">
        <v>1393</v>
      </c>
      <c r="S9" s="1216">
        <f t="shared" si="0"/>
        <v>100</v>
      </c>
      <c r="T9" s="1215" t="s">
        <v>1393</v>
      </c>
      <c r="U9" s="1216">
        <f t="shared" si="1"/>
        <v>100</v>
      </c>
      <c r="V9" s="1215" t="s">
        <v>1393</v>
      </c>
      <c r="W9" s="1216">
        <f t="shared" si="2"/>
        <v>100</v>
      </c>
      <c r="X9" s="1217"/>
      <c r="Y9" s="3271"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85"/>
      <c r="Q10" s="794" t="str">
        <f t="shared" si="6"/>
        <v>土地使用年限（年）</v>
      </c>
      <c r="R10" s="1215" t="s">
        <v>1393</v>
      </c>
      <c r="S10" s="1216">
        <f t="shared" si="0"/>
        <v>109</v>
      </c>
      <c r="T10" s="1215" t="s">
        <v>1393</v>
      </c>
      <c r="U10" s="1216">
        <f t="shared" si="1"/>
        <v>109</v>
      </c>
      <c r="V10" s="1215" t="s">
        <v>1393</v>
      </c>
      <c r="W10" s="1216">
        <f t="shared" si="2"/>
        <v>109</v>
      </c>
      <c r="X10" s="1217"/>
      <c r="Y10" s="3271"/>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5"/>
      <c r="Q11" s="794" t="str">
        <f t="shared" si="6"/>
        <v>容积率</v>
      </c>
      <c r="R11" s="1215" t="s">
        <v>1393</v>
      </c>
      <c r="S11" s="1216" t="e">
        <f t="shared" si="0"/>
        <v>#N/A</v>
      </c>
      <c r="T11" s="1215" t="s">
        <v>1393</v>
      </c>
      <c r="U11" s="1216" t="e">
        <f t="shared" si="1"/>
        <v>#N/A</v>
      </c>
      <c r="V11" s="1215" t="s">
        <v>1393</v>
      </c>
      <c r="W11" s="1216" t="e">
        <f t="shared" si="2"/>
        <v>#N/A</v>
      </c>
      <c r="X11" s="1217"/>
      <c r="Y11" s="3271"/>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5"/>
      <c r="Q12" s="794">
        <f t="shared" si="6"/>
        <v>111</v>
      </c>
      <c r="R12" s="1215" t="s">
        <v>1393</v>
      </c>
      <c r="S12" s="1216">
        <f t="shared" si="0"/>
        <v>100</v>
      </c>
      <c r="T12" s="1215" t="s">
        <v>1393</v>
      </c>
      <c r="U12" s="1216">
        <f t="shared" si="1"/>
        <v>100</v>
      </c>
      <c r="V12" s="1215" t="s">
        <v>1393</v>
      </c>
      <c r="W12" s="1216">
        <f t="shared" si="2"/>
        <v>100</v>
      </c>
      <c r="X12" s="1217"/>
      <c r="Y12" s="3271"/>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5"/>
      <c r="Q13" s="794">
        <f t="shared" si="6"/>
        <v>111</v>
      </c>
      <c r="R13" s="1215" t="s">
        <v>1393</v>
      </c>
      <c r="S13" s="1216">
        <f t="shared" si="0"/>
        <v>100</v>
      </c>
      <c r="T13" s="1215" t="s">
        <v>1393</v>
      </c>
      <c r="U13" s="1216">
        <f t="shared" si="1"/>
        <v>100</v>
      </c>
      <c r="V13" s="1215" t="s">
        <v>1393</v>
      </c>
      <c r="W13" s="1216">
        <f t="shared" si="2"/>
        <v>100</v>
      </c>
      <c r="X13" s="1217"/>
      <c r="Y13" s="3271"/>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5"/>
      <c r="Q14" s="794">
        <f t="shared" si="6"/>
        <v>111</v>
      </c>
      <c r="R14" s="1215" t="s">
        <v>1393</v>
      </c>
      <c r="S14" s="1216">
        <f t="shared" si="0"/>
        <v>100</v>
      </c>
      <c r="T14" s="1215" t="s">
        <v>1393</v>
      </c>
      <c r="U14" s="1216">
        <f t="shared" si="1"/>
        <v>100</v>
      </c>
      <c r="V14" s="1215" t="s">
        <v>1393</v>
      </c>
      <c r="W14" s="1216">
        <f t="shared" si="2"/>
        <v>100</v>
      </c>
      <c r="X14" s="1217"/>
      <c r="Y14" s="3271"/>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7" t="s">
        <v>1406</v>
      </c>
      <c r="Q15" s="625" t="str">
        <f t="shared" si="6"/>
        <v>产业集聚程度</v>
      </c>
      <c r="R15" s="1219" t="s">
        <v>1393</v>
      </c>
      <c r="S15" s="1220">
        <f t="shared" si="0"/>
        <v>100</v>
      </c>
      <c r="T15" s="1219" t="s">
        <v>1393</v>
      </c>
      <c r="U15" s="1220">
        <f t="shared" si="1"/>
        <v>100</v>
      </c>
      <c r="V15" s="1219" t="s">
        <v>1393</v>
      </c>
      <c r="W15" s="1220">
        <f t="shared" si="2"/>
        <v>100</v>
      </c>
      <c r="X15" s="1214"/>
      <c r="Y15" s="3397"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8"/>
      <c r="Q16" s="625"/>
      <c r="R16" s="1219"/>
      <c r="S16" s="1220"/>
      <c r="T16" s="1219"/>
      <c r="U16" s="1220"/>
      <c r="V16" s="1219"/>
      <c r="W16" s="1220"/>
      <c r="X16" s="1214"/>
      <c r="Y16" s="3398"/>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8"/>
      <c r="Q17" s="625" t="str">
        <f>B17</f>
        <v>交通便捷度</v>
      </c>
      <c r="R17" s="1219" t="s">
        <v>1393</v>
      </c>
      <c r="S17" s="1220">
        <f>F17</f>
        <v>100</v>
      </c>
      <c r="T17" s="1219" t="s">
        <v>1393</v>
      </c>
      <c r="U17" s="1220">
        <f>H17</f>
        <v>100</v>
      </c>
      <c r="V17" s="1219" t="s">
        <v>1393</v>
      </c>
      <c r="W17" s="1220">
        <f>J17</f>
        <v>100</v>
      </c>
      <c r="X17" s="1214"/>
      <c r="Y17" s="3398"/>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8"/>
      <c r="Q18" s="625"/>
      <c r="R18" s="1219"/>
      <c r="S18" s="1220"/>
      <c r="T18" s="1219"/>
      <c r="U18" s="1220"/>
      <c r="V18" s="1219"/>
      <c r="W18" s="1220"/>
      <c r="X18" s="1214"/>
      <c r="Y18" s="3398"/>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8"/>
      <c r="Q19" s="625" t="str">
        <f t="shared" ref="Q19:Q34" si="8">B19</f>
        <v>区域土地利用方向</v>
      </c>
      <c r="R19" s="1219" t="s">
        <v>1393</v>
      </c>
      <c r="S19" s="1220">
        <f>F19</f>
        <v>100</v>
      </c>
      <c r="T19" s="1219" t="s">
        <v>1393</v>
      </c>
      <c r="U19" s="1220">
        <f>H19</f>
        <v>100</v>
      </c>
      <c r="V19" s="1219" t="s">
        <v>1393</v>
      </c>
      <c r="W19" s="1220">
        <f>J19</f>
        <v>100</v>
      </c>
      <c r="X19" s="1214"/>
      <c r="Y19" s="3398"/>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8"/>
      <c r="Q20" s="625"/>
      <c r="R20" s="1219"/>
      <c r="S20" s="1220"/>
      <c r="T20" s="1219"/>
      <c r="U20" s="1220"/>
      <c r="V20" s="1219"/>
      <c r="W20" s="1220"/>
      <c r="X20" s="1214"/>
      <c r="Y20" s="3398"/>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8"/>
      <c r="Q21" s="625" t="str">
        <f t="shared" si="8"/>
        <v>环境状况</v>
      </c>
      <c r="R21" s="1219" t="s">
        <v>1393</v>
      </c>
      <c r="S21" s="1220">
        <f>F21</f>
        <v>100</v>
      </c>
      <c r="T21" s="1219" t="s">
        <v>1393</v>
      </c>
      <c r="U21" s="1220">
        <f>H21</f>
        <v>100</v>
      </c>
      <c r="V21" s="1219" t="s">
        <v>1393</v>
      </c>
      <c r="W21" s="1220">
        <f>J21</f>
        <v>100</v>
      </c>
      <c r="X21" s="1214"/>
      <c r="Y21" s="3398"/>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8"/>
      <c r="Q22" s="625"/>
      <c r="R22" s="1219"/>
      <c r="S22" s="1220"/>
      <c r="T22" s="1219"/>
      <c r="U22" s="1220"/>
      <c r="V22" s="1219"/>
      <c r="W22" s="1220"/>
      <c r="X22" s="1214"/>
      <c r="Y22" s="3398"/>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8"/>
      <c r="Q23" s="794" t="str">
        <f t="shared" si="8"/>
        <v>公共配套设施</v>
      </c>
      <c r="R23" s="1215" t="s">
        <v>1393</v>
      </c>
      <c r="S23" s="1216">
        <f>F23</f>
        <v>100</v>
      </c>
      <c r="T23" s="1215" t="s">
        <v>1393</v>
      </c>
      <c r="U23" s="1216">
        <f>H23</f>
        <v>100</v>
      </c>
      <c r="V23" s="1215" t="s">
        <v>1393</v>
      </c>
      <c r="W23" s="1216">
        <f>J23</f>
        <v>100</v>
      </c>
      <c r="X23" s="1217"/>
      <c r="Y23" s="3398"/>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8"/>
      <c r="Q24" s="794"/>
      <c r="R24" s="1215"/>
      <c r="S24" s="1216"/>
      <c r="T24" s="1215"/>
      <c r="U24" s="1216"/>
      <c r="V24" s="1215"/>
      <c r="W24" s="1216"/>
      <c r="X24" s="1217"/>
      <c r="Y24" s="3398"/>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8"/>
      <c r="Q25" s="794" t="str">
        <f t="shared" ref="Q25" si="9">B25</f>
        <v>基础设施水平</v>
      </c>
      <c r="R25" s="1215" t="s">
        <v>1393</v>
      </c>
      <c r="S25" s="1216">
        <f>F25</f>
        <v>100</v>
      </c>
      <c r="T25" s="1215" t="s">
        <v>1393</v>
      </c>
      <c r="U25" s="1216">
        <f>H25</f>
        <v>100</v>
      </c>
      <c r="V25" s="1215" t="s">
        <v>1393</v>
      </c>
      <c r="W25" s="1216">
        <f>J25</f>
        <v>100</v>
      </c>
      <c r="X25" s="1217"/>
      <c r="Y25" s="3398"/>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8"/>
      <c r="Q26" s="794"/>
      <c r="R26" s="1215"/>
      <c r="S26" s="1216"/>
      <c r="T26" s="1215"/>
      <c r="U26" s="1216"/>
      <c r="V26" s="1215"/>
      <c r="W26" s="1216"/>
      <c r="X26" s="1217"/>
      <c r="Y26" s="3398"/>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8"/>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8"/>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8"/>
      <c r="Q28" s="625" t="str">
        <f t="shared" si="8"/>
        <v>毗邻道路的类型与等级</v>
      </c>
      <c r="R28" s="1219" t="s">
        <v>1393</v>
      </c>
      <c r="S28" s="1220">
        <f t="shared" si="10"/>
        <v>100</v>
      </c>
      <c r="T28" s="1219" t="s">
        <v>1393</v>
      </c>
      <c r="U28" s="1220">
        <f t="shared" si="11"/>
        <v>100</v>
      </c>
      <c r="V28" s="1219" t="s">
        <v>1393</v>
      </c>
      <c r="W28" s="1220">
        <f t="shared" si="12"/>
        <v>100</v>
      </c>
      <c r="X28" s="1214"/>
      <c r="Y28" s="3398"/>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8"/>
      <c r="Q29" s="625"/>
      <c r="R29" s="1219"/>
      <c r="S29" s="1220"/>
      <c r="T29" s="1219"/>
      <c r="U29" s="1220"/>
      <c r="V29" s="1219"/>
      <c r="W29" s="1220"/>
      <c r="X29" s="1214"/>
      <c r="Y29" s="3398"/>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8"/>
      <c r="Q30" s="625" t="str">
        <f t="shared" si="8"/>
        <v>土地级别</v>
      </c>
      <c r="R30" s="1219" t="s">
        <v>1393</v>
      </c>
      <c r="S30" s="1220">
        <f t="shared" si="10"/>
        <v>100</v>
      </c>
      <c r="T30" s="1219" t="s">
        <v>1393</v>
      </c>
      <c r="U30" s="1220">
        <f t="shared" si="11"/>
        <v>100</v>
      </c>
      <c r="V30" s="1219" t="s">
        <v>1393</v>
      </c>
      <c r="W30" s="1220">
        <f t="shared" si="12"/>
        <v>100</v>
      </c>
      <c r="X30" s="1214"/>
      <c r="Y30" s="3398"/>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8"/>
      <c r="Q31" s="625">
        <f t="shared" si="8"/>
        <v>111</v>
      </c>
      <c r="R31" s="1219" t="s">
        <v>1393</v>
      </c>
      <c r="S31" s="1220">
        <f t="shared" si="10"/>
        <v>100</v>
      </c>
      <c r="T31" s="1219" t="s">
        <v>1393</v>
      </c>
      <c r="U31" s="1220">
        <f t="shared" si="11"/>
        <v>100</v>
      </c>
      <c r="V31" s="1219" t="s">
        <v>1393</v>
      </c>
      <c r="W31" s="1220">
        <f t="shared" si="12"/>
        <v>100</v>
      </c>
      <c r="X31" s="1214"/>
      <c r="Y31" s="3398"/>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6" t="s">
        <v>1421</v>
      </c>
      <c r="Q32" s="625">
        <f t="shared" si="8"/>
        <v>111</v>
      </c>
      <c r="R32" s="1219" t="s">
        <v>1393</v>
      </c>
      <c r="S32" s="1220">
        <f t="shared" si="10"/>
        <v>100</v>
      </c>
      <c r="T32" s="1219" t="s">
        <v>1393</v>
      </c>
      <c r="U32" s="1220">
        <f t="shared" si="11"/>
        <v>100</v>
      </c>
      <c r="V32" s="1219" t="s">
        <v>1393</v>
      </c>
      <c r="W32" s="1220">
        <f t="shared" si="12"/>
        <v>100</v>
      </c>
      <c r="X32" s="1214"/>
      <c r="Y32" s="3399"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99"/>
      <c r="Q33" s="625">
        <f t="shared" si="8"/>
        <v>111</v>
      </c>
      <c r="R33" s="1221" t="s">
        <v>1393</v>
      </c>
      <c r="S33" s="1222">
        <f t="shared" si="10"/>
        <v>100</v>
      </c>
      <c r="T33" s="1221" t="s">
        <v>1393</v>
      </c>
      <c r="U33" s="1222">
        <f t="shared" si="11"/>
        <v>100</v>
      </c>
      <c r="V33" s="1221" t="s">
        <v>1393</v>
      </c>
      <c r="W33" s="1222">
        <f t="shared" si="12"/>
        <v>100</v>
      </c>
      <c r="X33" s="1223"/>
      <c r="Y33" s="3399"/>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99"/>
      <c r="Q34" s="625" t="str">
        <f t="shared" si="8"/>
        <v>宗地面积</v>
      </c>
      <c r="R34" s="1219" t="s">
        <v>1393</v>
      </c>
      <c r="S34" s="1220" t="e">
        <f t="shared" si="10"/>
        <v>#N/A</v>
      </c>
      <c r="T34" s="1219" t="s">
        <v>1393</v>
      </c>
      <c r="U34" s="1220" t="e">
        <f t="shared" si="11"/>
        <v>#N/A</v>
      </c>
      <c r="V34" s="1219" t="s">
        <v>1393</v>
      </c>
      <c r="W34" s="1220" t="e">
        <f t="shared" si="12"/>
        <v>#N/A</v>
      </c>
      <c r="X34" s="1214"/>
      <c r="Y34" s="3399"/>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99"/>
      <c r="Q35" s="625" t="str">
        <f t="shared" ref="Q35:Q40" si="14">B35</f>
        <v>宗地形状</v>
      </c>
      <c r="R35" s="1219" t="s">
        <v>1393</v>
      </c>
      <c r="S35" s="1220">
        <f t="shared" si="10"/>
        <v>100</v>
      </c>
      <c r="T35" s="1219" t="s">
        <v>1393</v>
      </c>
      <c r="U35" s="1220">
        <f t="shared" si="11"/>
        <v>100</v>
      </c>
      <c r="V35" s="1219" t="s">
        <v>1393</v>
      </c>
      <c r="W35" s="1220">
        <f t="shared" si="12"/>
        <v>100</v>
      </c>
      <c r="X35" s="1214"/>
      <c r="Y35" s="3399"/>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99"/>
      <c r="Q36" s="625" t="str">
        <f t="shared" si="14"/>
        <v>宗地开发程度</v>
      </c>
      <c r="R36" s="1215" t="s">
        <v>1393</v>
      </c>
      <c r="S36" s="1216">
        <f t="shared" si="10"/>
        <v>100</v>
      </c>
      <c r="T36" s="1215" t="s">
        <v>1393</v>
      </c>
      <c r="U36" s="1216">
        <f t="shared" si="11"/>
        <v>100</v>
      </c>
      <c r="V36" s="1215" t="s">
        <v>1393</v>
      </c>
      <c r="W36" s="1216">
        <f t="shared" si="12"/>
        <v>100</v>
      </c>
      <c r="X36" s="1217"/>
      <c r="Y36" s="3399"/>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99" t="s">
        <v>1421</v>
      </c>
      <c r="Q37" s="625" t="str">
        <f t="shared" si="14"/>
        <v>工程地质条件</v>
      </c>
      <c r="R37" s="1219" t="s">
        <v>1393</v>
      </c>
      <c r="S37" s="1220">
        <f t="shared" si="10"/>
        <v>100</v>
      </c>
      <c r="T37" s="1219" t="s">
        <v>1393</v>
      </c>
      <c r="U37" s="1220">
        <f t="shared" si="11"/>
        <v>100</v>
      </c>
      <c r="V37" s="1219" t="s">
        <v>1393</v>
      </c>
      <c r="W37" s="1220">
        <f t="shared" si="12"/>
        <v>100</v>
      </c>
      <c r="X37" s="1214"/>
      <c r="Y37" s="3399"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99"/>
      <c r="Q38" s="625">
        <f t="shared" si="14"/>
        <v>111</v>
      </c>
      <c r="R38" s="1219" t="s">
        <v>1393</v>
      </c>
      <c r="S38" s="1220">
        <f t="shared" si="10"/>
        <v>100</v>
      </c>
      <c r="T38" s="1219" t="s">
        <v>1393</v>
      </c>
      <c r="U38" s="1220">
        <f t="shared" si="11"/>
        <v>100</v>
      </c>
      <c r="V38" s="1219" t="s">
        <v>1393</v>
      </c>
      <c r="W38" s="1220">
        <f t="shared" si="12"/>
        <v>100</v>
      </c>
      <c r="X38" s="1214"/>
      <c r="Y38" s="3399"/>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99"/>
      <c r="Q39" s="625">
        <f t="shared" si="14"/>
        <v>111</v>
      </c>
      <c r="R39" s="1219" t="s">
        <v>1393</v>
      </c>
      <c r="S39" s="1220">
        <f t="shared" si="10"/>
        <v>100</v>
      </c>
      <c r="T39" s="1219" t="s">
        <v>1393</v>
      </c>
      <c r="U39" s="1220">
        <f t="shared" si="11"/>
        <v>100</v>
      </c>
      <c r="V39" s="1219" t="s">
        <v>1393</v>
      </c>
      <c r="W39" s="1220">
        <f t="shared" si="12"/>
        <v>100</v>
      </c>
      <c r="X39" s="1214"/>
      <c r="Y39" s="3399"/>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99"/>
      <c r="Q40" s="625">
        <f t="shared" si="14"/>
        <v>111</v>
      </c>
      <c r="R40" s="1221" t="s">
        <v>1393</v>
      </c>
      <c r="S40" s="1222">
        <f t="shared" si="10"/>
        <v>100</v>
      </c>
      <c r="T40" s="1221" t="s">
        <v>1393</v>
      </c>
      <c r="U40" s="1222">
        <f t="shared" si="11"/>
        <v>100</v>
      </c>
      <c r="V40" s="1221" t="s">
        <v>1393</v>
      </c>
      <c r="W40" s="1222">
        <f t="shared" si="12"/>
        <v>100</v>
      </c>
      <c r="X40" s="1223"/>
      <c r="Y40" s="3399"/>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5" t="str">
        <f>A41</f>
        <v>成交单价</v>
      </c>
      <c r="Q41" s="3385"/>
      <c r="R41" s="3383">
        <f>E41</f>
        <v>0</v>
      </c>
      <c r="S41" s="3383"/>
      <c r="T41" s="3383">
        <f>G41</f>
        <v>0</v>
      </c>
      <c r="U41" s="3383"/>
      <c r="V41" s="3383">
        <f>I41</f>
        <v>0</v>
      </c>
      <c r="W41" s="3383"/>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5" t="str">
        <f>A42</f>
        <v>比较价值（元/平方米）</v>
      </c>
      <c r="Q42" s="3385"/>
      <c r="R42" s="3449" t="e">
        <f>ROUND(PRODUCT(R41,AA7:AA40),0)</f>
        <v>#DIV/0!</v>
      </c>
      <c r="S42" s="3449"/>
      <c r="T42" s="3449" t="e">
        <f>ROUND(PRODUCT(T41,AB7:AB40),0)</f>
        <v>#DIV/0!</v>
      </c>
      <c r="U42" s="3449"/>
      <c r="V42" s="3449" t="e">
        <f>ROUND(PRODUCT(V41,AC7:AC40),0)</f>
        <v>#DIV/0!</v>
      </c>
      <c r="W42" s="3449"/>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9" t="str">
        <f>A43</f>
        <v>估价对象XX用房的比较价值（楼面单价，元/平方米）</v>
      </c>
      <c r="Q43" s="3420"/>
      <c r="R43" s="3450" t="e">
        <f>ROUND(IF(D42="简单平均",AVERAGE(R42:W42),R42*F42+T42*H42+V42*J42),0)</f>
        <v>#DIV/0!</v>
      </c>
      <c r="S43" s="3450"/>
      <c r="T43" s="3450"/>
      <c r="U43" s="3450"/>
      <c r="V43" s="3450"/>
      <c r="W43" s="3450"/>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6" t="s">
        <v>1675</v>
      </c>
      <c r="H50" s="3448"/>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158.43</v>
      </c>
      <c r="F51" s="1141" t="e">
        <f t="shared" ref="F51:F60" si="15">ROUND(B51*E51/10000,0)</f>
        <v>#DIV/0!</v>
      </c>
      <c r="G51" s="3384"/>
      <c r="H51" s="3385"/>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3" sqref="T23"/>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5" t="s">
        <v>1705</v>
      </c>
      <c r="D1" s="3456"/>
      <c r="E1" s="3456"/>
      <c r="F1" s="3456"/>
      <c r="G1" s="3456"/>
      <c r="H1" s="3456"/>
      <c r="I1" s="3456"/>
      <c r="J1" s="3456"/>
      <c r="K1" s="3456"/>
      <c r="L1" s="3456"/>
      <c r="M1" s="3456"/>
      <c r="N1" s="3456"/>
      <c r="O1" s="3456"/>
      <c r="P1" s="3456"/>
      <c r="Q1" s="3456"/>
      <c r="R1" s="3456"/>
      <c r="S1" s="3457"/>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624</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19693</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316.86</v>
      </c>
      <c r="C22" s="3458" t="s">
        <v>124</v>
      </c>
      <c r="D22" s="3459"/>
      <c r="E22" s="3459"/>
      <c r="F22" s="3459"/>
      <c r="G22" s="3459"/>
      <c r="H22" s="3459"/>
      <c r="I22" s="3459"/>
      <c r="J22" s="3459"/>
      <c r="K22" s="3459"/>
      <c r="L22" s="3459"/>
      <c r="M22" s="3459"/>
      <c r="N22" s="3459"/>
      <c r="O22" s="3459"/>
      <c r="P22" s="3459"/>
      <c r="Q22" s="3460"/>
      <c r="R22" s="950">
        <f ca="1">ROUND(S22*10000/B22,0)</f>
        <v>19693</v>
      </c>
      <c r="S22" s="950">
        <f ca="1">SUM(S24:S10000)</f>
        <v>624</v>
      </c>
      <c r="T22" s="898">
        <f ca="1">T24+T25</f>
        <v>6231686</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906</v>
      </c>
      <c r="B24" s="954">
        <f>'数据-基础表'!I13</f>
        <v>158.43</v>
      </c>
      <c r="C24" s="955">
        <v>1</v>
      </c>
      <c r="D24" s="956"/>
      <c r="E24" s="955">
        <v>1</v>
      </c>
      <c r="F24" s="956"/>
      <c r="G24" s="955">
        <v>1</v>
      </c>
      <c r="H24" s="956"/>
      <c r="I24" s="955">
        <v>1</v>
      </c>
      <c r="J24" s="956"/>
      <c r="K24" s="955">
        <v>1</v>
      </c>
      <c r="L24" s="956"/>
      <c r="M24" s="955">
        <v>1</v>
      </c>
      <c r="N24" s="956"/>
      <c r="O24" s="955">
        <v>1</v>
      </c>
      <c r="P24" s="956"/>
      <c r="Q24" s="955">
        <v>1</v>
      </c>
      <c r="R24" s="954">
        <f ca="1">结果表!C32</f>
        <v>19667</v>
      </c>
      <c r="S24" s="1005">
        <f t="shared" ref="S24:S54" ca="1" si="11">ROUND(R24*B24/10000,0)</f>
        <v>312</v>
      </c>
      <c r="T24" s="1006">
        <f ca="1">ROUND(R24*B24,0)</f>
        <v>3115843</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907</v>
      </c>
      <c r="B25" s="958">
        <v>158.43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19667</v>
      </c>
      <c r="S25" s="949">
        <f t="shared" ca="1" si="11"/>
        <v>312</v>
      </c>
      <c r="T25" s="1006">
        <f ca="1">ROUND(R25*B25,0)</f>
        <v>3115843</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158.43</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158.43</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158.43</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1"/>
      <c r="B4" s="3462"/>
      <c r="C4" s="3462"/>
      <c r="D4" s="3463"/>
      <c r="E4" s="3463"/>
      <c r="F4" s="3463"/>
      <c r="G4" s="3463"/>
      <c r="H4" s="3463"/>
      <c r="I4" s="3463"/>
      <c r="J4" s="3464"/>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158.43</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5" t="s">
        <v>1761</v>
      </c>
      <c r="X8" s="3466"/>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9"/>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9"/>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1" t="s">
        <v>1810</v>
      </c>
      <c r="B20" s="590" t="s">
        <v>1811</v>
      </c>
      <c r="C20" s="591">
        <f>ROUND(IF(F21="与级别开发程度一致",0,(G21-E21)/C21),0)</f>
        <v>-36</v>
      </c>
      <c r="D20" s="592" t="s">
        <v>1812</v>
      </c>
      <c r="E20" s="593"/>
      <c r="F20" s="3467" t="s">
        <v>1813</v>
      </c>
      <c r="G20" s="3468"/>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2"/>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45975</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158.43</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3"/>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4"/>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4"/>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9" t="s">
        <v>1907</v>
      </c>
      <c r="B103" s="3469"/>
      <c r="C103" s="3469"/>
      <c r="D103" s="3469"/>
      <c r="E103" s="3469"/>
      <c r="F103" s="3469"/>
      <c r="G103" s="3469"/>
      <c r="H103" s="3469"/>
      <c r="I103" s="3469"/>
      <c r="J103" s="3469"/>
      <c r="K103" s="851"/>
      <c r="L103" s="851"/>
      <c r="M103" s="851"/>
      <c r="N103" s="851"/>
    </row>
    <row r="104" spans="1:14">
      <c r="A104" s="3475" t="s">
        <v>1908</v>
      </c>
      <c r="B104" s="3475" t="s">
        <v>1909</v>
      </c>
      <c r="C104" s="853" t="s">
        <v>1910</v>
      </c>
      <c r="D104" s="854"/>
      <c r="E104" s="854"/>
      <c r="F104" s="854"/>
      <c r="G104" s="854"/>
      <c r="H104" s="854"/>
      <c r="I104" s="854"/>
      <c r="J104" s="873"/>
      <c r="K104" s="874"/>
      <c r="L104" s="874"/>
      <c r="M104" s="874"/>
      <c r="N104" s="874"/>
    </row>
    <row r="105" spans="1:14">
      <c r="A105" s="3475"/>
      <c r="B105" s="3475"/>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6"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7"/>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7"/>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7"/>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7"/>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7"/>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8"/>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70" t="s">
        <v>1912</v>
      </c>
      <c r="B113" s="3470"/>
      <c r="C113" s="3470"/>
      <c r="D113" s="3470"/>
      <c r="E113" s="3470"/>
      <c r="F113" s="3470"/>
      <c r="G113" s="3470"/>
      <c r="H113" s="3470"/>
      <c r="I113" s="3470"/>
      <c r="J113" s="3470"/>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4" t="s">
        <v>229</v>
      </c>
      <c r="B20" s="3490" t="s">
        <v>1934</v>
      </c>
      <c r="C20" s="462" t="s">
        <v>244</v>
      </c>
      <c r="D20" s="462"/>
      <c r="E20" s="463">
        <v>1</v>
      </c>
      <c r="F20" s="464" t="s">
        <v>1935</v>
      </c>
      <c r="G20" s="464"/>
    </row>
    <row r="21" spans="1:13" ht="19.5" customHeight="1">
      <c r="A21" s="3485"/>
      <c r="B21" s="3480"/>
      <c r="C21" s="465" t="s">
        <v>259</v>
      </c>
      <c r="D21" s="465"/>
      <c r="E21" s="466">
        <v>1</v>
      </c>
      <c r="F21" s="464" t="s">
        <v>1936</v>
      </c>
      <c r="G21" s="464"/>
    </row>
    <row r="22" spans="1:13" ht="19.5" customHeight="1">
      <c r="A22" s="3485"/>
      <c r="B22" s="3480"/>
      <c r="C22" s="465" t="s">
        <v>270</v>
      </c>
      <c r="D22" s="465"/>
      <c r="E22" s="466">
        <v>0.9</v>
      </c>
      <c r="F22" s="464" t="s">
        <v>1937</v>
      </c>
      <c r="G22" s="464"/>
    </row>
    <row r="23" spans="1:13" ht="19.5" customHeight="1">
      <c r="A23" s="3485"/>
      <c r="B23" s="3480"/>
      <c r="C23" s="465" t="s">
        <v>281</v>
      </c>
      <c r="D23" s="465"/>
      <c r="E23" s="466">
        <v>0.9</v>
      </c>
      <c r="F23" s="464" t="s">
        <v>1938</v>
      </c>
      <c r="G23" s="464"/>
    </row>
    <row r="24" spans="1:13" ht="19.5" customHeight="1">
      <c r="A24" s="3485"/>
      <c r="B24" s="3480"/>
      <c r="C24" s="465" t="s">
        <v>290</v>
      </c>
      <c r="D24" s="465"/>
      <c r="E24" s="466">
        <v>0.8</v>
      </c>
      <c r="F24" s="464" t="s">
        <v>1939</v>
      </c>
      <c r="G24" s="464"/>
    </row>
    <row r="25" spans="1:13" ht="19.5" customHeight="1">
      <c r="A25" s="3485"/>
      <c r="B25" s="3480"/>
      <c r="C25" s="465" t="s">
        <v>298</v>
      </c>
      <c r="D25" s="465"/>
      <c r="E25" s="466">
        <v>0.8</v>
      </c>
      <c r="F25" s="464"/>
      <c r="G25" s="464"/>
    </row>
    <row r="26" spans="1:13" ht="19.5" customHeight="1">
      <c r="A26" s="3485"/>
      <c r="B26" s="3480"/>
      <c r="C26" s="465" t="s">
        <v>306</v>
      </c>
      <c r="D26" s="465"/>
      <c r="E26" s="466">
        <v>0.43</v>
      </c>
      <c r="F26" s="464"/>
      <c r="G26" s="464"/>
    </row>
    <row r="27" spans="1:13" ht="19.5" customHeight="1">
      <c r="A27" s="3486"/>
      <c r="B27" s="3491"/>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7" t="s">
        <v>231</v>
      </c>
      <c r="B29" s="3492" t="s">
        <v>231</v>
      </c>
      <c r="C29" s="474" t="s">
        <v>246</v>
      </c>
      <c r="D29" s="475"/>
      <c r="E29" s="463">
        <v>1</v>
      </c>
      <c r="F29" s="464" t="s">
        <v>1942</v>
      </c>
      <c r="G29" s="464"/>
    </row>
    <row r="30" spans="1:13" ht="19.5" customHeight="1">
      <c r="A30" s="3488"/>
      <c r="B30" s="3483"/>
      <c r="C30" s="476" t="s">
        <v>260</v>
      </c>
      <c r="D30" s="477"/>
      <c r="E30" s="466">
        <v>1</v>
      </c>
      <c r="F30" s="464" t="s">
        <v>1943</v>
      </c>
      <c r="G30" s="464"/>
    </row>
    <row r="31" spans="1:13" ht="19.5" customHeight="1">
      <c r="A31" s="3488"/>
      <c r="B31" s="3483"/>
      <c r="C31" s="476" t="s">
        <v>271</v>
      </c>
      <c r="D31" s="477"/>
      <c r="E31" s="466">
        <v>0.8</v>
      </c>
      <c r="F31" s="464" t="s">
        <v>1944</v>
      </c>
      <c r="G31" s="464"/>
    </row>
    <row r="32" spans="1:13" ht="19.5" customHeight="1">
      <c r="A32" s="3488"/>
      <c r="B32" s="3483"/>
      <c r="C32" s="476" t="s">
        <v>282</v>
      </c>
      <c r="D32" s="477"/>
      <c r="E32" s="466">
        <v>0.8</v>
      </c>
      <c r="F32" s="464" t="s">
        <v>1945</v>
      </c>
      <c r="G32" s="464"/>
    </row>
    <row r="33" spans="1:7" ht="19.5" customHeight="1">
      <c r="A33" s="3488"/>
      <c r="B33" s="3483"/>
      <c r="C33" s="476" t="s">
        <v>291</v>
      </c>
      <c r="D33" s="477"/>
      <c r="E33" s="466">
        <v>0.8</v>
      </c>
      <c r="F33" s="464" t="s">
        <v>1946</v>
      </c>
      <c r="G33" s="464"/>
    </row>
    <row r="34" spans="1:7" ht="19.5" customHeight="1">
      <c r="A34" s="3488"/>
      <c r="B34" s="3483"/>
      <c r="C34" s="476" t="s">
        <v>299</v>
      </c>
      <c r="D34" s="477"/>
      <c r="E34" s="466">
        <v>0.7</v>
      </c>
      <c r="F34" s="464" t="s">
        <v>1947</v>
      </c>
      <c r="G34" s="464"/>
    </row>
    <row r="35" spans="1:7" ht="19.5" customHeight="1">
      <c r="A35" s="3488"/>
      <c r="B35" s="3483"/>
      <c r="C35" s="476" t="s">
        <v>307</v>
      </c>
      <c r="D35" s="477"/>
      <c r="E35" s="466">
        <v>0.8</v>
      </c>
      <c r="F35" s="464" t="s">
        <v>1948</v>
      </c>
      <c r="G35" s="464"/>
    </row>
    <row r="36" spans="1:7" ht="19.5" customHeight="1">
      <c r="A36" s="3488"/>
      <c r="B36" s="3483"/>
      <c r="C36" s="476" t="s">
        <v>314</v>
      </c>
      <c r="D36" s="477"/>
      <c r="E36" s="466">
        <v>0.6</v>
      </c>
      <c r="F36" s="464" t="s">
        <v>1949</v>
      </c>
      <c r="G36" s="464"/>
    </row>
    <row r="37" spans="1:7" ht="19.5" customHeight="1">
      <c r="A37" s="3488"/>
      <c r="B37" s="3483"/>
      <c r="C37" s="476" t="s">
        <v>320</v>
      </c>
      <c r="D37" s="477"/>
      <c r="E37" s="466">
        <v>0.2</v>
      </c>
      <c r="F37" s="464" t="s">
        <v>1950</v>
      </c>
      <c r="G37" s="464"/>
    </row>
    <row r="38" spans="1:7" ht="19.5" customHeight="1">
      <c r="A38" s="3488"/>
      <c r="B38" s="3483"/>
      <c r="C38" s="476" t="s">
        <v>326</v>
      </c>
      <c r="D38" s="477"/>
      <c r="E38" s="466">
        <v>0.2</v>
      </c>
      <c r="F38" s="464" t="s">
        <v>1951</v>
      </c>
      <c r="G38" s="464"/>
    </row>
    <row r="39" spans="1:7" ht="19.5" customHeight="1">
      <c r="A39" s="3488"/>
      <c r="B39" s="3481" t="s">
        <v>1952</v>
      </c>
      <c r="C39" s="476" t="s">
        <v>332</v>
      </c>
      <c r="D39" s="477"/>
      <c r="E39" s="466">
        <v>0.6</v>
      </c>
      <c r="F39" s="464" t="s">
        <v>1953</v>
      </c>
      <c r="G39" s="464"/>
    </row>
    <row r="40" spans="1:7" ht="19.5" customHeight="1">
      <c r="A40" s="3488"/>
      <c r="B40" s="3483"/>
      <c r="C40" s="476" t="s">
        <v>338</v>
      </c>
      <c r="D40" s="477"/>
      <c r="E40" s="466">
        <v>0.6</v>
      </c>
      <c r="F40" s="464" t="s">
        <v>1954</v>
      </c>
      <c r="G40" s="464"/>
    </row>
    <row r="41" spans="1:7" ht="19.5" customHeight="1">
      <c r="A41" s="3489"/>
      <c r="B41" s="3493"/>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4" t="s">
        <v>233</v>
      </c>
      <c r="B43" s="3492" t="s">
        <v>1957</v>
      </c>
      <c r="C43" s="474" t="s">
        <v>248</v>
      </c>
      <c r="D43" s="475"/>
      <c r="E43" s="463">
        <v>1</v>
      </c>
      <c r="F43" s="464" t="s">
        <v>1958</v>
      </c>
      <c r="G43" s="464"/>
    </row>
    <row r="44" spans="1:7" ht="19.5" customHeight="1">
      <c r="A44" s="3485"/>
      <c r="B44" s="3483"/>
      <c r="C44" s="476" t="s">
        <v>261</v>
      </c>
      <c r="D44" s="477"/>
      <c r="E44" s="466">
        <v>1</v>
      </c>
      <c r="F44" s="464" t="s">
        <v>1959</v>
      </c>
      <c r="G44" s="464"/>
    </row>
    <row r="45" spans="1:7" ht="19.5" customHeight="1">
      <c r="A45" s="3485"/>
      <c r="B45" s="3482"/>
      <c r="C45" s="476" t="s">
        <v>272</v>
      </c>
      <c r="D45" s="477"/>
      <c r="E45" s="466">
        <v>1.5</v>
      </c>
      <c r="F45" s="464" t="s">
        <v>1960</v>
      </c>
      <c r="G45" s="464"/>
    </row>
    <row r="46" spans="1:7" ht="19.5" customHeight="1">
      <c r="A46" s="3485"/>
      <c r="B46" s="465" t="s">
        <v>231</v>
      </c>
      <c r="C46" s="476" t="s">
        <v>283</v>
      </c>
      <c r="D46" s="477"/>
      <c r="E46" s="466">
        <v>2</v>
      </c>
      <c r="F46" s="464" t="s">
        <v>1961</v>
      </c>
      <c r="G46" s="464"/>
    </row>
    <row r="47" spans="1:7" ht="19.5" customHeight="1">
      <c r="A47" s="3485"/>
      <c r="B47" s="3481" t="s">
        <v>1962</v>
      </c>
      <c r="C47" s="476" t="s">
        <v>292</v>
      </c>
      <c r="D47" s="477"/>
      <c r="E47" s="466">
        <v>1</v>
      </c>
      <c r="F47" s="464" t="s">
        <v>1963</v>
      </c>
      <c r="G47" s="464"/>
    </row>
    <row r="48" spans="1:7" ht="19.5" customHeight="1">
      <c r="A48" s="3485"/>
      <c r="B48" s="3483"/>
      <c r="C48" s="476" t="s">
        <v>300</v>
      </c>
      <c r="D48" s="477"/>
      <c r="E48" s="466">
        <v>1</v>
      </c>
      <c r="F48" s="464" t="s">
        <v>1964</v>
      </c>
      <c r="G48" s="464"/>
    </row>
    <row r="49" spans="1:7" ht="19.5" customHeight="1">
      <c r="A49" s="3485"/>
      <c r="B49" s="3483"/>
      <c r="C49" s="476" t="s">
        <v>308</v>
      </c>
      <c r="D49" s="477"/>
      <c r="E49" s="466">
        <v>1</v>
      </c>
      <c r="F49" s="464" t="s">
        <v>1965</v>
      </c>
      <c r="G49" s="464"/>
    </row>
    <row r="50" spans="1:7" ht="19.5" customHeight="1">
      <c r="A50" s="3485"/>
      <c r="B50" s="3483"/>
      <c r="C50" s="476" t="s">
        <v>315</v>
      </c>
      <c r="D50" s="477"/>
      <c r="E50" s="466">
        <v>1</v>
      </c>
      <c r="F50" s="464" t="s">
        <v>1966</v>
      </c>
      <c r="G50" s="464"/>
    </row>
    <row r="51" spans="1:7" ht="19.5" customHeight="1">
      <c r="A51" s="3485"/>
      <c r="B51" s="3483"/>
      <c r="C51" s="476" t="s">
        <v>321</v>
      </c>
      <c r="D51" s="477"/>
      <c r="E51" s="466">
        <v>1</v>
      </c>
      <c r="F51" s="464" t="s">
        <v>1967</v>
      </c>
      <c r="G51" s="464"/>
    </row>
    <row r="52" spans="1:7" ht="19.5" customHeight="1">
      <c r="A52" s="3485"/>
      <c r="B52" s="3483"/>
      <c r="C52" s="476" t="s">
        <v>327</v>
      </c>
      <c r="D52" s="477"/>
      <c r="E52" s="466">
        <v>1</v>
      </c>
      <c r="F52" s="464" t="s">
        <v>1968</v>
      </c>
      <c r="G52" s="464"/>
    </row>
    <row r="53" spans="1:7" ht="19.5" customHeight="1">
      <c r="A53" s="3486"/>
      <c r="B53" s="3493"/>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1" t="s">
        <v>1980</v>
      </c>
      <c r="C75" s="454" t="s">
        <v>1981</v>
      </c>
      <c r="D75" s="454" t="s">
        <v>1982</v>
      </c>
      <c r="E75" s="465">
        <v>0.2</v>
      </c>
      <c r="F75" s="465">
        <v>25</v>
      </c>
    </row>
    <row r="76" spans="1:7" ht="24">
      <c r="A76" s="465">
        <v>2</v>
      </c>
      <c r="B76" s="3483"/>
      <c r="C76" s="454" t="s">
        <v>1983</v>
      </c>
      <c r="D76" s="454" t="s">
        <v>1984</v>
      </c>
      <c r="E76" s="465">
        <v>0.2</v>
      </c>
      <c r="F76" s="465">
        <v>25</v>
      </c>
    </row>
    <row r="77" spans="1:7" ht="24">
      <c r="A77" s="465">
        <v>3</v>
      </c>
      <c r="B77" s="3483"/>
      <c r="C77" s="454" t="s">
        <v>1985</v>
      </c>
      <c r="D77" s="454" t="s">
        <v>1986</v>
      </c>
      <c r="E77" s="465">
        <v>0.2</v>
      </c>
      <c r="F77" s="465">
        <v>25</v>
      </c>
    </row>
    <row r="78" spans="1:7" ht="13.5">
      <c r="A78" s="465">
        <v>4</v>
      </c>
      <c r="B78" s="3483"/>
      <c r="C78" s="454" t="s">
        <v>1987</v>
      </c>
      <c r="D78" s="454" t="s">
        <v>1988</v>
      </c>
      <c r="E78" s="465">
        <v>0.15</v>
      </c>
      <c r="F78" s="465">
        <v>20</v>
      </c>
    </row>
    <row r="79" spans="1:7" ht="24">
      <c r="A79" s="465">
        <v>5</v>
      </c>
      <c r="B79" s="3483"/>
      <c r="C79" s="454" t="s">
        <v>1989</v>
      </c>
      <c r="D79" s="454" t="s">
        <v>1990</v>
      </c>
      <c r="E79" s="465">
        <v>0.15</v>
      </c>
      <c r="F79" s="465">
        <v>20</v>
      </c>
    </row>
    <row r="80" spans="1:7" ht="24">
      <c r="A80" s="465">
        <v>6</v>
      </c>
      <c r="B80" s="3483"/>
      <c r="C80" s="454" t="s">
        <v>1991</v>
      </c>
      <c r="D80" s="454" t="s">
        <v>1992</v>
      </c>
      <c r="E80" s="465">
        <v>0.15</v>
      </c>
      <c r="F80" s="465">
        <v>20</v>
      </c>
    </row>
    <row r="81" spans="1:6" ht="24">
      <c r="A81" s="465">
        <v>7</v>
      </c>
      <c r="B81" s="3483"/>
      <c r="C81" s="454" t="s">
        <v>1993</v>
      </c>
      <c r="D81" s="454" t="s">
        <v>1994</v>
      </c>
      <c r="E81" s="465">
        <v>0.15</v>
      </c>
      <c r="F81" s="465">
        <v>20</v>
      </c>
    </row>
    <row r="82" spans="1:6" ht="24">
      <c r="A82" s="465">
        <v>8</v>
      </c>
      <c r="B82" s="3483"/>
      <c r="C82" s="454" t="s">
        <v>1995</v>
      </c>
      <c r="D82" s="454" t="s">
        <v>1996</v>
      </c>
      <c r="E82" s="465">
        <v>0.1</v>
      </c>
      <c r="F82" s="465">
        <v>15</v>
      </c>
    </row>
    <row r="83" spans="1:6" ht="24">
      <c r="A83" s="465">
        <v>9</v>
      </c>
      <c r="B83" s="3483"/>
      <c r="C83" s="454" t="s">
        <v>1997</v>
      </c>
      <c r="D83" s="454" t="s">
        <v>1998</v>
      </c>
      <c r="E83" s="465">
        <v>0.1</v>
      </c>
      <c r="F83" s="465">
        <v>15</v>
      </c>
    </row>
    <row r="84" spans="1:6" ht="24">
      <c r="A84" s="465">
        <v>10</v>
      </c>
      <c r="B84" s="3483"/>
      <c r="C84" s="454" t="s">
        <v>1999</v>
      </c>
      <c r="D84" s="454" t="s">
        <v>2000</v>
      </c>
      <c r="E84" s="465">
        <v>0.1</v>
      </c>
      <c r="F84" s="465">
        <v>15</v>
      </c>
    </row>
    <row r="85" spans="1:6" ht="24">
      <c r="A85" s="465">
        <v>11</v>
      </c>
      <c r="B85" s="3483"/>
      <c r="C85" s="454" t="s">
        <v>2001</v>
      </c>
      <c r="D85" s="454" t="s">
        <v>2002</v>
      </c>
      <c r="E85" s="465">
        <v>0.1</v>
      </c>
      <c r="F85" s="465">
        <v>15</v>
      </c>
    </row>
    <row r="86" spans="1:6" ht="24">
      <c r="A86" s="465">
        <v>12</v>
      </c>
      <c r="B86" s="3483"/>
      <c r="C86" s="454" t="s">
        <v>2003</v>
      </c>
      <c r="D86" s="454" t="s">
        <v>2004</v>
      </c>
      <c r="E86" s="465">
        <v>0.1</v>
      </c>
      <c r="F86" s="465">
        <v>15</v>
      </c>
    </row>
    <row r="87" spans="1:6" ht="13.5">
      <c r="A87" s="465">
        <v>13</v>
      </c>
      <c r="B87" s="3483"/>
      <c r="C87" s="454" t="s">
        <v>2005</v>
      </c>
      <c r="D87" s="454" t="s">
        <v>2006</v>
      </c>
      <c r="E87" s="465">
        <v>0.1</v>
      </c>
      <c r="F87" s="465">
        <v>15</v>
      </c>
    </row>
    <row r="88" spans="1:6" ht="13.5">
      <c r="A88" s="465">
        <v>14</v>
      </c>
      <c r="B88" s="3483"/>
      <c r="C88" s="454" t="s">
        <v>2007</v>
      </c>
      <c r="D88" s="454" t="s">
        <v>2008</v>
      </c>
      <c r="E88" s="465">
        <v>0.1</v>
      </c>
      <c r="F88" s="465">
        <v>15</v>
      </c>
    </row>
    <row r="89" spans="1:6" ht="13.5">
      <c r="A89" s="465">
        <v>15</v>
      </c>
      <c r="B89" s="3483"/>
      <c r="C89" s="454" t="s">
        <v>2009</v>
      </c>
      <c r="D89" s="454" t="s">
        <v>2010</v>
      </c>
      <c r="E89" s="465">
        <v>0.1</v>
      </c>
      <c r="F89" s="465">
        <v>15</v>
      </c>
    </row>
    <row r="90" spans="1:6" ht="24">
      <c r="A90" s="465">
        <v>16</v>
      </c>
      <c r="B90" s="3483"/>
      <c r="C90" s="454" t="s">
        <v>2011</v>
      </c>
      <c r="D90" s="454" t="s">
        <v>2012</v>
      </c>
      <c r="E90" s="465">
        <v>0.1</v>
      </c>
      <c r="F90" s="465">
        <v>15</v>
      </c>
    </row>
    <row r="91" spans="1:6" ht="24">
      <c r="A91" s="465">
        <v>17</v>
      </c>
      <c r="B91" s="3482"/>
      <c r="C91" s="454" t="s">
        <v>2013</v>
      </c>
      <c r="D91" s="454" t="s">
        <v>2014</v>
      </c>
      <c r="E91" s="465">
        <v>0.1</v>
      </c>
      <c r="F91" s="465">
        <v>15</v>
      </c>
    </row>
    <row r="92" spans="1:6" ht="13.5">
      <c r="A92" s="465">
        <v>18</v>
      </c>
      <c r="B92" s="3481" t="s">
        <v>2015</v>
      </c>
      <c r="C92" s="454" t="s">
        <v>2016</v>
      </c>
      <c r="D92" s="454" t="s">
        <v>2017</v>
      </c>
      <c r="E92" s="465">
        <v>0.2</v>
      </c>
      <c r="F92" s="465">
        <v>25</v>
      </c>
    </row>
    <row r="93" spans="1:6" ht="24">
      <c r="A93" s="465">
        <v>19</v>
      </c>
      <c r="B93" s="3483"/>
      <c r="C93" s="454" t="s">
        <v>2018</v>
      </c>
      <c r="D93" s="454" t="s">
        <v>2019</v>
      </c>
      <c r="E93" s="465">
        <v>0.2</v>
      </c>
      <c r="F93" s="465">
        <v>25</v>
      </c>
    </row>
    <row r="94" spans="1:6" ht="13.5">
      <c r="A94" s="465">
        <v>20</v>
      </c>
      <c r="B94" s="3483"/>
      <c r="C94" s="454" t="s">
        <v>2020</v>
      </c>
      <c r="D94" s="454" t="s">
        <v>2021</v>
      </c>
      <c r="E94" s="465">
        <v>0.15</v>
      </c>
      <c r="F94" s="465">
        <v>20</v>
      </c>
    </row>
    <row r="95" spans="1:6" ht="13.5">
      <c r="A95" s="465">
        <v>21</v>
      </c>
      <c r="B95" s="3483"/>
      <c r="C95" s="454" t="s">
        <v>2022</v>
      </c>
      <c r="D95" s="454" t="s">
        <v>2023</v>
      </c>
      <c r="E95" s="465">
        <v>0.15</v>
      </c>
      <c r="F95" s="465">
        <v>20</v>
      </c>
    </row>
    <row r="96" spans="1:6" ht="13.5">
      <c r="A96" s="465">
        <v>22</v>
      </c>
      <c r="B96" s="3483"/>
      <c r="C96" s="454" t="s">
        <v>2024</v>
      </c>
      <c r="D96" s="454" t="s">
        <v>2025</v>
      </c>
      <c r="E96" s="465">
        <v>0.15</v>
      </c>
      <c r="F96" s="465">
        <v>20</v>
      </c>
    </row>
    <row r="97" spans="1:6" ht="36">
      <c r="A97" s="465">
        <v>23</v>
      </c>
      <c r="B97" s="3483"/>
      <c r="C97" s="454" t="s">
        <v>2026</v>
      </c>
      <c r="D97" s="454" t="s">
        <v>2027</v>
      </c>
      <c r="E97" s="465">
        <v>0.15</v>
      </c>
      <c r="F97" s="465">
        <v>20</v>
      </c>
    </row>
    <row r="98" spans="1:6" ht="13.5">
      <c r="A98" s="465">
        <v>24</v>
      </c>
      <c r="B98" s="3483"/>
      <c r="C98" s="454" t="s">
        <v>2028</v>
      </c>
      <c r="D98" s="454" t="s">
        <v>2029</v>
      </c>
      <c r="E98" s="465">
        <v>0.1</v>
      </c>
      <c r="F98" s="465">
        <v>15</v>
      </c>
    </row>
    <row r="99" spans="1:6" ht="13.5">
      <c r="A99" s="465">
        <v>25</v>
      </c>
      <c r="B99" s="3483"/>
      <c r="C99" s="454" t="s">
        <v>2030</v>
      </c>
      <c r="D99" s="454" t="s">
        <v>2031</v>
      </c>
      <c r="E99" s="465">
        <v>0.1</v>
      </c>
      <c r="F99" s="465">
        <v>15</v>
      </c>
    </row>
    <row r="100" spans="1:6" ht="24">
      <c r="A100" s="465">
        <v>26</v>
      </c>
      <c r="B100" s="3483"/>
      <c r="C100" s="454" t="s">
        <v>2032</v>
      </c>
      <c r="D100" s="454" t="s">
        <v>2033</v>
      </c>
      <c r="E100" s="465">
        <v>0.1</v>
      </c>
      <c r="F100" s="465">
        <v>15</v>
      </c>
    </row>
    <row r="101" spans="1:6" ht="24">
      <c r="A101" s="465">
        <v>27</v>
      </c>
      <c r="B101" s="3483"/>
      <c r="C101" s="454" t="s">
        <v>2034</v>
      </c>
      <c r="D101" s="454" t="s">
        <v>2035</v>
      </c>
      <c r="E101" s="465">
        <v>0.1</v>
      </c>
      <c r="F101" s="465">
        <v>15</v>
      </c>
    </row>
    <row r="102" spans="1:6" ht="13.5">
      <c r="A102" s="465">
        <v>28</v>
      </c>
      <c r="B102" s="3483"/>
      <c r="C102" s="454" t="s">
        <v>2036</v>
      </c>
      <c r="D102" s="454" t="s">
        <v>2037</v>
      </c>
      <c r="E102" s="465">
        <v>0.1</v>
      </c>
      <c r="F102" s="465">
        <v>15</v>
      </c>
    </row>
    <row r="103" spans="1:6" ht="13.5">
      <c r="A103" s="465">
        <v>29</v>
      </c>
      <c r="B103" s="3483"/>
      <c r="C103" s="454" t="s">
        <v>2038</v>
      </c>
      <c r="D103" s="454" t="s">
        <v>2039</v>
      </c>
      <c r="E103" s="465">
        <v>0.1</v>
      </c>
      <c r="F103" s="465">
        <v>15</v>
      </c>
    </row>
    <row r="104" spans="1:6" ht="13.5">
      <c r="A104" s="465">
        <v>30</v>
      </c>
      <c r="B104" s="3483"/>
      <c r="C104" s="454" t="s">
        <v>2040</v>
      </c>
      <c r="D104" s="454" t="s">
        <v>2041</v>
      </c>
      <c r="E104" s="465">
        <v>0.1</v>
      </c>
      <c r="F104" s="465">
        <v>15</v>
      </c>
    </row>
    <row r="105" spans="1:6" ht="24">
      <c r="A105" s="465">
        <v>31</v>
      </c>
      <c r="B105" s="3483"/>
      <c r="C105" s="454" t="s">
        <v>2042</v>
      </c>
      <c r="D105" s="454" t="s">
        <v>2043</v>
      </c>
      <c r="E105" s="465">
        <v>0.1</v>
      </c>
      <c r="F105" s="465">
        <v>15</v>
      </c>
    </row>
    <row r="106" spans="1:6" ht="24">
      <c r="A106" s="465">
        <v>32</v>
      </c>
      <c r="B106" s="3483"/>
      <c r="C106" s="454" t="s">
        <v>2044</v>
      </c>
      <c r="D106" s="454" t="s">
        <v>2045</v>
      </c>
      <c r="E106" s="465">
        <v>0.1</v>
      </c>
      <c r="F106" s="465">
        <v>15</v>
      </c>
    </row>
    <row r="107" spans="1:6" ht="24">
      <c r="A107" s="465">
        <v>33</v>
      </c>
      <c r="B107" s="3483"/>
      <c r="C107" s="454" t="s">
        <v>2046</v>
      </c>
      <c r="D107" s="454" t="s">
        <v>2047</v>
      </c>
      <c r="E107" s="465">
        <v>0.1</v>
      </c>
      <c r="F107" s="465">
        <v>15</v>
      </c>
    </row>
    <row r="108" spans="1:6" ht="24">
      <c r="A108" s="465">
        <v>34</v>
      </c>
      <c r="B108" s="3482"/>
      <c r="C108" s="454" t="s">
        <v>2048</v>
      </c>
      <c r="D108" s="454" t="s">
        <v>2049</v>
      </c>
      <c r="E108" s="465">
        <v>0.1</v>
      </c>
      <c r="F108" s="465">
        <v>15</v>
      </c>
    </row>
    <row r="109" spans="1:6" ht="24">
      <c r="A109" s="465">
        <v>35</v>
      </c>
      <c r="B109" s="3481" t="s">
        <v>2050</v>
      </c>
      <c r="C109" s="465" t="s">
        <v>2051</v>
      </c>
      <c r="D109" s="454" t="s">
        <v>2052</v>
      </c>
      <c r="E109" s="465">
        <v>0.15</v>
      </c>
      <c r="F109" s="465">
        <v>20</v>
      </c>
    </row>
    <row r="110" spans="1:6" ht="13.5">
      <c r="A110" s="465">
        <v>36</v>
      </c>
      <c r="B110" s="3483"/>
      <c r="C110" s="465" t="s">
        <v>2053</v>
      </c>
      <c r="D110" s="454" t="s">
        <v>2054</v>
      </c>
      <c r="E110" s="465">
        <v>0.15</v>
      </c>
      <c r="F110" s="465">
        <v>20</v>
      </c>
    </row>
    <row r="111" spans="1:6" ht="13.5">
      <c r="A111" s="465">
        <v>37</v>
      </c>
      <c r="B111" s="3483"/>
      <c r="C111" s="465" t="s">
        <v>2055</v>
      </c>
      <c r="D111" s="454" t="s">
        <v>2056</v>
      </c>
      <c r="E111" s="465">
        <v>0.15</v>
      </c>
      <c r="F111" s="465">
        <v>20</v>
      </c>
    </row>
    <row r="112" spans="1:6" ht="13.5">
      <c r="A112" s="465">
        <v>38</v>
      </c>
      <c r="B112" s="3483"/>
      <c r="C112" s="465" t="s">
        <v>2057</v>
      </c>
      <c r="D112" s="454" t="s">
        <v>2058</v>
      </c>
      <c r="E112" s="465">
        <v>0.1</v>
      </c>
      <c r="F112" s="465">
        <v>15</v>
      </c>
    </row>
    <row r="113" spans="1:6" ht="24">
      <c r="A113" s="465">
        <v>39</v>
      </c>
      <c r="B113" s="3483"/>
      <c r="C113" s="465" t="s">
        <v>2059</v>
      </c>
      <c r="D113" s="454" t="s">
        <v>2060</v>
      </c>
      <c r="E113" s="465">
        <v>0.1</v>
      </c>
      <c r="F113" s="465">
        <v>15</v>
      </c>
    </row>
    <row r="114" spans="1:6" ht="24">
      <c r="A114" s="465">
        <v>40</v>
      </c>
      <c r="B114" s="3482"/>
      <c r="C114" s="465" t="s">
        <v>2061</v>
      </c>
      <c r="D114" s="454" t="s">
        <v>2062</v>
      </c>
      <c r="E114" s="465">
        <v>0.1</v>
      </c>
      <c r="F114" s="465">
        <v>15</v>
      </c>
    </row>
    <row r="115" spans="1:6" ht="13.5">
      <c r="A115" s="465">
        <v>41</v>
      </c>
      <c r="B115" s="3480" t="s">
        <v>2063</v>
      </c>
      <c r="C115" s="465" t="s">
        <v>2064</v>
      </c>
      <c r="D115" s="454" t="s">
        <v>2065</v>
      </c>
      <c r="E115" s="465">
        <v>0.1</v>
      </c>
      <c r="F115" s="465">
        <v>15</v>
      </c>
    </row>
    <row r="116" spans="1:6" ht="13.5">
      <c r="A116" s="465">
        <v>42</v>
      </c>
      <c r="B116" s="3480"/>
      <c r="C116" s="465" t="s">
        <v>2066</v>
      </c>
      <c r="D116" s="454" t="s">
        <v>2067</v>
      </c>
      <c r="E116" s="465">
        <v>0.1</v>
      </c>
      <c r="F116" s="465">
        <v>15</v>
      </c>
    </row>
    <row r="117" spans="1:6" ht="24">
      <c r="A117" s="465">
        <v>43</v>
      </c>
      <c r="B117" s="3480"/>
      <c r="C117" s="465" t="s">
        <v>2068</v>
      </c>
      <c r="D117" s="454" t="s">
        <v>2069</v>
      </c>
      <c r="E117" s="465">
        <v>0.1</v>
      </c>
      <c r="F117" s="465">
        <v>15</v>
      </c>
    </row>
    <row r="118" spans="1:6" ht="13.5">
      <c r="A118" s="465">
        <v>44</v>
      </c>
      <c r="B118" s="3481" t="s">
        <v>2070</v>
      </c>
      <c r="C118" s="465" t="s">
        <v>2071</v>
      </c>
      <c r="D118" s="454" t="s">
        <v>2072</v>
      </c>
      <c r="E118" s="465">
        <v>0.1</v>
      </c>
      <c r="F118" s="465">
        <v>15</v>
      </c>
    </row>
    <row r="119" spans="1:6" ht="24">
      <c r="A119" s="465">
        <v>45</v>
      </c>
      <c r="B119" s="3482"/>
      <c r="C119" s="454" t="s">
        <v>2073</v>
      </c>
      <c r="D119" s="454" t="s">
        <v>2074</v>
      </c>
      <c r="E119" s="465">
        <v>0.1</v>
      </c>
      <c r="F119" s="465">
        <v>15</v>
      </c>
    </row>
    <row r="120" spans="1:6" ht="24">
      <c r="A120" s="465">
        <v>46</v>
      </c>
      <c r="B120" s="3481" t="s">
        <v>2075</v>
      </c>
      <c r="C120" s="465" t="s">
        <v>2076</v>
      </c>
      <c r="D120" s="454" t="s">
        <v>2077</v>
      </c>
      <c r="E120" s="465">
        <v>0.1</v>
      </c>
      <c r="F120" s="465">
        <v>15</v>
      </c>
    </row>
    <row r="121" spans="1:6" ht="24">
      <c r="A121" s="465">
        <v>47</v>
      </c>
      <c r="B121" s="3482"/>
      <c r="C121" s="465" t="s">
        <v>2078</v>
      </c>
      <c r="D121" s="454" t="s">
        <v>2079</v>
      </c>
      <c r="E121" s="465">
        <v>0.1</v>
      </c>
      <c r="F121" s="465">
        <v>15</v>
      </c>
    </row>
    <row r="122" spans="1:6" ht="13.5">
      <c r="A122" s="465">
        <v>48</v>
      </c>
      <c r="B122" s="3481" t="s">
        <v>2080</v>
      </c>
      <c r="C122" s="465" t="s">
        <v>2081</v>
      </c>
      <c r="D122" s="454" t="s">
        <v>2082</v>
      </c>
      <c r="E122" s="465">
        <v>0.1</v>
      </c>
      <c r="F122" s="465">
        <v>15</v>
      </c>
    </row>
    <row r="123" spans="1:6" ht="13.5">
      <c r="A123" s="465">
        <v>49</v>
      </c>
      <c r="B123" s="3482"/>
      <c r="C123" s="465" t="s">
        <v>2083</v>
      </c>
      <c r="D123" s="454" t="s">
        <v>2084</v>
      </c>
      <c r="E123" s="465">
        <v>0.1</v>
      </c>
      <c r="F123" s="465">
        <v>15</v>
      </c>
    </row>
    <row r="124" spans="1:6" ht="24">
      <c r="A124" s="465">
        <v>50</v>
      </c>
      <c r="B124" s="3480" t="s">
        <v>2085</v>
      </c>
      <c r="C124" s="465" t="s">
        <v>2086</v>
      </c>
      <c r="D124" s="454" t="s">
        <v>2087</v>
      </c>
      <c r="E124" s="465">
        <v>0.1</v>
      </c>
      <c r="F124" s="465">
        <v>15</v>
      </c>
    </row>
    <row r="125" spans="1:6" ht="24">
      <c r="A125" s="465">
        <v>51</v>
      </c>
      <c r="B125" s="3480"/>
      <c r="C125" s="465" t="s">
        <v>2088</v>
      </c>
      <c r="D125" s="454" t="s">
        <v>2089</v>
      </c>
      <c r="E125" s="465">
        <v>0.1</v>
      </c>
      <c r="F125" s="465">
        <v>15</v>
      </c>
    </row>
    <row r="126" spans="1:6" ht="24">
      <c r="A126" s="465">
        <v>52</v>
      </c>
      <c r="B126" s="3480" t="s">
        <v>2090</v>
      </c>
      <c r="C126" s="465" t="s">
        <v>2091</v>
      </c>
      <c r="D126" s="454" t="s">
        <v>2092</v>
      </c>
      <c r="E126" s="465">
        <v>0.1</v>
      </c>
      <c r="F126" s="465">
        <v>15</v>
      </c>
    </row>
    <row r="127" spans="1:6" ht="24">
      <c r="A127" s="465">
        <v>53</v>
      </c>
      <c r="B127" s="3480"/>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0" t="s">
        <v>2098</v>
      </c>
      <c r="C129" s="465" t="s">
        <v>2099</v>
      </c>
      <c r="D129" s="454" t="s">
        <v>2100</v>
      </c>
      <c r="E129" s="465">
        <v>0.1</v>
      </c>
      <c r="F129" s="465">
        <v>15</v>
      </c>
    </row>
    <row r="130" spans="1:6" ht="13.5">
      <c r="A130" s="465">
        <v>56</v>
      </c>
      <c r="B130" s="3480"/>
      <c r="C130" s="465" t="s">
        <v>2101</v>
      </c>
      <c r="D130" s="454" t="s">
        <v>2102</v>
      </c>
      <c r="E130" s="465">
        <v>0.1</v>
      </c>
      <c r="F130" s="465">
        <v>15</v>
      </c>
    </row>
    <row r="131" spans="1:6" ht="24">
      <c r="A131" s="465">
        <v>57</v>
      </c>
      <c r="B131" s="3480"/>
      <c r="C131" s="465" t="s">
        <v>2103</v>
      </c>
      <c r="D131" s="454" t="s">
        <v>2104</v>
      </c>
      <c r="E131" s="465">
        <v>0.1</v>
      </c>
      <c r="F131" s="465">
        <v>15</v>
      </c>
    </row>
    <row r="132" spans="1:6" ht="24">
      <c r="A132" s="465">
        <v>58</v>
      </c>
      <c r="B132" s="3480" t="s">
        <v>2105</v>
      </c>
      <c r="C132" s="465" t="s">
        <v>2106</v>
      </c>
      <c r="D132" s="454" t="s">
        <v>2107</v>
      </c>
      <c r="E132" s="465">
        <v>0.1</v>
      </c>
      <c r="F132" s="465">
        <v>15</v>
      </c>
    </row>
    <row r="133" spans="1:6" ht="13.5">
      <c r="A133" s="465">
        <v>59</v>
      </c>
      <c r="B133" s="3480"/>
      <c r="C133" s="465" t="s">
        <v>2108</v>
      </c>
      <c r="D133" s="454" t="s">
        <v>2109</v>
      </c>
      <c r="E133" s="465">
        <v>0.1</v>
      </c>
      <c r="F133" s="465">
        <v>15</v>
      </c>
    </row>
    <row r="134" spans="1:6" ht="13.5">
      <c r="A134" s="465">
        <v>60</v>
      </c>
      <c r="B134" s="3481" t="s">
        <v>2110</v>
      </c>
      <c r="C134" s="465" t="s">
        <v>2111</v>
      </c>
      <c r="D134" s="454" t="s">
        <v>2112</v>
      </c>
      <c r="E134" s="465">
        <v>0.1</v>
      </c>
      <c r="F134" s="465">
        <v>15</v>
      </c>
    </row>
    <row r="135" spans="1:6" ht="13.5">
      <c r="A135" s="465">
        <v>61</v>
      </c>
      <c r="B135" s="3482"/>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0" t="s">
        <v>2118</v>
      </c>
      <c r="C137" s="465" t="s">
        <v>2119</v>
      </c>
      <c r="D137" s="454" t="s">
        <v>2120</v>
      </c>
      <c r="E137" s="465">
        <v>0.1</v>
      </c>
      <c r="F137" s="465">
        <v>15</v>
      </c>
    </row>
    <row r="138" spans="1:6" ht="13.5">
      <c r="A138" s="465">
        <v>64</v>
      </c>
      <c r="B138" s="3480"/>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27950</v>
      </c>
      <c r="C2" s="345" t="s">
        <v>1470</v>
      </c>
      <c r="D2" s="342"/>
      <c r="E2" s="342"/>
      <c r="F2" s="342"/>
      <c r="G2" s="342"/>
    </row>
    <row r="3" spans="1:7" s="331" customFormat="1" ht="18" customHeight="1">
      <c r="A3" s="346" t="s">
        <v>2140</v>
      </c>
      <c r="B3" s="347">
        <f ca="1">ROUND(B2*10000/'数据-汇总表'!E3,0)</f>
        <v>1764186</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158.43</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158.43</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5.5000000000000007E-2</v>
      </c>
      <c r="D30" s="380" t="s">
        <v>2182</v>
      </c>
      <c r="E30" s="389"/>
      <c r="F30" s="383">
        <f>'数据-取费表'!B41</f>
        <v>5.5000000000000007E-2</v>
      </c>
      <c r="G30" s="381" t="s">
        <v>2183</v>
      </c>
    </row>
    <row r="31" spans="1:7" ht="16.5" customHeight="1">
      <c r="A31" s="398">
        <v>1</v>
      </c>
      <c r="B31" s="352" t="s">
        <v>2184</v>
      </c>
      <c r="C31" s="353">
        <f ca="1">ROUND((C5+C19+C20+C22+C27)/(1-C21-D22-D27-C30/(1+'数据-取费表'!B42)),0)</f>
        <v>27862</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79</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71</v>
      </c>
      <c r="D34" s="359"/>
      <c r="E34" s="362"/>
      <c r="F34" s="405">
        <f>IF('数据-取费表'!B24=0,1,'数据-取费表'!N16)</f>
        <v>1</v>
      </c>
      <c r="G34" s="361" t="s">
        <v>2189</v>
      </c>
    </row>
    <row r="35" spans="1:7" ht="13.5" customHeight="1">
      <c r="A35" s="384" t="s">
        <v>1040</v>
      </c>
      <c r="B35" s="357" t="s">
        <v>2190</v>
      </c>
      <c r="C35" s="362">
        <f>ROUND(C34*F35,0)</f>
        <v>4</v>
      </c>
      <c r="D35" s="362"/>
      <c r="E35" s="362"/>
      <c r="F35" s="406">
        <f>'数据-取费表'!B33</f>
        <v>0.06</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158.43</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6" t="s">
        <v>2199</v>
      </c>
    </row>
    <row r="43" spans="1:7" ht="13.5" customHeight="1">
      <c r="A43" s="384" t="s">
        <v>1040</v>
      </c>
      <c r="B43" s="357" t="s">
        <v>2171</v>
      </c>
      <c r="C43" s="386">
        <f ca="1">ROUND(IF('数据-取费表'!B22&lt;=1,C39*F22*'数据-取费表'!B21/2,C39*(POWER((1+F22),'数据-取费表'!B21/2)-1)),0)</f>
        <v>0</v>
      </c>
      <c r="D43" s="386"/>
      <c r="E43" s="386"/>
      <c r="F43" s="387"/>
      <c r="G43" s="3357"/>
    </row>
    <row r="44" spans="1:7" ht="13.5" customHeight="1">
      <c r="A44" s="384" t="s">
        <v>1042</v>
      </c>
      <c r="B44" s="357" t="s">
        <v>2173</v>
      </c>
      <c r="C44" s="386">
        <f ca="1">ROUND(IF('数据-取费表'!B22&lt;=1,C40*F22*'数据-取费表'!B21/2,C40*(POWER((1+F22),'数据-取费表'!B21/2)-1)),4)</f>
        <v>5.9999999999999995E-4</v>
      </c>
      <c r="D44" s="386"/>
      <c r="E44" s="386"/>
      <c r="F44" s="387"/>
      <c r="G44" s="3358"/>
    </row>
    <row r="45" spans="1:7" s="333" customFormat="1" ht="13.5" customHeight="1">
      <c r="A45" s="374" t="s">
        <v>1801</v>
      </c>
      <c r="B45" s="392" t="s">
        <v>2176</v>
      </c>
      <c r="C45" s="393">
        <f>C46</f>
        <v>12</v>
      </c>
      <c r="D45" s="379">
        <f>C47</f>
        <v>3.0000000000000001E-3</v>
      </c>
      <c r="E45" s="380" t="s">
        <v>2197</v>
      </c>
      <c r="F45" s="394"/>
      <c r="G45" s="395" t="s">
        <v>2200</v>
      </c>
    </row>
    <row r="46" spans="1:7" s="333" customFormat="1" ht="13.5" customHeight="1">
      <c r="A46" s="384" t="s">
        <v>1038</v>
      </c>
      <c r="B46" s="396" t="s">
        <v>2201</v>
      </c>
      <c r="C46" s="397">
        <f>ROUND((C33+C39)*F27,0)</f>
        <v>12</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5.5000000000000007E-2</v>
      </c>
      <c r="D48" s="380" t="s">
        <v>2203</v>
      </c>
      <c r="E48" s="376"/>
      <c r="F48" s="383"/>
      <c r="G48" s="381" t="s">
        <v>2204</v>
      </c>
    </row>
    <row r="49" spans="1:7" ht="16.5" customHeight="1">
      <c r="A49" s="374" t="s">
        <v>2180</v>
      </c>
      <c r="B49" s="352" t="s">
        <v>2205</v>
      </c>
      <c r="C49" s="376">
        <f ca="1">ROUND((C33+C39+C41+C45)/(1-C40-D41-D45-C48/(1+'数据-取费表'!B42)),0)</f>
        <v>103</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88</v>
      </c>
      <c r="D51" s="376"/>
      <c r="E51" s="376"/>
      <c r="F51" s="411"/>
      <c r="G51" s="381" t="s">
        <v>2212</v>
      </c>
    </row>
    <row r="52" spans="1:7" s="332" customFormat="1" ht="15.75">
      <c r="A52" s="412" t="s">
        <v>2213</v>
      </c>
      <c r="B52" s="413"/>
      <c r="C52" s="414">
        <f ca="1">C31+C51</f>
        <v>27950</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18"/>
      <c r="B4" s="3184" t="s">
        <v>95</v>
      </c>
      <c r="C4" s="3184"/>
      <c r="D4" s="3184"/>
      <c r="E4" s="3118"/>
    </row>
    <row r="5" spans="1:5" ht="15.75">
      <c r="B5" s="3176" t="s">
        <v>96</v>
      </c>
      <c r="C5" s="3119" t="s">
        <v>97</v>
      </c>
      <c r="D5" s="3120">
        <f ca="1">结果表!H101</f>
        <v>312</v>
      </c>
    </row>
    <row r="6" spans="1:5" ht="15.75">
      <c r="B6" s="3176"/>
      <c r="C6" s="3119" t="s">
        <v>98</v>
      </c>
      <c r="D6" s="3120" t="str">
        <f ca="1">NUMBERSTRING(INT(D5*10000),2)&amp;"元整"</f>
        <v>叁佰壹拾贰万元整</v>
      </c>
    </row>
    <row r="7" spans="1:5" ht="15.75">
      <c r="B7" s="3177"/>
      <c r="C7" s="3121" t="s">
        <v>99</v>
      </c>
      <c r="D7" s="3122">
        <f ca="1">结果表!H102</f>
        <v>19667</v>
      </c>
    </row>
    <row r="8" spans="1:5" ht="15.75">
      <c r="B8" s="3178" t="str">
        <f>结果表!E103</f>
        <v>2.估价师知悉的法定优先受偿款</v>
      </c>
      <c r="C8" s="3123" t="s">
        <v>100</v>
      </c>
      <c r="D8" s="3122">
        <f>结果表!H103</f>
        <v>0</v>
      </c>
    </row>
    <row r="9" spans="1:5" ht="15.75">
      <c r="B9" s="3180"/>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5" t="str">
        <f>结果表!E107</f>
        <v>3.房地产抵押价值</v>
      </c>
      <c r="C13" s="3127" t="s">
        <v>97</v>
      </c>
      <c r="D13" s="3128">
        <f ca="1">结果表!H107</f>
        <v>312</v>
      </c>
    </row>
    <row r="14" spans="1:5" ht="15.75">
      <c r="B14" s="3176"/>
      <c r="C14" s="3119" t="s">
        <v>98</v>
      </c>
      <c r="D14" s="3120" t="str">
        <f ca="1">NUMBERSTRING(INT(D13*10000),2)&amp;"元整"</f>
        <v>叁佰壹拾贰万元整</v>
      </c>
    </row>
    <row r="15" spans="1:5" ht="15">
      <c r="B15" s="3177"/>
      <c r="C15" s="3121" t="s">
        <v>99</v>
      </c>
      <c r="D15" s="3129">
        <f ca="1">结果表!H108</f>
        <v>19667</v>
      </c>
    </row>
    <row r="16" spans="1:5" ht="15">
      <c r="B16" s="3178" t="str">
        <f>结果表!E109</f>
        <v>——</v>
      </c>
      <c r="C16" s="3127" t="s">
        <v>97</v>
      </c>
      <c r="D16" s="3130" t="str">
        <f>结果表!H109</f>
        <v>——</v>
      </c>
    </row>
    <row r="17" spans="1:5" ht="15.75">
      <c r="B17" s="3179"/>
      <c r="C17" s="3119" t="s">
        <v>98</v>
      </c>
      <c r="D17" s="3120" t="e">
        <f>NUMBERSTRING(INT(D16*10000),2)&amp;"元整"</f>
        <v>#VALUE!</v>
      </c>
    </row>
    <row r="18" spans="1:5" ht="15">
      <c r="B18" s="3180"/>
      <c r="C18" s="3121" t="s">
        <v>99</v>
      </c>
      <c r="D18" s="3129" t="str">
        <f>结果表!H110</f>
        <v>——</v>
      </c>
    </row>
    <row r="19" spans="1:5" ht="15.75">
      <c r="B19" s="3175" t="str">
        <f>结果表!E111</f>
        <v>——</v>
      </c>
      <c r="C19" s="3127" t="s">
        <v>97</v>
      </c>
      <c r="D19" s="3122" t="str">
        <f>结果表!H111</f>
        <v>——</v>
      </c>
    </row>
    <row r="20" spans="1:5" ht="15.75">
      <c r="B20" s="3176"/>
      <c r="C20" s="3119" t="s">
        <v>98</v>
      </c>
      <c r="D20" s="3120" t="e">
        <f>NUMBERSTRING(INT(D19*10000),2)&amp;"元整"</f>
        <v>#VALUE!</v>
      </c>
    </row>
    <row r="21" spans="1:5" ht="15">
      <c r="B21" s="3181"/>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4" t="s">
        <v>2217</v>
      </c>
      <c r="B1" s="3494"/>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5" t="s">
        <v>2600</v>
      </c>
      <c r="B1" s="3495"/>
      <c r="C1" s="3495"/>
      <c r="D1" s="3495"/>
      <c r="E1" s="3495"/>
      <c r="F1" s="3496"/>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45975</v>
      </c>
      <c r="B1" s="226" t="s">
        <v>2605</v>
      </c>
      <c r="C1" s="227"/>
      <c r="D1" s="227"/>
      <c r="E1" s="227"/>
      <c r="F1" s="227"/>
      <c r="G1" s="227"/>
      <c r="H1" s="227"/>
      <c r="I1" s="227"/>
      <c r="J1" s="245"/>
      <c r="K1" s="227" t="s">
        <v>2606</v>
      </c>
      <c r="L1" s="227"/>
      <c r="M1" s="227"/>
      <c r="N1" s="227"/>
      <c r="O1" s="227"/>
      <c r="P1" s="227"/>
      <c r="Q1" s="245"/>
      <c r="R1" s="3497" t="s">
        <v>2607</v>
      </c>
      <c r="S1" s="3498"/>
      <c r="T1" s="3498"/>
      <c r="U1" s="3498"/>
      <c r="V1" s="3498"/>
      <c r="W1" s="3498"/>
      <c r="X1" s="245"/>
      <c r="Y1" s="3497" t="s">
        <v>2608</v>
      </c>
      <c r="Z1" s="3498"/>
      <c r="AA1" s="3498"/>
      <c r="AB1" s="3498"/>
      <c r="AC1" s="3498"/>
      <c r="AD1" s="3498"/>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7" t="s">
        <v>2607</v>
      </c>
      <c r="S29" s="3498"/>
      <c r="T29" s="3498"/>
      <c r="U29" s="3498"/>
      <c r="V29" s="3498"/>
      <c r="W29" s="3498"/>
      <c r="X29" s="245"/>
      <c r="Y29" s="3497" t="s">
        <v>2608</v>
      </c>
      <c r="Z29" s="3498"/>
      <c r="AA29" s="3498"/>
      <c r="AB29" s="3498"/>
      <c r="AC29" s="3498"/>
      <c r="AD29" s="3498"/>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7" t="s">
        <v>2634</v>
      </c>
      <c r="C1" s="3507"/>
      <c r="D1" s="3507"/>
      <c r="E1" s="3507"/>
      <c r="F1" s="3507"/>
      <c r="G1" s="3498" t="s">
        <v>2635</v>
      </c>
      <c r="H1" s="3498"/>
      <c r="I1" s="3498"/>
      <c r="J1" s="3498"/>
      <c r="K1" s="3498"/>
      <c r="L1" s="3498"/>
      <c r="N1" s="3498" t="s">
        <v>2606</v>
      </c>
      <c r="O1" s="3498"/>
      <c r="P1" s="3498"/>
      <c r="Q1" s="3498"/>
      <c r="S1" s="3498" t="s">
        <v>2636</v>
      </c>
      <c r="T1" s="3498"/>
      <c r="U1" s="3498"/>
      <c r="V1" s="3498"/>
      <c r="X1" s="3497" t="s">
        <v>2607</v>
      </c>
      <c r="Y1" s="3498"/>
      <c r="Z1" s="3498"/>
      <c r="AA1" s="3498"/>
      <c r="AB1" s="3498"/>
      <c r="AD1" s="3497" t="s">
        <v>2608</v>
      </c>
      <c r="AE1" s="3498"/>
      <c r="AF1" s="3498"/>
      <c r="AG1" s="3498"/>
      <c r="AH1" s="3498"/>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00">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00"/>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00"/>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5"/>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6">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00"/>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500"/>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5"/>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6">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00"/>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500"/>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1"/>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9">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00"/>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500"/>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1"/>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9">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00"/>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500"/>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1"/>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2">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3"/>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3"/>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4"/>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9">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500"/>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500"/>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1"/>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9">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00">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500">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1">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9">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00">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500">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1">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9">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00">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500">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1">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9">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00">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500">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1">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9">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00">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500">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1">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9">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00">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500">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1">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9">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00">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500">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1">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9">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00">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500">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1">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9">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500">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500">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1">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9">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500">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500">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1">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8" t="s">
        <v>2725</v>
      </c>
      <c r="B1" s="3508"/>
      <c r="C1" s="3508"/>
      <c r="D1" s="3508"/>
      <c r="E1" s="3508"/>
      <c r="F1" s="3508"/>
      <c r="G1" s="3509"/>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10"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1"/>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45975</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6:O47"/>
  <sheetViews>
    <sheetView topLeftCell="A31" workbookViewId="0">
      <selection activeCell="A39" sqref="A39:XFD42"/>
    </sheetView>
  </sheetViews>
  <sheetFormatPr defaultRowHeight="13.5"/>
  <cols>
    <col min="1" max="1" width="10.5" bestFit="1" customWidth="1"/>
  </cols>
  <sheetData>
    <row r="36" spans="1:15">
      <c r="A36" t="s">
        <v>2805</v>
      </c>
      <c r="B36" t="s">
        <v>2806</v>
      </c>
      <c r="C36" t="s">
        <v>2807</v>
      </c>
      <c r="D36" t="s">
        <v>2808</v>
      </c>
      <c r="E36" t="s">
        <v>2809</v>
      </c>
      <c r="F36" t="s">
        <v>2810</v>
      </c>
      <c r="G36" t="s">
        <v>2811</v>
      </c>
      <c r="H36" t="s">
        <v>2812</v>
      </c>
      <c r="I36" t="s">
        <v>2813</v>
      </c>
      <c r="J36" t="s">
        <v>2814</v>
      </c>
      <c r="K36" t="s">
        <v>2815</v>
      </c>
      <c r="L36" t="s">
        <v>2816</v>
      </c>
      <c r="M36" t="s">
        <v>2817</v>
      </c>
      <c r="N36" t="s">
        <v>2818</v>
      </c>
      <c r="O36" t="s">
        <v>2819</v>
      </c>
    </row>
    <row r="37" spans="1:15">
      <c r="A37" s="3173">
        <v>45787.333831018521</v>
      </c>
      <c r="B37" t="s">
        <v>2820</v>
      </c>
      <c r="C37" t="s">
        <v>2820</v>
      </c>
      <c r="D37" t="s">
        <v>2821</v>
      </c>
      <c r="E37">
        <v>1</v>
      </c>
      <c r="F37">
        <v>11</v>
      </c>
      <c r="G37">
        <v>10</v>
      </c>
      <c r="H37">
        <v>1011</v>
      </c>
      <c r="I37" t="s">
        <v>2822</v>
      </c>
      <c r="J37" t="s">
        <v>230</v>
      </c>
      <c r="K37" t="s">
        <v>2823</v>
      </c>
      <c r="L37">
        <v>1</v>
      </c>
      <c r="M37">
        <v>361.7</v>
      </c>
      <c r="N37">
        <v>751.25</v>
      </c>
      <c r="O37">
        <v>20770</v>
      </c>
    </row>
    <row r="38" spans="1:15">
      <c r="A38" s="3173">
        <v>45839.333831018521</v>
      </c>
      <c r="B38" t="s">
        <v>2820</v>
      </c>
      <c r="C38" t="s">
        <v>2820</v>
      </c>
      <c r="D38" t="s">
        <v>2821</v>
      </c>
      <c r="E38">
        <v>1</v>
      </c>
      <c r="F38">
        <v>11</v>
      </c>
      <c r="G38">
        <v>4</v>
      </c>
      <c r="H38">
        <v>407</v>
      </c>
      <c r="I38" t="s">
        <v>2822</v>
      </c>
      <c r="J38" t="s">
        <v>230</v>
      </c>
      <c r="K38" t="s">
        <v>2823</v>
      </c>
      <c r="L38">
        <v>1</v>
      </c>
      <c r="M38">
        <v>158.43</v>
      </c>
      <c r="N38">
        <v>329.06</v>
      </c>
      <c r="O38">
        <v>20770</v>
      </c>
    </row>
    <row r="39" spans="1:15">
      <c r="A39" s="3173">
        <v>45930.333831018521</v>
      </c>
      <c r="B39" t="s">
        <v>2820</v>
      </c>
      <c r="C39" t="s">
        <v>2820</v>
      </c>
      <c r="D39" t="s">
        <v>2824</v>
      </c>
      <c r="E39">
        <v>1</v>
      </c>
      <c r="F39">
        <v>11</v>
      </c>
      <c r="G39">
        <v>7</v>
      </c>
      <c r="H39">
        <v>701</v>
      </c>
      <c r="I39" t="s">
        <v>2825</v>
      </c>
      <c r="J39" t="s">
        <v>230</v>
      </c>
      <c r="K39" t="s">
        <v>2823</v>
      </c>
      <c r="L39">
        <v>1</v>
      </c>
      <c r="M39">
        <v>128.76</v>
      </c>
      <c r="N39">
        <v>248.21</v>
      </c>
      <c r="O39">
        <v>19277</v>
      </c>
    </row>
    <row r="40" spans="1:15">
      <c r="A40" s="3173">
        <v>45930.333831018521</v>
      </c>
      <c r="B40" t="s">
        <v>2820</v>
      </c>
      <c r="C40" t="s">
        <v>2820</v>
      </c>
      <c r="D40" t="s">
        <v>2824</v>
      </c>
      <c r="E40">
        <v>1</v>
      </c>
      <c r="F40">
        <v>11</v>
      </c>
      <c r="G40">
        <v>7</v>
      </c>
      <c r="H40">
        <v>703</v>
      </c>
      <c r="I40" t="s">
        <v>2825</v>
      </c>
      <c r="J40" t="s">
        <v>230</v>
      </c>
      <c r="K40" t="s">
        <v>2823</v>
      </c>
      <c r="L40">
        <v>1</v>
      </c>
      <c r="M40">
        <v>168.83</v>
      </c>
      <c r="N40">
        <v>325.45</v>
      </c>
      <c r="O40">
        <v>19277</v>
      </c>
    </row>
    <row r="41" spans="1:15">
      <c r="A41" s="3173">
        <v>45930.333831018521</v>
      </c>
      <c r="B41" t="s">
        <v>2820</v>
      </c>
      <c r="C41" t="s">
        <v>2820</v>
      </c>
      <c r="D41" t="s">
        <v>2821</v>
      </c>
      <c r="E41">
        <v>1</v>
      </c>
      <c r="F41">
        <v>11</v>
      </c>
      <c r="G41">
        <v>3</v>
      </c>
      <c r="H41">
        <v>312</v>
      </c>
      <c r="I41" t="s">
        <v>2822</v>
      </c>
      <c r="J41" t="s">
        <v>230</v>
      </c>
      <c r="K41" t="s">
        <v>2823</v>
      </c>
      <c r="L41">
        <v>1</v>
      </c>
      <c r="M41">
        <v>148.6</v>
      </c>
      <c r="N41">
        <v>286.45999999999998</v>
      </c>
      <c r="O41">
        <v>19277</v>
      </c>
    </row>
    <row r="42" spans="1:15">
      <c r="A42" s="3173">
        <v>45930.333831018521</v>
      </c>
      <c r="B42" t="s">
        <v>2820</v>
      </c>
      <c r="C42" t="s">
        <v>2820</v>
      </c>
      <c r="D42" t="s">
        <v>2821</v>
      </c>
      <c r="E42">
        <v>1</v>
      </c>
      <c r="F42">
        <v>11</v>
      </c>
      <c r="G42">
        <v>3</v>
      </c>
      <c r="H42">
        <v>301</v>
      </c>
      <c r="I42" t="s">
        <v>2822</v>
      </c>
      <c r="J42" t="s">
        <v>230</v>
      </c>
      <c r="K42" t="s">
        <v>2823</v>
      </c>
      <c r="L42">
        <v>1</v>
      </c>
      <c r="M42">
        <v>158.07</v>
      </c>
      <c r="N42">
        <v>304.70999999999998</v>
      </c>
      <c r="O42">
        <v>19277</v>
      </c>
    </row>
    <row r="43" spans="1:15">
      <c r="A43" s="3173"/>
    </row>
    <row r="44" spans="1:15">
      <c r="A44" s="3173"/>
    </row>
    <row r="45" spans="1:15">
      <c r="A45" s="3173"/>
    </row>
    <row r="46" spans="1:15">
      <c r="A46" s="3173"/>
    </row>
    <row r="47" spans="1:15">
      <c r="A47" s="3173"/>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3113" t="s">
        <v>110</v>
      </c>
      <c r="E3" s="3113" t="s">
        <v>111</v>
      </c>
      <c r="F3" s="3113" t="s">
        <v>110</v>
      </c>
      <c r="G3" s="3113" t="s">
        <v>111</v>
      </c>
      <c r="H3" s="3113" t="s">
        <v>110</v>
      </c>
      <c r="I3" s="3113" t="s">
        <v>111</v>
      </c>
    </row>
    <row r="4" spans="1:9" ht="15">
      <c r="A4" s="3114" t="str">
        <f>项目基本情况!S2</f>
        <v>北京市房地产</v>
      </c>
      <c r="B4" s="3113">
        <f>项目基本情况!C17</f>
        <v>158.43</v>
      </c>
      <c r="C4" s="3113">
        <f>项目基本情况!C18</f>
        <v>0</v>
      </c>
      <c r="D4" s="3113" t="e">
        <f ca="1">结果表!D118</f>
        <v>#REF!</v>
      </c>
      <c r="E4" s="3113" t="e">
        <f ca="1">结果表!E118</f>
        <v>#REF!</v>
      </c>
      <c r="F4" s="3113" t="e">
        <f ca="1">结果表!F118</f>
        <v>#REF!</v>
      </c>
      <c r="G4" s="3113" t="e">
        <f ca="1">结果表!G118</f>
        <v>#REF!</v>
      </c>
      <c r="H4" s="3113">
        <f ca="1">结果表!H118</f>
        <v>312</v>
      </c>
      <c r="I4" s="3113">
        <f ca="1">结果表!I118</f>
        <v>19667</v>
      </c>
    </row>
    <row r="5" spans="1:9" ht="30" customHeight="1">
      <c r="A5" s="3188" t="s">
        <v>112</v>
      </c>
      <c r="B5" s="3188"/>
      <c r="C5" s="3188"/>
      <c r="D5" s="3188" t="e">
        <f ca="1">结果表!D119</f>
        <v>#REF!</v>
      </c>
      <c r="E5" s="3188"/>
      <c r="F5" s="3188" t="e">
        <f ca="1">结果表!F119</f>
        <v>#REF!</v>
      </c>
      <c r="G5" s="3188"/>
      <c r="H5" s="3188" t="str">
        <f ca="1">结果表!H119</f>
        <v>叁佰壹拾贰万元整</v>
      </c>
      <c r="I5" s="3188"/>
    </row>
    <row r="6" spans="1:9" ht="15.75">
      <c r="A6" s="3185" t="str">
        <f>结果表!A120</f>
        <v>估价师知悉的法定优先受偿款</v>
      </c>
      <c r="B6" s="3185"/>
      <c r="C6" s="3185"/>
      <c r="D6" s="3185">
        <f>结果表!D120</f>
        <v>0</v>
      </c>
      <c r="E6" s="3185"/>
      <c r="F6" s="3185"/>
      <c r="G6" s="3185"/>
      <c r="H6" s="3185"/>
      <c r="I6" s="3185"/>
    </row>
    <row r="7" spans="1:9" ht="15">
      <c r="A7" s="3188" t="s">
        <v>112</v>
      </c>
      <c r="B7" s="3188"/>
      <c r="C7" s="3188"/>
      <c r="D7" s="3189" t="str">
        <f>结果表!D121</f>
        <v>零元整</v>
      </c>
      <c r="E7" s="3190"/>
      <c r="F7" s="3190"/>
      <c r="G7" s="3190"/>
      <c r="H7" s="3190"/>
      <c r="I7" s="3191"/>
    </row>
    <row r="8" spans="1:9" ht="15.75">
      <c r="A8" s="3185" t="str">
        <f>结果表!A122</f>
        <v>房地产抵押价值</v>
      </c>
      <c r="B8" s="3185"/>
      <c r="C8" s="3185"/>
      <c r="D8" s="3185">
        <f ca="1">结果表!D122</f>
        <v>312</v>
      </c>
      <c r="E8" s="3185"/>
      <c r="F8" s="3185"/>
      <c r="G8" s="3185"/>
      <c r="H8" s="3185"/>
      <c r="I8" s="3185"/>
    </row>
    <row r="9" spans="1:9" ht="15">
      <c r="A9" s="3188" t="s">
        <v>112</v>
      </c>
      <c r="B9" s="3188"/>
      <c r="C9" s="3188"/>
      <c r="D9" s="3188" t="str">
        <f ca="1">结果表!D123</f>
        <v>叁佰壹拾贰万元整</v>
      </c>
      <c r="E9" s="3188"/>
      <c r="F9" s="3188"/>
      <c r="G9" s="3188"/>
      <c r="H9" s="3188"/>
      <c r="I9" s="3188"/>
    </row>
    <row r="10" spans="1:9" ht="15.75">
      <c r="A10" s="3185" t="str">
        <f>结果表!A124</f>
        <v/>
      </c>
      <c r="B10" s="3185"/>
      <c r="C10" s="3185"/>
      <c r="D10" s="3185" t="str">
        <f>结果表!D124</f>
        <v>——</v>
      </c>
      <c r="E10" s="3185"/>
      <c r="F10" s="3185"/>
      <c r="G10" s="3185"/>
      <c r="H10" s="3185"/>
      <c r="I10" s="3185"/>
    </row>
    <row r="11" spans="1:9" ht="15">
      <c r="A11" s="3188" t="s">
        <v>112</v>
      </c>
      <c r="B11" s="3188"/>
      <c r="C11" s="3188"/>
      <c r="D11" s="3188" t="e">
        <f>结果表!D125</f>
        <v>#VALUE!</v>
      </c>
      <c r="E11" s="3188"/>
      <c r="F11" s="3188"/>
      <c r="G11" s="3188"/>
      <c r="H11" s="3188"/>
      <c r="I11" s="3188"/>
    </row>
    <row r="12" spans="1:9" ht="15.75">
      <c r="A12" s="3185" t="str">
        <f>结果表!A126</f>
        <v/>
      </c>
      <c r="B12" s="3185"/>
      <c r="C12" s="3185"/>
      <c r="D12" s="3185" t="str">
        <f>结果表!D126</f>
        <v>——</v>
      </c>
      <c r="E12" s="3185"/>
      <c r="F12" s="3185"/>
      <c r="G12" s="3185"/>
      <c r="H12" s="3185"/>
      <c r="I12" s="3185"/>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200" t="s">
        <v>114</v>
      </c>
      <c r="B1" s="3200"/>
      <c r="C1" s="3200"/>
      <c r="D1" s="3200"/>
    </row>
    <row r="2" spans="1:4" ht="18">
      <c r="A2" s="3201" t="s">
        <v>115</v>
      </c>
      <c r="B2" s="3201"/>
      <c r="C2" s="3201"/>
      <c r="D2" s="3201"/>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201" t="s">
        <v>121</v>
      </c>
      <c r="B6" s="3201"/>
      <c r="C6" s="3201"/>
      <c r="D6" s="3201"/>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202" t="s">
        <v>126</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5" t="str">
        <f>IF(项目基本情况!B8="抵押","4.本次评估估价师所知悉的法定优先受偿款情况说明如下：","——")</f>
        <v>4.本次评估估价师所知悉的法定优先受偿款情况说明如下：</v>
      </c>
      <c r="B14" s="3198"/>
      <c r="C14" s="3198"/>
      <c r="D14" s="3198"/>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9" t="s">
        <v>127</v>
      </c>
      <c r="B16" s="3199"/>
      <c r="C16" s="3199"/>
      <c r="D16" s="3199"/>
    </row>
    <row r="17" spans="1:4" ht="144" customHeight="1">
      <c r="A17" s="3199" t="s">
        <v>128</v>
      </c>
      <c r="B17" s="3199"/>
      <c r="C17" s="3199"/>
      <c r="D17" s="3199"/>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129</v>
      </c>
      <c r="B22" s="3197"/>
      <c r="C22" s="3197"/>
      <c r="D22" s="3197"/>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5" t="s">
        <v>146</v>
      </c>
      <c r="B15" s="3210" t="s">
        <v>147</v>
      </c>
      <c r="C15" s="3204"/>
    </row>
    <row r="16" spans="1:7" ht="13.5">
      <c r="A16" s="3206"/>
      <c r="B16" s="3210" t="s">
        <v>148</v>
      </c>
      <c r="C16" s="3204"/>
    </row>
    <row r="17" spans="1:3" ht="13.5">
      <c r="A17" s="3206"/>
      <c r="B17" s="3209" t="s">
        <v>149</v>
      </c>
      <c r="C17" s="3092" t="s">
        <v>146</v>
      </c>
    </row>
    <row r="18" spans="1:3" ht="13.5">
      <c r="A18" s="3206"/>
      <c r="B18" s="3209"/>
      <c r="C18" s="3092" t="s">
        <v>150</v>
      </c>
    </row>
    <row r="19" spans="1:3" ht="13.5">
      <c r="A19" s="3206"/>
      <c r="B19" s="3209"/>
      <c r="C19" s="3092" t="s">
        <v>151</v>
      </c>
    </row>
    <row r="20" spans="1:3" ht="13.5">
      <c r="A20" s="3207"/>
      <c r="B20" s="3203" t="s">
        <v>152</v>
      </c>
      <c r="C20" s="3204"/>
    </row>
    <row r="21" spans="1:3" ht="13.5">
      <c r="A21" s="3093" t="s">
        <v>153</v>
      </c>
      <c r="B21" s="3094"/>
      <c r="C21" s="3095"/>
    </row>
    <row r="22" spans="1:3" ht="13.5">
      <c r="A22" s="3208" t="s">
        <v>154</v>
      </c>
      <c r="B22" s="3203" t="s">
        <v>155</v>
      </c>
      <c r="C22" s="3204"/>
    </row>
    <row r="23" spans="1:3" ht="13.5">
      <c r="A23" s="3208"/>
      <c r="B23" s="3203" t="s">
        <v>156</v>
      </c>
      <c r="C23" s="3204"/>
    </row>
    <row r="24" spans="1:3" ht="13.5">
      <c r="A24" s="3208"/>
      <c r="B24" s="3203" t="s">
        <v>157</v>
      </c>
      <c r="C24" s="3204"/>
    </row>
    <row r="25" spans="1:3" ht="13.5">
      <c r="A25" s="3208"/>
      <c r="B25" s="3209" t="s">
        <v>158</v>
      </c>
      <c r="C25" s="3092" t="s">
        <v>159</v>
      </c>
    </row>
    <row r="26" spans="1:3" ht="13.5">
      <c r="A26" s="3208"/>
      <c r="B26" s="3209"/>
      <c r="C26" s="3092" t="s">
        <v>160</v>
      </c>
    </row>
    <row r="27" spans="1:3" ht="13.5">
      <c r="A27" s="3208"/>
      <c r="B27" s="3209"/>
      <c r="C27" s="3092" t="s">
        <v>161</v>
      </c>
    </row>
    <row r="28" spans="1:3" ht="13.5">
      <c r="A28" s="3208"/>
      <c r="B28" s="3209"/>
      <c r="C28" s="3092" t="s">
        <v>162</v>
      </c>
    </row>
    <row r="29" spans="1:3" ht="13.5">
      <c r="A29" s="3208"/>
      <c r="B29" s="3209"/>
      <c r="C29" s="3092" t="s">
        <v>163</v>
      </c>
    </row>
    <row r="30" spans="1:3" ht="13.5">
      <c r="A30" s="3208"/>
      <c r="B30" s="3209"/>
      <c r="C30" s="3092" t="s">
        <v>164</v>
      </c>
    </row>
    <row r="31" spans="1:3" ht="13.5">
      <c r="A31" s="3208"/>
      <c r="B31" s="3209"/>
      <c r="C31" s="3092" t="s">
        <v>165</v>
      </c>
    </row>
    <row r="32" spans="1:3" ht="13.5">
      <c r="A32" s="3208"/>
      <c r="B32" s="3209"/>
      <c r="C32" s="3092" t="s">
        <v>166</v>
      </c>
    </row>
    <row r="33" spans="1:3" ht="13.5">
      <c r="A33" s="3208"/>
      <c r="B33" s="3209"/>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45978</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62"/>
      <c r="E18" s="3213" t="s">
        <v>199</v>
      </c>
      <c r="F18" s="3212"/>
      <c r="G18" s="3212"/>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2025-11-17T07:04:20Z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