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I34" i="34"/>
  <c r="E93" i="33" l="1"/>
  <c r="D93" i="33"/>
  <c r="G27" i="9" l="1"/>
  <c r="D77" i="33"/>
  <c r="E77" i="33" s="1"/>
  <c r="D79" i="33"/>
  <c r="E79" i="33"/>
  <c r="F17" i="33" s="1"/>
  <c r="R47" i="33"/>
  <c r="T47" i="33"/>
  <c r="V20" i="1"/>
  <c r="T19" i="1"/>
  <c r="F19" i="6"/>
  <c r="E19" i="6" s="1"/>
  <c r="U6" i="43" s="1"/>
  <c r="D3" i="4"/>
  <c r="B2" i="1" s="1"/>
  <c r="D15" i="4"/>
  <c r="G23" i="4"/>
  <c r="G24" i="4" s="1"/>
  <c r="N18" i="1"/>
  <c r="G24" i="43"/>
  <c r="J24" i="43"/>
  <c r="G3" i="43"/>
  <c r="E26" i="43" s="1"/>
  <c r="G26" i="43"/>
  <c r="G2" i="43"/>
  <c r="C27" i="43" s="1"/>
  <c r="C25" i="43" s="1"/>
  <c r="I2" i="43"/>
  <c r="M2" i="43" s="1"/>
  <c r="M6" i="43"/>
  <c r="K21" i="43"/>
  <c r="L21" i="43"/>
  <c r="C17" i="43"/>
  <c r="N2" i="43"/>
  <c r="F61" i="43"/>
  <c r="H61" i="43" s="1"/>
  <c r="G61" i="43" s="1"/>
  <c r="H65" i="43"/>
  <c r="G65" i="43" s="1"/>
  <c r="C22" i="43"/>
  <c r="M7" i="43"/>
  <c r="N7" i="43"/>
  <c r="A6" i="1"/>
  <c r="O98" i="33"/>
  <c r="P98" i="33"/>
  <c r="O97" i="33"/>
  <c r="P92" i="33" s="1"/>
  <c r="S3" i="43"/>
  <c r="S4" i="43"/>
  <c r="B55" i="1"/>
  <c r="B56" i="1"/>
  <c r="B57" i="1"/>
  <c r="B58" i="1"/>
  <c r="B59" i="1"/>
  <c r="B54" i="1"/>
  <c r="B24" i="31"/>
  <c r="C25" i="31" s="1"/>
  <c r="F59" i="33"/>
  <c r="G59" i="33" s="1"/>
  <c r="H59" i="33" s="1"/>
  <c r="I59" i="33" s="1"/>
  <c r="J59" i="33" s="1"/>
  <c r="K59" i="33" s="1"/>
  <c r="E59" i="33"/>
  <c r="C33" i="33"/>
  <c r="J33" i="33" s="1"/>
  <c r="O96" i="33"/>
  <c r="P93"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B87" i="71" s="1"/>
  <c r="B86" i="71" s="1"/>
  <c r="F87" i="71"/>
  <c r="F86" i="71" s="1"/>
  <c r="D85" i="71"/>
  <c r="F84" i="71"/>
  <c r="E84" i="71"/>
  <c r="E83" i="71"/>
  <c r="E82" i="71" s="1"/>
  <c r="C84" i="71"/>
  <c r="D84" i="71" s="1"/>
  <c r="B84" i="71"/>
  <c r="F83" i="71"/>
  <c r="F82" i="71"/>
  <c r="C83" i="71"/>
  <c r="B83" i="71"/>
  <c r="B82" i="71" s="1"/>
  <c r="D81" i="71"/>
  <c r="Q80" i="71"/>
  <c r="P80" i="71"/>
  <c r="O80" i="71"/>
  <c r="N80" i="71"/>
  <c r="F80" i="71"/>
  <c r="E80" i="71"/>
  <c r="C80" i="71"/>
  <c r="B80" i="71"/>
  <c r="S80" i="71"/>
  <c r="Q79" i="71"/>
  <c r="P79" i="71"/>
  <c r="O79" i="71"/>
  <c r="N79" i="71"/>
  <c r="B79" i="71"/>
  <c r="B78" i="71"/>
  <c r="Q78" i="71"/>
  <c r="P78" i="71"/>
  <c r="O78" i="71"/>
  <c r="N78" i="71"/>
  <c r="Q77" i="71"/>
  <c r="P77" i="71"/>
  <c r="O77" i="71"/>
  <c r="N77" i="71"/>
  <c r="D77" i="71"/>
  <c r="V76" i="71"/>
  <c r="Q76" i="71"/>
  <c r="P76" i="71"/>
  <c r="O76" i="71"/>
  <c r="N76" i="71"/>
  <c r="F76" i="71"/>
  <c r="E76" i="71"/>
  <c r="E75" i="71" s="1"/>
  <c r="E74" i="71" s="1"/>
  <c r="C76" i="71"/>
  <c r="B76" i="71"/>
  <c r="B75" i="71"/>
  <c r="B74" i="71" s="1"/>
  <c r="Q75" i="71"/>
  <c r="P75" i="71"/>
  <c r="O75" i="71"/>
  <c r="N75" i="71"/>
  <c r="F75" i="71"/>
  <c r="F74" i="71"/>
  <c r="C75" i="71"/>
  <c r="Q74" i="71"/>
  <c r="P74" i="71"/>
  <c r="O74" i="71"/>
  <c r="N74" i="71"/>
  <c r="Q73" i="71"/>
  <c r="P73" i="71"/>
  <c r="O73" i="71"/>
  <c r="N73" i="71"/>
  <c r="D73" i="71"/>
  <c r="U72" i="71"/>
  <c r="Q72" i="71"/>
  <c r="P72" i="71"/>
  <c r="O72" i="71"/>
  <c r="N72" i="71"/>
  <c r="F72" i="71"/>
  <c r="F71" i="71" s="1"/>
  <c r="F70" i="71" s="1"/>
  <c r="V72" i="71"/>
  <c r="E72" i="71"/>
  <c r="E71" i="71"/>
  <c r="E70" i="71" s="1"/>
  <c r="C72" i="71"/>
  <c r="B72" i="71"/>
  <c r="S72" i="71" s="1"/>
  <c r="Q71" i="71"/>
  <c r="P71" i="71"/>
  <c r="O71" i="71"/>
  <c r="N71" i="71"/>
  <c r="B71" i="71"/>
  <c r="B70" i="71" s="1"/>
  <c r="Q70" i="71"/>
  <c r="P70" i="71"/>
  <c r="O70" i="71"/>
  <c r="N70" i="71"/>
  <c r="Q69" i="71"/>
  <c r="P69" i="71"/>
  <c r="O69" i="71"/>
  <c r="N69" i="71"/>
  <c r="D69" i="71"/>
  <c r="S68" i="71"/>
  <c r="P68" i="71"/>
  <c r="F68" i="71"/>
  <c r="E68" i="71"/>
  <c r="C68" i="71"/>
  <c r="B68" i="71"/>
  <c r="B67" i="71" s="1"/>
  <c r="N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c r="F60" i="71" s="1"/>
  <c r="V60" i="71"/>
  <c r="P57" i="71"/>
  <c r="E58" i="71" s="1"/>
  <c r="O57" i="71"/>
  <c r="C58" i="71" s="1"/>
  <c r="N57" i="71"/>
  <c r="B58" i="71"/>
  <c r="B59" i="71" s="1"/>
  <c r="B60" i="71" s="1"/>
  <c r="S60" i="71" s="1"/>
  <c r="D57" i="71"/>
  <c r="Q56" i="71"/>
  <c r="P56" i="71"/>
  <c r="O56" i="71"/>
  <c r="N56" i="71"/>
  <c r="Q55" i="71"/>
  <c r="P55" i="71"/>
  <c r="O55" i="71"/>
  <c r="N55" i="71"/>
  <c r="Q54" i="71"/>
  <c r="P54" i="71"/>
  <c r="O54" i="71"/>
  <c r="N54" i="71"/>
  <c r="B55" i="71"/>
  <c r="B56" i="71" s="1"/>
  <c r="S56" i="71" s="1"/>
  <c r="Q53" i="71"/>
  <c r="F54" i="71" s="1"/>
  <c r="F55" i="71" s="1"/>
  <c r="F56" i="71" s="1"/>
  <c r="V56" i="71" s="1"/>
  <c r="P53" i="71"/>
  <c r="E54" i="71" s="1"/>
  <c r="E55" i="71"/>
  <c r="E56" i="71" s="1"/>
  <c r="U56" i="71" s="1"/>
  <c r="O53" i="71"/>
  <c r="C54" i="71" s="1"/>
  <c r="N53" i="71"/>
  <c r="B54" i="71"/>
  <c r="D53" i="71"/>
  <c r="Q52" i="71"/>
  <c r="P52" i="71"/>
  <c r="O52" i="71"/>
  <c r="N52" i="71"/>
  <c r="Q51" i="71"/>
  <c r="P51" i="71"/>
  <c r="O51" i="71"/>
  <c r="N51" i="71"/>
  <c r="Q50" i="71"/>
  <c r="P50" i="71"/>
  <c r="O50" i="71"/>
  <c r="N50" i="71"/>
  <c r="E50" i="71"/>
  <c r="E51" i="71"/>
  <c r="E52" i="71" s="1"/>
  <c r="U52" i="71" s="1"/>
  <c r="Q49" i="71"/>
  <c r="F50" i="71"/>
  <c r="F51" i="71"/>
  <c r="F52" i="71" s="1"/>
  <c r="V52" i="71" s="1"/>
  <c r="P49" i="7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E43" i="71"/>
  <c r="E44" i="71"/>
  <c r="U44" i="71" s="1"/>
  <c r="Q42" i="71"/>
  <c r="P42" i="71"/>
  <c r="O42" i="71"/>
  <c r="N42" i="71"/>
  <c r="F42" i="71"/>
  <c r="F43" i="71" s="1"/>
  <c r="F44" i="71" s="1"/>
  <c r="V44" i="71" s="1"/>
  <c r="Q41" i="71"/>
  <c r="P41" i="71"/>
  <c r="E42" i="71"/>
  <c r="O41" i="71"/>
  <c r="C42" i="71" s="1"/>
  <c r="C43" i="71"/>
  <c r="N41" i="71"/>
  <c r="B42" i="71" s="1"/>
  <c r="B43" i="71" s="1"/>
  <c r="B44" i="71" s="1"/>
  <c r="S44" i="71" s="1"/>
  <c r="D41" i="71"/>
  <c r="AH40" i="71"/>
  <c r="AG40" i="71"/>
  <c r="AE40" i="71"/>
  <c r="AF40" i="71" s="1"/>
  <c r="AD40" i="71"/>
  <c r="Q40" i="71"/>
  <c r="P40" i="71"/>
  <c r="O40" i="71"/>
  <c r="N40" i="71"/>
  <c r="AH39" i="71"/>
  <c r="AG39" i="71"/>
  <c r="AE39" i="71"/>
  <c r="AF39" i="71"/>
  <c r="AD39" i="71"/>
  <c r="Z39" i="71"/>
  <c r="Q39" i="71"/>
  <c r="P39" i="71"/>
  <c r="AA39" i="71" s="1"/>
  <c r="O39" i="71"/>
  <c r="Y39" i="71" s="1"/>
  <c r="N39" i="71"/>
  <c r="X39" i="71" s="1"/>
  <c r="AH38" i="71"/>
  <c r="AG38" i="71"/>
  <c r="AE38" i="71"/>
  <c r="AF38" i="71"/>
  <c r="AD38" i="71"/>
  <c r="Q38" i="71"/>
  <c r="P38" i="71"/>
  <c r="AA38" i="71" s="1"/>
  <c r="O38" i="71"/>
  <c r="Y35" i="71"/>
  <c r="Z35" i="71"/>
  <c r="N38" i="71"/>
  <c r="X38" i="71" s="1"/>
  <c r="AH37" i="71"/>
  <c r="AG37" i="71"/>
  <c r="AE37" i="71"/>
  <c r="AF37" i="71" s="1"/>
  <c r="AD37" i="71"/>
  <c r="AA37" i="71"/>
  <c r="Q37" i="71"/>
  <c r="P37" i="71"/>
  <c r="E38" i="71" s="1"/>
  <c r="E39" i="71" s="1"/>
  <c r="E40" i="71" s="1"/>
  <c r="U40" i="71" s="1"/>
  <c r="O37" i="71"/>
  <c r="C38" i="71" s="1"/>
  <c r="N37" i="71"/>
  <c r="B38" i="71"/>
  <c r="B39" i="71" s="1"/>
  <c r="B40" i="71"/>
  <c r="S40" i="71" s="1"/>
  <c r="D37" i="71"/>
  <c r="AH36" i="71"/>
  <c r="AG36" i="71"/>
  <c r="AE36" i="71"/>
  <c r="AF36" i="71" s="1"/>
  <c r="AD36" i="71"/>
  <c r="Q36" i="71"/>
  <c r="P36" i="71"/>
  <c r="AA36" i="71" s="1"/>
  <c r="O36" i="71"/>
  <c r="N36" i="71"/>
  <c r="AH35" i="71"/>
  <c r="AG35" i="71"/>
  <c r="AE35" i="71"/>
  <c r="AF35" i="71"/>
  <c r="AD35" i="71"/>
  <c r="Q35" i="71"/>
  <c r="P35" i="71"/>
  <c r="AA35" i="71" s="1"/>
  <c r="O35" i="71"/>
  <c r="Y34" i="71" s="1"/>
  <c r="Z34" i="71" s="1"/>
  <c r="N35" i="71"/>
  <c r="AH34" i="71"/>
  <c r="AG34" i="71"/>
  <c r="AE34" i="71"/>
  <c r="AF34" i="71" s="1"/>
  <c r="AD34" i="71"/>
  <c r="Q34" i="71"/>
  <c r="P34" i="71"/>
  <c r="O34" i="71"/>
  <c r="N34" i="71"/>
  <c r="B35" i="71" s="1"/>
  <c r="B36" i="71" s="1"/>
  <c r="S36" i="71" s="1"/>
  <c r="AH33" i="71"/>
  <c r="AG33" i="71"/>
  <c r="AE33" i="71"/>
  <c r="AF33" i="71" s="1"/>
  <c r="AD33" i="71"/>
  <c r="Q33" i="71"/>
  <c r="F34" i="71" s="1"/>
  <c r="F35" i="71" s="1"/>
  <c r="F36" i="71" s="1"/>
  <c r="V36" i="71" s="1"/>
  <c r="P33" i="71"/>
  <c r="E34" i="71" s="1"/>
  <c r="E35" i="71" s="1"/>
  <c r="O33" i="71"/>
  <c r="N33" i="71"/>
  <c r="B34" i="71"/>
  <c r="D33" i="71"/>
  <c r="AH32" i="71"/>
  <c r="AG32" i="71"/>
  <c r="AF32" i="71"/>
  <c r="AE32" i="71"/>
  <c r="AD32" i="71"/>
  <c r="Q32" i="71"/>
  <c r="P32" i="71"/>
  <c r="O32" i="71"/>
  <c r="N32" i="71"/>
  <c r="AH31" i="71"/>
  <c r="AG31" i="71"/>
  <c r="AE31" i="71"/>
  <c r="AF31" i="71" s="1"/>
  <c r="AD31" i="71"/>
  <c r="Q31" i="71"/>
  <c r="P31" i="71"/>
  <c r="O31" i="71"/>
  <c r="N31" i="71"/>
  <c r="AH30" i="71"/>
  <c r="AG30" i="71"/>
  <c r="AE30" i="71"/>
  <c r="AF30" i="71"/>
  <c r="AD30" i="71"/>
  <c r="Q30" i="71"/>
  <c r="P30" i="71"/>
  <c r="O30" i="71"/>
  <c r="N30" i="71"/>
  <c r="AH29" i="71"/>
  <c r="AG29" i="71"/>
  <c r="AE29" i="71"/>
  <c r="AF29" i="71" s="1"/>
  <c r="AD29" i="71"/>
  <c r="Q29" i="71"/>
  <c r="F30" i="71" s="1"/>
  <c r="F31" i="71" s="1"/>
  <c r="F32" i="71" s="1"/>
  <c r="V32" i="71" s="1"/>
  <c r="P29" i="71"/>
  <c r="E30" i="71" s="1"/>
  <c r="O29" i="71"/>
  <c r="C30" i="71" s="1"/>
  <c r="N29" i="71"/>
  <c r="D29" i="71"/>
  <c r="AH28" i="71"/>
  <c r="AG28" i="71"/>
  <c r="AF28" i="71"/>
  <c r="AE28" i="71"/>
  <c r="AD28" i="71"/>
  <c r="Q28" i="71"/>
  <c r="AB28" i="71" s="1"/>
  <c r="P28" i="71"/>
  <c r="AA27" i="71" s="1"/>
  <c r="O28" i="71"/>
  <c r="N28" i="71"/>
  <c r="C28" i="71"/>
  <c r="B28" i="71"/>
  <c r="B27" i="71" s="1"/>
  <c r="S28" i="71"/>
  <c r="AH27" i="71"/>
  <c r="AG27" i="71"/>
  <c r="AE27" i="71"/>
  <c r="AF27" i="71" s="1"/>
  <c r="AD27" i="71"/>
  <c r="Q27" i="71"/>
  <c r="P27" i="71"/>
  <c r="O27" i="71"/>
  <c r="N27" i="71"/>
  <c r="AH26" i="71"/>
  <c r="AG26" i="71"/>
  <c r="AE26" i="71"/>
  <c r="AF26" i="71"/>
  <c r="AD26" i="71"/>
  <c r="Q26" i="71"/>
  <c r="P26" i="71"/>
  <c r="O26" i="71"/>
  <c r="N26" i="71"/>
  <c r="AH25" i="71"/>
  <c r="AG25" i="71"/>
  <c r="AE25" i="71"/>
  <c r="AF25" i="71" s="1"/>
  <c r="AD25" i="71"/>
  <c r="Q25" i="71"/>
  <c r="AB24" i="71" s="1"/>
  <c r="P25" i="71"/>
  <c r="O25" i="71"/>
  <c r="N25" i="71"/>
  <c r="D25" i="71"/>
  <c r="AH24" i="71"/>
  <c r="AG24" i="71"/>
  <c r="AE24" i="71"/>
  <c r="AF24" i="71"/>
  <c r="AD24" i="71"/>
  <c r="Q24" i="71"/>
  <c r="F24" i="71" s="1"/>
  <c r="F23" i="71" s="1"/>
  <c r="P24" i="71"/>
  <c r="E24" i="71" s="1"/>
  <c r="O24" i="71"/>
  <c r="N24" i="71"/>
  <c r="B24" i="71" s="1"/>
  <c r="B23" i="71" s="1"/>
  <c r="C24" i="71"/>
  <c r="S24" i="71"/>
  <c r="AH23" i="71"/>
  <c r="AG23" i="71"/>
  <c r="AE23" i="71"/>
  <c r="AF23" i="71"/>
  <c r="AD23" i="71"/>
  <c r="Q23" i="71"/>
  <c r="P23" i="71"/>
  <c r="O23" i="71"/>
  <c r="N23" i="71"/>
  <c r="AH22" i="71"/>
  <c r="AG22" i="71"/>
  <c r="AE22" i="71"/>
  <c r="AF22" i="71"/>
  <c r="AD22" i="71"/>
  <c r="Q22" i="71"/>
  <c r="P22" i="71"/>
  <c r="O22" i="71"/>
  <c r="N22" i="71"/>
  <c r="AH21" i="71"/>
  <c r="AG21" i="71"/>
  <c r="AF21" i="71"/>
  <c r="AE21" i="71"/>
  <c r="AD21" i="71"/>
  <c r="Q21" i="71"/>
  <c r="P21" i="71"/>
  <c r="O21" i="71"/>
  <c r="N21" i="71"/>
  <c r="AH20" i="71"/>
  <c r="AG20" i="71"/>
  <c r="AE20" i="71"/>
  <c r="AF20" i="7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AA14" i="71" s="1"/>
  <c r="O14" i="71"/>
  <c r="N14" i="71"/>
  <c r="AH13" i="71"/>
  <c r="AG13" i="71"/>
  <c r="AE13" i="71"/>
  <c r="AF13" i="71" s="1"/>
  <c r="AD13" i="71"/>
  <c r="Q13" i="71"/>
  <c r="P13" i="71"/>
  <c r="O13" i="71"/>
  <c r="N13" i="71"/>
  <c r="AH12" i="71"/>
  <c r="AG12" i="71"/>
  <c r="AE12" i="71"/>
  <c r="AF12" i="71"/>
  <c r="AD12" i="71"/>
  <c r="Q12" i="71"/>
  <c r="P12" i="71"/>
  <c r="O12" i="71"/>
  <c r="N12" i="71"/>
  <c r="AH11" i="71"/>
  <c r="AG11" i="71"/>
  <c r="AF11" i="71"/>
  <c r="AE11" i="7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c r="AD7" i="71"/>
  <c r="AB7" i="71"/>
  <c r="AA7" i="71"/>
  <c r="Y7" i="71"/>
  <c r="Z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E3" i="71"/>
  <c r="AF3" i="71" s="1"/>
  <c r="L3" i="71"/>
  <c r="AH3" i="71" s="1"/>
  <c r="K3" i="71"/>
  <c r="AG3" i="71"/>
  <c r="J3" i="71"/>
  <c r="I3" i="71"/>
  <c r="AD3" i="71"/>
  <c r="AD52" i="79"/>
  <c r="AB52" i="79"/>
  <c r="AA52" i="79"/>
  <c r="Z52" i="79"/>
  <c r="W52" i="79"/>
  <c r="N52" i="79"/>
  <c r="M52" i="79"/>
  <c r="P52" i="79"/>
  <c r="L52" i="79"/>
  <c r="I52" i="79"/>
  <c r="AB51" i="79"/>
  <c r="AA51" i="79"/>
  <c r="Z51" i="79"/>
  <c r="U51" i="79"/>
  <c r="AI51" i="79"/>
  <c r="N51" i="79"/>
  <c r="M51" i="79"/>
  <c r="L51" i="79"/>
  <c r="I51" i="79"/>
  <c r="AD51" i="79" s="1"/>
  <c r="AB50" i="79"/>
  <c r="AA50" i="79"/>
  <c r="Z50" i="79"/>
  <c r="P50" i="79"/>
  <c r="N50" i="79"/>
  <c r="U50" i="79" s="1"/>
  <c r="AI50" i="79" s="1"/>
  <c r="M50" i="79"/>
  <c r="L50" i="79"/>
  <c r="I50" i="79"/>
  <c r="AD49" i="79" s="1"/>
  <c r="AB49" i="79"/>
  <c r="AA49" i="79"/>
  <c r="Z49" i="79"/>
  <c r="N49" i="79"/>
  <c r="M49" i="79"/>
  <c r="P49" i="79" s="1"/>
  <c r="L49" i="79"/>
  <c r="I49" i="79"/>
  <c r="AB48" i="79"/>
  <c r="AA48" i="79"/>
  <c r="Z48" i="79"/>
  <c r="P48" i="79"/>
  <c r="N48" i="79"/>
  <c r="M48" i="79"/>
  <c r="L48" i="79"/>
  <c r="I48" i="79"/>
  <c r="AB47" i="79"/>
  <c r="AA47" i="79"/>
  <c r="Z47" i="79"/>
  <c r="N47" i="79"/>
  <c r="M47" i="79"/>
  <c r="P47" i="79"/>
  <c r="L47" i="79"/>
  <c r="S45" i="79" s="1"/>
  <c r="AG45" i="79" s="1"/>
  <c r="I47" i="79"/>
  <c r="AB46" i="79"/>
  <c r="AA46" i="79"/>
  <c r="Z46" i="79"/>
  <c r="N46" i="79"/>
  <c r="M46" i="79"/>
  <c r="L46" i="79"/>
  <c r="I46" i="79"/>
  <c r="AB45" i="79"/>
  <c r="AA45" i="79"/>
  <c r="Z45" i="79"/>
  <c r="N45" i="79"/>
  <c r="U44" i="79" s="1"/>
  <c r="AI44" i="79" s="1"/>
  <c r="M45" i="79"/>
  <c r="T45" i="79" s="1"/>
  <c r="W45" i="79" s="1"/>
  <c r="AK45" i="79" s="1"/>
  <c r="P45" i="79"/>
  <c r="L45" i="79"/>
  <c r="I45" i="79"/>
  <c r="N44" i="79"/>
  <c r="M44" i="79"/>
  <c r="L44" i="79"/>
  <c r="I44" i="79"/>
  <c r="P43" i="79"/>
  <c r="N43" i="79"/>
  <c r="U43" i="79" s="1"/>
  <c r="AI43" i="79" s="1"/>
  <c r="M43" i="79"/>
  <c r="L43" i="79"/>
  <c r="S43" i="79" s="1"/>
  <c r="AG43" i="79" s="1"/>
  <c r="I43" i="79"/>
  <c r="P42" i="79"/>
  <c r="N42" i="79"/>
  <c r="M42" i="79"/>
  <c r="L42" i="79"/>
  <c r="S41" i="79"/>
  <c r="AG41" i="79" s="1"/>
  <c r="I42" i="79"/>
  <c r="AD36" i="79" s="1"/>
  <c r="N41" i="79"/>
  <c r="M41" i="79"/>
  <c r="L41" i="79"/>
  <c r="I41" i="79"/>
  <c r="N40" i="79"/>
  <c r="M40" i="79"/>
  <c r="P40" i="79"/>
  <c r="L40" i="79"/>
  <c r="I40" i="79"/>
  <c r="AB39" i="79"/>
  <c r="AA39" i="79"/>
  <c r="Z39" i="79"/>
  <c r="N39" i="79"/>
  <c r="M39" i="79"/>
  <c r="P39" i="79" s="1"/>
  <c r="L39" i="79"/>
  <c r="I39" i="79"/>
  <c r="AB38" i="79"/>
  <c r="AA38" i="79"/>
  <c r="Z38" i="79"/>
  <c r="P38" i="79"/>
  <c r="N38" i="79"/>
  <c r="M38" i="79"/>
  <c r="L38" i="79"/>
  <c r="I38" i="79"/>
  <c r="AD38" i="79" s="1"/>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S34" i="79"/>
  <c r="AG34" i="79" s="1"/>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B3" i="79" s="1"/>
  <c r="AA23" i="79"/>
  <c r="AD23" i="79" s="1"/>
  <c r="Z23" i="79"/>
  <c r="Y23" i="79"/>
  <c r="T23" i="79"/>
  <c r="W23" i="79" s="1"/>
  <c r="AK23" i="79" s="1"/>
  <c r="O23" i="79"/>
  <c r="N23" i="79"/>
  <c r="U23" i="79"/>
  <c r="AI23" i="79" s="1"/>
  <c r="M23" i="79"/>
  <c r="P23" i="79" s="1"/>
  <c r="L23" i="79"/>
  <c r="S23" i="79" s="1"/>
  <c r="AG23" i="79" s="1"/>
  <c r="K23" i="79"/>
  <c r="I23" i="79"/>
  <c r="AC22" i="79"/>
  <c r="AB22" i="79"/>
  <c r="AA22" i="79"/>
  <c r="AD22" i="79"/>
  <c r="Z22" i="79"/>
  <c r="Y22" i="79"/>
  <c r="O22" i="79"/>
  <c r="N22" i="79"/>
  <c r="U22" i="79" s="1"/>
  <c r="AI22" i="79" s="1"/>
  <c r="M22" i="79"/>
  <c r="L22" i="79"/>
  <c r="S22" i="79" s="1"/>
  <c r="AG22" i="79" s="1"/>
  <c r="K22" i="79"/>
  <c r="R22" i="79" s="1"/>
  <c r="AF22" i="79" s="1"/>
  <c r="I22" i="79"/>
  <c r="AC21" i="79"/>
  <c r="AB21" i="79"/>
  <c r="AA21" i="79"/>
  <c r="AD21" i="79"/>
  <c r="Z21" i="79"/>
  <c r="Y21" i="79"/>
  <c r="O21" i="79"/>
  <c r="N21" i="79"/>
  <c r="U21" i="79" s="1"/>
  <c r="AI21" i="79" s="1"/>
  <c r="M21" i="79"/>
  <c r="L21" i="79"/>
  <c r="S21" i="79" s="1"/>
  <c r="AG21" i="79" s="1"/>
  <c r="K21" i="79"/>
  <c r="I21" i="79"/>
  <c r="AD20" i="79"/>
  <c r="AC20" i="79"/>
  <c r="AB20" i="79"/>
  <c r="AA20" i="79"/>
  <c r="Z20" i="79"/>
  <c r="Y20" i="79"/>
  <c r="T20" i="79"/>
  <c r="W20" i="79" s="1"/>
  <c r="AK20" i="79" s="1"/>
  <c r="O20" i="79"/>
  <c r="N20" i="79"/>
  <c r="U20" i="79" s="1"/>
  <c r="AI20" i="79" s="1"/>
  <c r="M20" i="79"/>
  <c r="P20" i="79" s="1"/>
  <c r="L20" i="79"/>
  <c r="S20" i="79" s="1"/>
  <c r="AG20" i="79" s="1"/>
  <c r="K20" i="79"/>
  <c r="I20" i="79"/>
  <c r="AC19" i="79"/>
  <c r="AB19" i="79"/>
  <c r="AA19" i="79"/>
  <c r="AD19" i="79" s="1"/>
  <c r="Z19" i="79"/>
  <c r="Y19" i="79"/>
  <c r="O19" i="79"/>
  <c r="V16" i="79" s="1"/>
  <c r="AJ16" i="79" s="1"/>
  <c r="N19" i="79"/>
  <c r="M19" i="79"/>
  <c r="P19" i="79" s="1"/>
  <c r="L19" i="79"/>
  <c r="K19" i="79"/>
  <c r="R19" i="79" s="1"/>
  <c r="AF19" i="79" s="1"/>
  <c r="I19" i="79"/>
  <c r="AC18" i="79"/>
  <c r="AB18" i="79"/>
  <c r="AA18" i="79"/>
  <c r="AD18" i="79" s="1"/>
  <c r="Z18" i="79"/>
  <c r="Y18" i="79"/>
  <c r="O18" i="79"/>
  <c r="N18" i="79"/>
  <c r="M18" i="79"/>
  <c r="L18" i="79"/>
  <c r="S18" i="79" s="1"/>
  <c r="AG18" i="79" s="1"/>
  <c r="K18" i="79"/>
  <c r="R18" i="79" s="1"/>
  <c r="AF18" i="79" s="1"/>
  <c r="I18" i="79"/>
  <c r="AC17" i="79"/>
  <c r="AC3" i="79" s="1"/>
  <c r="AB17" i="79"/>
  <c r="AA17" i="79"/>
  <c r="AD17" i="79" s="1"/>
  <c r="Z17" i="79"/>
  <c r="Y17" i="79"/>
  <c r="P17" i="79"/>
  <c r="O17" i="79"/>
  <c r="N17" i="79"/>
  <c r="M17" i="79"/>
  <c r="L17" i="79"/>
  <c r="S17" i="79"/>
  <c r="AG17" i="79" s="1"/>
  <c r="K17" i="79"/>
  <c r="I17" i="79"/>
  <c r="P16" i="79"/>
  <c r="O16" i="79"/>
  <c r="N16" i="79"/>
  <c r="M16" i="79"/>
  <c r="L16" i="79"/>
  <c r="K16" i="79"/>
  <c r="I16" i="79"/>
  <c r="O15" i="79"/>
  <c r="N15" i="79"/>
  <c r="M15" i="79"/>
  <c r="P15" i="79" s="1"/>
  <c r="L15" i="79"/>
  <c r="K15" i="79"/>
  <c r="I15" i="79"/>
  <c r="P14" i="79"/>
  <c r="O14" i="79"/>
  <c r="N14" i="79"/>
  <c r="M14" i="79"/>
  <c r="L14" i="79"/>
  <c r="S14" i="79" s="1"/>
  <c r="AG14" i="79"/>
  <c r="K14" i="79"/>
  <c r="I14" i="79"/>
  <c r="O13" i="79"/>
  <c r="N13" i="79"/>
  <c r="M13" i="79"/>
  <c r="P13" i="79" s="1"/>
  <c r="L13" i="79"/>
  <c r="K13" i="79"/>
  <c r="I13" i="79"/>
  <c r="O12" i="79"/>
  <c r="N12" i="79"/>
  <c r="M12" i="79"/>
  <c r="L12" i="79"/>
  <c r="K12" i="79"/>
  <c r="I12" i="79"/>
  <c r="AC11" i="79"/>
  <c r="AB11" i="79"/>
  <c r="AA11" i="79"/>
  <c r="AD11" i="79" s="1"/>
  <c r="AA3" i="79"/>
  <c r="AD3" i="79" s="1"/>
  <c r="Z11" i="79"/>
  <c r="Y11" i="79"/>
  <c r="P11" i="79"/>
  <c r="O11" i="79"/>
  <c r="N11" i="79"/>
  <c r="M11" i="79"/>
  <c r="L11" i="79"/>
  <c r="K11" i="79"/>
  <c r="I11" i="79"/>
  <c r="AD10" i="79"/>
  <c r="AC10" i="79"/>
  <c r="AB10" i="79"/>
  <c r="AA10" i="79"/>
  <c r="Z10" i="79"/>
  <c r="Y10" i="79"/>
  <c r="P10" i="79"/>
  <c r="O10" i="79"/>
  <c r="N10" i="79"/>
  <c r="M10" i="79"/>
  <c r="L10" i="79"/>
  <c r="S6" i="79" s="1"/>
  <c r="AG6" i="79" s="1"/>
  <c r="K10" i="79"/>
  <c r="I10" i="79"/>
  <c r="AD9" i="79"/>
  <c r="AC9" i="79"/>
  <c r="AB9" i="79"/>
  <c r="AA9" i="79"/>
  <c r="Z9" i="79"/>
  <c r="Y9" i="79"/>
  <c r="S9" i="79"/>
  <c r="AG9" i="79" s="1"/>
  <c r="O9" i="79"/>
  <c r="N9" i="79"/>
  <c r="M9" i="79"/>
  <c r="P9" i="79" s="1"/>
  <c r="L9" i="79"/>
  <c r="K9" i="79"/>
  <c r="I9" i="79"/>
  <c r="AO11" i="79"/>
  <c r="AO12" i="79" s="1"/>
  <c r="AO13" i="79" s="1"/>
  <c r="AO14" i="79" s="1"/>
  <c r="AO15" i="79" s="1"/>
  <c r="AO16" i="79" s="1"/>
  <c r="AO17" i="79" s="1"/>
  <c r="AO18" i="79" s="1"/>
  <c r="AO19" i="79" s="1"/>
  <c r="AO20" i="79" s="1"/>
  <c r="AO21" i="79" s="1"/>
  <c r="AO22" i="79" s="1"/>
  <c r="AO23" i="79" s="1"/>
  <c r="AO24" i="79" s="1"/>
  <c r="AC8" i="79"/>
  <c r="AB8" i="79"/>
  <c r="AA8" i="79"/>
  <c r="AD8" i="79"/>
  <c r="Z8" i="79"/>
  <c r="Y8" i="79"/>
  <c r="O8" i="79"/>
  <c r="N8" i="79"/>
  <c r="M8" i="79"/>
  <c r="L8" i="79"/>
  <c r="K8" i="79"/>
  <c r="I8" i="79"/>
  <c r="AN9" i="79"/>
  <c r="AN10" i="79" s="1"/>
  <c r="AN11" i="79" s="1"/>
  <c r="AN12" i="79" s="1"/>
  <c r="AN13" i="79" s="1"/>
  <c r="AN14" i="79" s="1"/>
  <c r="AN15" i="79" s="1"/>
  <c r="AN16" i="79" s="1"/>
  <c r="AN17" i="79" s="1"/>
  <c r="AN18" i="79" s="1"/>
  <c r="AN19" i="79" s="1"/>
  <c r="AN20" i="79" s="1"/>
  <c r="AN21" i="79"/>
  <c r="AN22" i="79" s="1"/>
  <c r="AN23" i="79" s="1"/>
  <c r="AN24" i="79" s="1"/>
  <c r="AD7" i="79"/>
  <c r="AC7" i="79"/>
  <c r="AB7" i="79"/>
  <c r="AA7" i="79"/>
  <c r="Z7" i="79"/>
  <c r="Y7" i="79"/>
  <c r="P7" i="79"/>
  <c r="O7" i="79"/>
  <c r="N7" i="79"/>
  <c r="M7" i="79"/>
  <c r="L7" i="79"/>
  <c r="S7" i="79" s="1"/>
  <c r="AG7" i="79" s="1"/>
  <c r="K7" i="79"/>
  <c r="I7" i="79"/>
  <c r="AQ6" i="79"/>
  <c r="AQ7" i="79"/>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N6" i="79"/>
  <c r="AN7" i="79" s="1"/>
  <c r="AN8" i="79" s="1"/>
  <c r="AM6" i="79"/>
  <c r="AM7" i="79"/>
  <c r="AM8" i="79" s="1"/>
  <c r="AM9" i="79" s="1"/>
  <c r="AM10" i="79" s="1"/>
  <c r="AM11" i="79" s="1"/>
  <c r="AM12" i="79" s="1"/>
  <c r="AM13" i="79" s="1"/>
  <c r="AM14" i="79" s="1"/>
  <c r="AM15" i="79" s="1"/>
  <c r="AM16" i="79" s="1"/>
  <c r="AM17" i="79" s="1"/>
  <c r="AM18" i="79" s="1"/>
  <c r="AM19" i="79"/>
  <c r="AM20" i="79" s="1"/>
  <c r="AM21" i="79" s="1"/>
  <c r="AM22" i="79" s="1"/>
  <c r="AM23" i="79" s="1"/>
  <c r="AM24" i="79" s="1"/>
  <c r="AD6" i="79"/>
  <c r="AC6" i="79"/>
  <c r="AB6" i="79"/>
  <c r="AA6" i="79"/>
  <c r="Z6" i="79"/>
  <c r="Y6" i="79"/>
  <c r="P6" i="79"/>
  <c r="O6" i="79"/>
  <c r="N6" i="79"/>
  <c r="M6" i="79"/>
  <c r="L6" i="79"/>
  <c r="K6" i="79"/>
  <c r="I6" i="79"/>
  <c r="AC5" i="79"/>
  <c r="AB5" i="79"/>
  <c r="AA5" i="79"/>
  <c r="AD5" i="79" s="1"/>
  <c r="Z5" i="79"/>
  <c r="Y5" i="79"/>
  <c r="P5" i="79"/>
  <c r="O5" i="79"/>
  <c r="N5" i="79"/>
  <c r="M5" i="79"/>
  <c r="L5" i="79"/>
  <c r="K5" i="79"/>
  <c r="K3" i="79" s="1"/>
  <c r="I5" i="79"/>
  <c r="AR6" i="79" s="1"/>
  <c r="AR7" i="79" s="1"/>
  <c r="AR8" i="79" s="1"/>
  <c r="AR9" i="79" s="1"/>
  <c r="AR10" i="79" s="1"/>
  <c r="H3" i="79"/>
  <c r="G3" i="79"/>
  <c r="F3" i="79"/>
  <c r="I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c r="K111" i="43"/>
  <c r="K112" i="43" s="1"/>
  <c r="J111" i="43"/>
  <c r="J112" i="43" s="1"/>
  <c r="I111" i="43"/>
  <c r="I112" i="43" s="1"/>
  <c r="H111" i="43"/>
  <c r="H112" i="43" s="1"/>
  <c r="G111" i="43"/>
  <c r="G112" i="43" s="1"/>
  <c r="F111" i="43"/>
  <c r="F112" i="43" s="1"/>
  <c r="E111" i="43"/>
  <c r="E112" i="43" s="1"/>
  <c r="D111" i="43"/>
  <c r="D112" i="43"/>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c r="D95" i="43"/>
  <c r="B95" i="43"/>
  <c r="M94" i="43"/>
  <c r="N94" i="43" s="1"/>
  <c r="K94" i="43"/>
  <c r="J94" i="43"/>
  <c r="D94" i="43"/>
  <c r="M93" i="43"/>
  <c r="N93" i="43" s="1"/>
  <c r="K93" i="43"/>
  <c r="J93" i="43" s="1"/>
  <c r="F93" i="43"/>
  <c r="H98" i="43" s="1"/>
  <c r="D93" i="43"/>
  <c r="M90" i="43"/>
  <c r="N90" i="43" s="1"/>
  <c r="K90" i="43"/>
  <c r="J90" i="43"/>
  <c r="D90" i="43"/>
  <c r="M89" i="43"/>
  <c r="N89" i="43"/>
  <c r="K89" i="43"/>
  <c r="J89" i="43"/>
  <c r="D89" i="43"/>
  <c r="M88" i="43"/>
  <c r="N88" i="43" s="1"/>
  <c r="K88" i="43"/>
  <c r="J88" i="43" s="1"/>
  <c r="D88" i="43"/>
  <c r="M87" i="43"/>
  <c r="N87" i="43"/>
  <c r="K87" i="43"/>
  <c r="J87" i="43"/>
  <c r="D87" i="43"/>
  <c r="N86" i="43"/>
  <c r="M86" i="43"/>
  <c r="K86" i="43"/>
  <c r="J86" i="43"/>
  <c r="D86" i="43"/>
  <c r="B86" i="43"/>
  <c r="M85" i="43"/>
  <c r="N85" i="43"/>
  <c r="K85" i="43"/>
  <c r="J85" i="43" s="1"/>
  <c r="D85" i="43"/>
  <c r="B85" i="43"/>
  <c r="N84" i="43"/>
  <c r="M84" i="43"/>
  <c r="K84" i="43"/>
  <c r="J84" i="43"/>
  <c r="D84" i="43"/>
  <c r="M83" i="43"/>
  <c r="N83" i="43" s="1"/>
  <c r="K83" i="43"/>
  <c r="J83" i="43"/>
  <c r="F83" i="43"/>
  <c r="H85" i="43" s="1"/>
  <c r="D83" i="43"/>
  <c r="M80" i="43"/>
  <c r="N80" i="43" s="1"/>
  <c r="K80" i="43"/>
  <c r="J80" i="43"/>
  <c r="D80" i="43"/>
  <c r="N79" i="43"/>
  <c r="M79" i="43"/>
  <c r="K79" i="43"/>
  <c r="J79" i="43"/>
  <c r="D79" i="43"/>
  <c r="M78" i="43"/>
  <c r="N78" i="43"/>
  <c r="K78" i="43"/>
  <c r="J78" i="43" s="1"/>
  <c r="D78" i="43"/>
  <c r="M77" i="43"/>
  <c r="N77" i="43"/>
  <c r="K77" i="43"/>
  <c r="J77" i="43" s="1"/>
  <c r="D77" i="43"/>
  <c r="M76" i="43"/>
  <c r="N76" i="43"/>
  <c r="K76" i="43"/>
  <c r="J76" i="43"/>
  <c r="D76" i="43"/>
  <c r="M75" i="43"/>
  <c r="N75" i="43"/>
  <c r="K75" i="43"/>
  <c r="J75" i="43"/>
  <c r="D75" i="43"/>
  <c r="M74" i="43"/>
  <c r="N74" i="43"/>
  <c r="K74" i="43"/>
  <c r="J74" i="43"/>
  <c r="D74" i="43"/>
  <c r="B74" i="43"/>
  <c r="M73" i="43"/>
  <c r="N73" i="43" s="1"/>
  <c r="K73" i="43"/>
  <c r="J73" i="43"/>
  <c r="D73" i="43"/>
  <c r="M72" i="43"/>
  <c r="N72" i="43" s="1"/>
  <c r="K72" i="43"/>
  <c r="J72" i="43"/>
  <c r="F72" i="43"/>
  <c r="H80" i="43" s="1"/>
  <c r="D72" i="43"/>
  <c r="E72" i="43"/>
  <c r="B70" i="43" s="1"/>
  <c r="B63" i="43"/>
  <c r="B52" i="43"/>
  <c r="B50" i="43"/>
  <c r="H42" i="43"/>
  <c r="H41" i="43"/>
  <c r="H40" i="43"/>
  <c r="H39" i="43"/>
  <c r="H38" i="43"/>
  <c r="H37" i="43"/>
  <c r="Q32" i="43"/>
  <c r="P32" i="43"/>
  <c r="O32" i="43"/>
  <c r="E24" i="43"/>
  <c r="M32" i="43" s="1"/>
  <c r="N32" i="43"/>
  <c r="I23" i="43"/>
  <c r="G17" i="43"/>
  <c r="C13" i="43"/>
  <c r="AF10" i="43"/>
  <c r="AB10" i="43"/>
  <c r="Y10" i="43"/>
  <c r="C10" i="43"/>
  <c r="C11" i="43"/>
  <c r="AJ9" i="43"/>
  <c r="AJ10" i="43" s="1"/>
  <c r="AI9" i="43"/>
  <c r="AI10" i="43" s="1"/>
  <c r="AH9" i="43"/>
  <c r="AH10" i="43"/>
  <c r="AG9" i="43"/>
  <c r="AG10" i="43"/>
  <c r="AF9" i="43"/>
  <c r="AE9" i="43"/>
  <c r="AE10" i="43" s="1"/>
  <c r="AD9" i="43"/>
  <c r="AD10" i="43" s="1"/>
  <c r="AC9" i="43"/>
  <c r="AC10" i="43"/>
  <c r="AB9" i="43"/>
  <c r="AA9" i="43"/>
  <c r="AA10" i="43" s="1"/>
  <c r="Z9" i="43"/>
  <c r="Z10" i="43"/>
  <c r="C9" i="43"/>
  <c r="N1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BB11" i="3"/>
  <c r="BB13" i="3"/>
  <c r="C1" i="73"/>
  <c r="L1" i="73" s="1"/>
  <c r="AP6" i="1"/>
  <c r="AP7" i="1"/>
  <c r="AP8" i="1"/>
  <c r="AP9" i="1"/>
  <c r="AP10" i="1"/>
  <c r="AP11" i="1"/>
  <c r="AP12" i="1"/>
  <c r="AP13" i="1"/>
  <c r="G1" i="67"/>
  <c r="B43" i="1"/>
  <c r="B41" i="1" s="1"/>
  <c r="F32" i="67" s="1"/>
  <c r="F60" i="67" s="1"/>
  <c r="H13" i="3"/>
  <c r="L19" i="6"/>
  <c r="B52" i="1"/>
  <c r="F34" i="67"/>
  <c r="J49"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P23" i="31"/>
  <c r="N23" i="31"/>
  <c r="L23" i="31"/>
  <c r="J23" i="31"/>
  <c r="H23" i="31"/>
  <c r="F23" i="31"/>
  <c r="D23" i="31"/>
  <c r="F12" i="31"/>
  <c r="G12" i="31" s="1"/>
  <c r="H12" i="31"/>
  <c r="I12" i="31" s="1"/>
  <c r="J12" i="31" s="1"/>
  <c r="K12" i="31" s="1"/>
  <c r="L12" i="31" s="1"/>
  <c r="M12" i="31" s="1"/>
  <c r="N12" i="31" s="1"/>
  <c r="O12" i="31" s="1"/>
  <c r="P12" i="31" s="1"/>
  <c r="Q12" i="31" s="1"/>
  <c r="R12" i="31" s="1"/>
  <c r="S12" i="31" s="1"/>
  <c r="D12" i="31"/>
  <c r="E12" i="31" s="1"/>
  <c r="Q10" i="31"/>
  <c r="R10" i="31" s="1"/>
  <c r="S10" i="31" s="1"/>
  <c r="D10" i="31"/>
  <c r="E10" i="31"/>
  <c r="F10" i="31"/>
  <c r="G10" i="31" s="1"/>
  <c r="H10" i="31" s="1"/>
  <c r="I10" i="31" s="1"/>
  <c r="J10" i="31" s="1"/>
  <c r="K10" i="31" s="1"/>
  <c r="L10" i="31" s="1"/>
  <c r="M10" i="31" s="1"/>
  <c r="N10" i="31" s="1"/>
  <c r="O10" i="31" s="1"/>
  <c r="P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c r="R6" i="31" s="1"/>
  <c r="S6" i="31" s="1"/>
  <c r="S2" i="31"/>
  <c r="R2" i="31"/>
  <c r="Q2" i="31"/>
  <c r="P2" i="31"/>
  <c r="O2" i="31"/>
  <c r="N2" i="31"/>
  <c r="M2" i="31"/>
  <c r="L2" i="31"/>
  <c r="K2" i="31"/>
  <c r="J2" i="31"/>
  <c r="I2" i="31"/>
  <c r="H2" i="31"/>
  <c r="G2" i="31"/>
  <c r="F2" i="31"/>
  <c r="E2" i="31"/>
  <c r="D2" i="31"/>
  <c r="C2" i="31"/>
  <c r="B120" i="40"/>
  <c r="B118" i="40"/>
  <c r="H39" i="40" s="1"/>
  <c r="B116" i="40"/>
  <c r="H115" i="40"/>
  <c r="I115" i="40" s="1"/>
  <c r="J115" i="40" s="1"/>
  <c r="K115" i="40" s="1"/>
  <c r="L115" i="40" s="1"/>
  <c r="M115" i="40" s="1"/>
  <c r="D115" i="40"/>
  <c r="E115" i="40" s="1"/>
  <c r="F115" i="40"/>
  <c r="G115" i="40" s="1"/>
  <c r="D113" i="40"/>
  <c r="E113" i="40" s="1"/>
  <c r="F113" i="40"/>
  <c r="G113" i="40" s="1"/>
  <c r="H113" i="40" s="1"/>
  <c r="I113" i="40" s="1"/>
  <c r="J113" i="40" s="1"/>
  <c r="K113" i="40" s="1"/>
  <c r="L113" i="40" s="1"/>
  <c r="M113" i="40" s="1"/>
  <c r="H111" i="40"/>
  <c r="I111" i="40" s="1"/>
  <c r="J111" i="40" s="1"/>
  <c r="K111" i="40" s="1"/>
  <c r="L111" i="40" s="1"/>
  <c r="M111" i="40" s="1"/>
  <c r="D111" i="40"/>
  <c r="E111" i="40"/>
  <c r="F111" i="40" s="1"/>
  <c r="G111" i="40" s="1"/>
  <c r="M107" i="40"/>
  <c r="L107" i="40"/>
  <c r="K107" i="40"/>
  <c r="J107" i="40"/>
  <c r="I107" i="40"/>
  <c r="H107" i="40"/>
  <c r="G107" i="40"/>
  <c r="F107" i="40"/>
  <c r="E107" i="40"/>
  <c r="D107" i="40"/>
  <c r="C107" i="40"/>
  <c r="B105" i="40"/>
  <c r="B103" i="40"/>
  <c r="H32" i="40" s="1"/>
  <c r="J32" i="40"/>
  <c r="W32" i="40" s="1"/>
  <c r="B101" i="40"/>
  <c r="J31" i="40"/>
  <c r="D100" i="40"/>
  <c r="E100" i="40"/>
  <c r="F100" i="40"/>
  <c r="G100" i="40" s="1"/>
  <c r="H100" i="40" s="1"/>
  <c r="I100" i="40" s="1"/>
  <c r="J100" i="40" s="1"/>
  <c r="K100" i="40" s="1"/>
  <c r="L100" i="40" s="1"/>
  <c r="M100" i="40" s="1"/>
  <c r="D98" i="40"/>
  <c r="E98" i="40"/>
  <c r="F98" i="40"/>
  <c r="G98" i="40" s="1"/>
  <c r="H98" i="40" s="1"/>
  <c r="I98" i="40" s="1"/>
  <c r="J98" i="40" s="1"/>
  <c r="K98" i="40" s="1"/>
  <c r="L98" i="40" s="1"/>
  <c r="M98" i="40" s="1"/>
  <c r="F96" i="40"/>
  <c r="G96" i="40"/>
  <c r="H96" i="40" s="1"/>
  <c r="I96" i="40"/>
  <c r="J96" i="40" s="1"/>
  <c r="K96" i="40" s="1"/>
  <c r="L96" i="40" s="1"/>
  <c r="M96" i="40" s="1"/>
  <c r="D96" i="40"/>
  <c r="E96" i="40"/>
  <c r="B95" i="40"/>
  <c r="F27" i="40" s="1"/>
  <c r="S27" i="40" s="1"/>
  <c r="D94" i="40"/>
  <c r="E94" i="40" s="1"/>
  <c r="F94" i="40" s="1"/>
  <c r="G94" i="40" s="1"/>
  <c r="D92" i="40"/>
  <c r="E92" i="40"/>
  <c r="F92" i="40" s="1"/>
  <c r="G92" i="40" s="1"/>
  <c r="E90" i="40"/>
  <c r="F90" i="40" s="1"/>
  <c r="G90" i="40" s="1"/>
  <c r="D90" i="40"/>
  <c r="D88" i="40"/>
  <c r="E88" i="40" s="1"/>
  <c r="F88" i="40" s="1"/>
  <c r="G88" i="40" s="1"/>
  <c r="E86" i="40"/>
  <c r="F86" i="40" s="1"/>
  <c r="G86" i="40" s="1"/>
  <c r="D86" i="40"/>
  <c r="D84" i="40"/>
  <c r="E84" i="40" s="1"/>
  <c r="F84" i="40" s="1"/>
  <c r="G84" i="40" s="1"/>
  <c r="B81" i="40"/>
  <c r="F14" i="40"/>
  <c r="B79" i="40"/>
  <c r="H13" i="40" s="1"/>
  <c r="B77" i="40"/>
  <c r="D76" i="40"/>
  <c r="E76" i="40" s="1"/>
  <c r="F76" i="40" s="1"/>
  <c r="G76" i="40" s="1"/>
  <c r="H76" i="40" s="1"/>
  <c r="I76" i="40" s="1"/>
  <c r="J76" i="40" s="1"/>
  <c r="K76" i="40"/>
  <c r="L76" i="40" s="1"/>
  <c r="M76" i="40" s="1"/>
  <c r="M74" i="40"/>
  <c r="L74" i="40"/>
  <c r="K74" i="40"/>
  <c r="J74" i="40"/>
  <c r="I74" i="40"/>
  <c r="H74" i="40"/>
  <c r="G74" i="40"/>
  <c r="F74" i="40"/>
  <c r="E74" i="40"/>
  <c r="D74" i="40"/>
  <c r="C74" i="40"/>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I48" i="40"/>
  <c r="J48" i="40"/>
  <c r="G48" i="40"/>
  <c r="H48" i="40"/>
  <c r="E48" i="40"/>
  <c r="F48" i="40" s="1"/>
  <c r="P43" i="40"/>
  <c r="P42" i="40"/>
  <c r="K42" i="40"/>
  <c r="V41" i="40"/>
  <c r="T41" i="40"/>
  <c r="R41" i="40"/>
  <c r="P41" i="40"/>
  <c r="Q40" i="40"/>
  <c r="Z40" i="40"/>
  <c r="Q39" i="40"/>
  <c r="Z39" i="40"/>
  <c r="Z38" i="40"/>
  <c r="Q38" i="40"/>
  <c r="Q37" i="40"/>
  <c r="Z37" i="40" s="1"/>
  <c r="J37" i="40"/>
  <c r="H37" i="40"/>
  <c r="F37" i="40"/>
  <c r="AA37" i="40"/>
  <c r="AC36" i="40"/>
  <c r="Q36" i="40"/>
  <c r="Z36" i="40" s="1"/>
  <c r="J36" i="40"/>
  <c r="W36" i="40"/>
  <c r="H36" i="40"/>
  <c r="U36" i="40" s="1"/>
  <c r="F36" i="40"/>
  <c r="AA36" i="40" s="1"/>
  <c r="Q35" i="40"/>
  <c r="Z35" i="40" s="1"/>
  <c r="J35" i="40"/>
  <c r="AC35" i="40" s="1"/>
  <c r="H35" i="40"/>
  <c r="F35" i="40"/>
  <c r="AA35" i="40"/>
  <c r="Q34" i="40"/>
  <c r="Z34" i="40"/>
  <c r="J34" i="40"/>
  <c r="H34" i="40"/>
  <c r="AB34" i="40"/>
  <c r="F34" i="40"/>
  <c r="AA34" i="40" s="1"/>
  <c r="Q33" i="40"/>
  <c r="Z33" i="40"/>
  <c r="Q32" i="40"/>
  <c r="Z32" i="40" s="1"/>
  <c r="U32" i="40"/>
  <c r="Z31" i="40"/>
  <c r="Q31" i="40"/>
  <c r="Z30" i="40"/>
  <c r="Q30" i="40"/>
  <c r="C30" i="40"/>
  <c r="AA28" i="40"/>
  <c r="W28" i="40"/>
  <c r="Q28" i="40"/>
  <c r="Z28" i="40"/>
  <c r="J28" i="40"/>
  <c r="AC28" i="40"/>
  <c r="H28" i="40"/>
  <c r="AB28" i="40"/>
  <c r="F28" i="40"/>
  <c r="S28" i="40"/>
  <c r="C28" i="40"/>
  <c r="Q27" i="40"/>
  <c r="Z27" i="40"/>
  <c r="AA27" i="40"/>
  <c r="AC25" i="40"/>
  <c r="AB25" i="40"/>
  <c r="U25" i="40"/>
  <c r="Q25" i="40"/>
  <c r="Z25" i="40" s="1"/>
  <c r="J25" i="40"/>
  <c r="W25" i="40" s="1"/>
  <c r="H25" i="40"/>
  <c r="F25" i="40"/>
  <c r="AA25" i="40"/>
  <c r="AB23" i="40"/>
  <c r="Q23" i="40"/>
  <c r="Z23" i="40"/>
  <c r="J23" i="40"/>
  <c r="H23" i="40"/>
  <c r="U23" i="40"/>
  <c r="F23" i="40"/>
  <c r="AA23" i="40" s="1"/>
  <c r="AC21" i="40"/>
  <c r="Q21" i="40"/>
  <c r="Z21" i="40"/>
  <c r="J21" i="40"/>
  <c r="W21" i="40" s="1"/>
  <c r="H21" i="40"/>
  <c r="F21" i="40"/>
  <c r="AA21" i="40"/>
  <c r="W19" i="40"/>
  <c r="Q19" i="40"/>
  <c r="Z19" i="40" s="1"/>
  <c r="J19" i="40"/>
  <c r="AC19" i="40"/>
  <c r="H19" i="40"/>
  <c r="U19" i="40"/>
  <c r="F19" i="40"/>
  <c r="AA19" i="40"/>
  <c r="C19" i="40"/>
  <c r="AC17" i="40"/>
  <c r="W17" i="40"/>
  <c r="U17" i="40"/>
  <c r="Q17" i="40"/>
  <c r="Z17" i="40" s="1"/>
  <c r="J17" i="40"/>
  <c r="H17" i="40"/>
  <c r="AB17" i="40"/>
  <c r="F17" i="40"/>
  <c r="AA17" i="40" s="1"/>
  <c r="Z15" i="40"/>
  <c r="W15" i="40"/>
  <c r="Q15" i="40"/>
  <c r="J15" i="40"/>
  <c r="AC15" i="40"/>
  <c r="H15" i="40"/>
  <c r="F15" i="40"/>
  <c r="AA15" i="40" s="1"/>
  <c r="AC14" i="40"/>
  <c r="Q14" i="40"/>
  <c r="Z14" i="40"/>
  <c r="J14" i="40"/>
  <c r="W14" i="40" s="1"/>
  <c r="H14" i="40"/>
  <c r="U14" i="40" s="1"/>
  <c r="Q13" i="40"/>
  <c r="Z13" i="40"/>
  <c r="J13" i="40"/>
  <c r="F13" i="40"/>
  <c r="AA13" i="40" s="1"/>
  <c r="Q12" i="40"/>
  <c r="Z12" i="40" s="1"/>
  <c r="F12" i="40"/>
  <c r="Q11" i="40"/>
  <c r="Z11" i="40" s="1"/>
  <c r="J11" i="40"/>
  <c r="H11" i="40"/>
  <c r="AB11" i="40" s="1"/>
  <c r="F11" i="40"/>
  <c r="S11" i="40" s="1"/>
  <c r="Q10" i="40"/>
  <c r="Z10" i="40" s="1"/>
  <c r="Q9" i="40"/>
  <c r="Z9" i="40" s="1"/>
  <c r="J9" i="40"/>
  <c r="AC9" i="40"/>
  <c r="H9" i="40"/>
  <c r="AB9" i="40" s="1"/>
  <c r="F9" i="40"/>
  <c r="AA9" i="40" s="1"/>
  <c r="W8" i="40"/>
  <c r="U8" i="40"/>
  <c r="J8" i="40"/>
  <c r="AC8" i="40"/>
  <c r="H8" i="40"/>
  <c r="AB8" i="40"/>
  <c r="F8" i="40"/>
  <c r="S8" i="40" s="1"/>
  <c r="B130" i="39"/>
  <c r="H45" i="39" s="1"/>
  <c r="U45" i="39" s="1"/>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c r="F119" i="39" s="1"/>
  <c r="G119" i="39" s="1"/>
  <c r="H119" i="39"/>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c r="G108" i="39" s="1"/>
  <c r="H108" i="39" s="1"/>
  <c r="I108" i="39" s="1"/>
  <c r="J108" i="39" s="1"/>
  <c r="K108" i="39" s="1"/>
  <c r="L108" i="39"/>
  <c r="M108" i="39" s="1"/>
  <c r="I106" i="39"/>
  <c r="J106" i="39" s="1"/>
  <c r="K106" i="39" s="1"/>
  <c r="L106" i="39" s="1"/>
  <c r="M106" i="39" s="1"/>
  <c r="D106" i="39"/>
  <c r="E106" i="39" s="1"/>
  <c r="F106" i="39" s="1"/>
  <c r="G106" i="39" s="1"/>
  <c r="H106" i="39" s="1"/>
  <c r="D104" i="39"/>
  <c r="E104" i="39" s="1"/>
  <c r="F104" i="39" s="1"/>
  <c r="G104" i="39"/>
  <c r="H104" i="39"/>
  <c r="I104" i="39" s="1"/>
  <c r="J104" i="39"/>
  <c r="K104" i="39" s="1"/>
  <c r="L104" i="39" s="1"/>
  <c r="M104" i="39" s="1"/>
  <c r="B103" i="39"/>
  <c r="D102" i="39"/>
  <c r="E102" i="39" s="1"/>
  <c r="F102" i="39" s="1"/>
  <c r="G102" i="39" s="1"/>
  <c r="F100" i="39"/>
  <c r="G100" i="39" s="1"/>
  <c r="D100" i="39"/>
  <c r="E100" i="39" s="1"/>
  <c r="D98" i="39"/>
  <c r="E98" i="39"/>
  <c r="F98" i="39"/>
  <c r="G98" i="39" s="1"/>
  <c r="F96" i="39"/>
  <c r="G96" i="39"/>
  <c r="D96" i="39"/>
  <c r="E96" i="39" s="1"/>
  <c r="G94" i="39"/>
  <c r="D94" i="39"/>
  <c r="E94" i="39" s="1"/>
  <c r="F94" i="39" s="1"/>
  <c r="D92" i="39"/>
  <c r="E92" i="39"/>
  <c r="F92" i="39"/>
  <c r="G92" i="39" s="1"/>
  <c r="F90" i="39"/>
  <c r="G90" i="39" s="1"/>
  <c r="D90" i="39"/>
  <c r="E90" i="39"/>
  <c r="E88" i="39"/>
  <c r="F88" i="39" s="1"/>
  <c r="G88" i="39" s="1"/>
  <c r="D88" i="39"/>
  <c r="B85" i="39"/>
  <c r="B83" i="39"/>
  <c r="B81" i="39"/>
  <c r="G80" i="39"/>
  <c r="H80" i="39" s="1"/>
  <c r="I80" i="39" s="1"/>
  <c r="J80" i="39" s="1"/>
  <c r="K80" i="39" s="1"/>
  <c r="L80" i="39" s="1"/>
  <c r="M80" i="39" s="1"/>
  <c r="E80" i="39"/>
  <c r="F80" i="39" s="1"/>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s="1"/>
  <c r="C59" i="39" s="1"/>
  <c r="H58" i="39"/>
  <c r="I58" i="39" s="1"/>
  <c r="C58" i="39" s="1"/>
  <c r="H57" i="39"/>
  <c r="I57" i="39" s="1"/>
  <c r="C57" i="39" s="1"/>
  <c r="I53" i="39"/>
  <c r="J53" i="39"/>
  <c r="H53" i="39"/>
  <c r="G53" i="39"/>
  <c r="E53" i="39"/>
  <c r="F53" i="39"/>
  <c r="P48" i="39"/>
  <c r="P47" i="39"/>
  <c r="K47" i="39"/>
  <c r="V46" i="39"/>
  <c r="T46" i="39"/>
  <c r="R46" i="39"/>
  <c r="P46" i="39"/>
  <c r="AC45" i="39"/>
  <c r="Q45" i="39"/>
  <c r="Z45" i="39"/>
  <c r="J45" i="39"/>
  <c r="W45" i="39" s="1"/>
  <c r="F45" i="39"/>
  <c r="AA45" i="39" s="1"/>
  <c r="Q44" i="39"/>
  <c r="Z44" i="39" s="1"/>
  <c r="J44" i="39"/>
  <c r="AC44" i="39" s="1"/>
  <c r="Z43" i="39"/>
  <c r="Q43" i="39"/>
  <c r="H43" i="39"/>
  <c r="Q42" i="39"/>
  <c r="Z42" i="39"/>
  <c r="J42" i="39"/>
  <c r="AC42" i="39" s="1"/>
  <c r="W42" i="39"/>
  <c r="H42" i="39"/>
  <c r="AB42" i="39" s="1"/>
  <c r="F42" i="39"/>
  <c r="AA42" i="39"/>
  <c r="U41" i="39"/>
  <c r="Q41" i="39"/>
  <c r="Z41" i="39"/>
  <c r="J41" i="39"/>
  <c r="W41" i="39" s="1"/>
  <c r="H41" i="39"/>
  <c r="AB41" i="39"/>
  <c r="F41" i="39"/>
  <c r="AA41" i="39" s="1"/>
  <c r="Z40" i="39"/>
  <c r="W40" i="39"/>
  <c r="Q40" i="39"/>
  <c r="J40" i="39"/>
  <c r="AC40" i="39" s="1"/>
  <c r="H40" i="39"/>
  <c r="AB40" i="39"/>
  <c r="F40" i="39"/>
  <c r="AA40" i="39" s="1"/>
  <c r="Z39" i="39"/>
  <c r="W39" i="39"/>
  <c r="Q39" i="39"/>
  <c r="J39" i="39"/>
  <c r="AC39" i="39"/>
  <c r="H39" i="39"/>
  <c r="F39" i="39"/>
  <c r="AA39" i="39"/>
  <c r="AB38" i="39"/>
  <c r="Q38" i="39"/>
  <c r="Z38" i="39" s="1"/>
  <c r="J38" i="39"/>
  <c r="AC38" i="39" s="1"/>
  <c r="W38" i="39"/>
  <c r="H38" i="39"/>
  <c r="U38" i="39"/>
  <c r="F38" i="39"/>
  <c r="AA38" i="39"/>
  <c r="Q37" i="39"/>
  <c r="Z37" i="39" s="1"/>
  <c r="Q36" i="39"/>
  <c r="Z36" i="39" s="1"/>
  <c r="F36" i="39"/>
  <c r="Z35" i="39"/>
  <c r="W35" i="39"/>
  <c r="Q35" i="39"/>
  <c r="J35" i="39"/>
  <c r="AC35" i="39" s="1"/>
  <c r="H35" i="39"/>
  <c r="F35" i="39"/>
  <c r="AA35" i="39" s="1"/>
  <c r="AA34" i="39"/>
  <c r="W34" i="39"/>
  <c r="Q34" i="39"/>
  <c r="Z34" i="39" s="1"/>
  <c r="J34" i="39"/>
  <c r="AC34" i="39"/>
  <c r="H34" i="39"/>
  <c r="AB34" i="39" s="1"/>
  <c r="F34" i="39"/>
  <c r="S34" i="39"/>
  <c r="AB32" i="39"/>
  <c r="Q32" i="39"/>
  <c r="Z32" i="39" s="1"/>
  <c r="J32" i="39"/>
  <c r="AC32" i="39" s="1"/>
  <c r="H32" i="39"/>
  <c r="U32" i="39"/>
  <c r="F32" i="39"/>
  <c r="AA32" i="39" s="1"/>
  <c r="S32" i="39"/>
  <c r="Z31" i="39"/>
  <c r="Q31" i="39"/>
  <c r="J31" i="39"/>
  <c r="H31" i="39"/>
  <c r="AB31" i="39"/>
  <c r="F31" i="39"/>
  <c r="AA31" i="39" s="1"/>
  <c r="W29" i="39"/>
  <c r="Q29" i="39"/>
  <c r="Z29" i="39" s="1"/>
  <c r="J29" i="39"/>
  <c r="AC29" i="39"/>
  <c r="H29" i="39"/>
  <c r="F29" i="39"/>
  <c r="AA29" i="39"/>
  <c r="AC27" i="39"/>
  <c r="AB27" i="39"/>
  <c r="Q27" i="39"/>
  <c r="Z27" i="39"/>
  <c r="J27" i="39"/>
  <c r="W27" i="39" s="1"/>
  <c r="H27" i="39"/>
  <c r="U27" i="39" s="1"/>
  <c r="F27" i="39"/>
  <c r="AA27" i="39" s="1"/>
  <c r="Q25" i="39"/>
  <c r="Z25" i="39" s="1"/>
  <c r="J25" i="39"/>
  <c r="H25" i="39"/>
  <c r="F25" i="39"/>
  <c r="AA25" i="39"/>
  <c r="Q23" i="39"/>
  <c r="Z23" i="39"/>
  <c r="J23" i="39"/>
  <c r="H23" i="39"/>
  <c r="F23" i="39"/>
  <c r="AA23" i="39" s="1"/>
  <c r="C23" i="39"/>
  <c r="Z21" i="39"/>
  <c r="Q21" i="39"/>
  <c r="J21" i="39"/>
  <c r="H21" i="39"/>
  <c r="F21" i="39"/>
  <c r="AA21" i="39"/>
  <c r="W19" i="39"/>
  <c r="Q19" i="39"/>
  <c r="Z19" i="39"/>
  <c r="J19" i="39"/>
  <c r="AC19" i="39" s="1"/>
  <c r="H19" i="39"/>
  <c r="U19" i="39" s="1"/>
  <c r="F19" i="39"/>
  <c r="AA19" i="39"/>
  <c r="Q17" i="39"/>
  <c r="Z17" i="39" s="1"/>
  <c r="J17" i="39"/>
  <c r="AC17" i="39" s="1"/>
  <c r="H17" i="39"/>
  <c r="F17" i="39"/>
  <c r="AA17" i="39" s="1"/>
  <c r="W15" i="39"/>
  <c r="Q15" i="39"/>
  <c r="Z15" i="39" s="1"/>
  <c r="J15" i="39"/>
  <c r="AC15" i="39" s="1"/>
  <c r="H15" i="39"/>
  <c r="U15" i="39" s="1"/>
  <c r="F15" i="39"/>
  <c r="AA15" i="39" s="1"/>
  <c r="Z14" i="39"/>
  <c r="Q14" i="39"/>
  <c r="J14" i="39"/>
  <c r="W14" i="39" s="1"/>
  <c r="H14" i="39"/>
  <c r="F14" i="39"/>
  <c r="AA14" i="39" s="1"/>
  <c r="AB13" i="39"/>
  <c r="Q13" i="39"/>
  <c r="Z13" i="39" s="1"/>
  <c r="J13" i="39"/>
  <c r="H13" i="39"/>
  <c r="U13" i="39"/>
  <c r="F13" i="39"/>
  <c r="AA13" i="39" s="1"/>
  <c r="Z12" i="39"/>
  <c r="Q12" i="39"/>
  <c r="F12" i="39"/>
  <c r="S12" i="39" s="1"/>
  <c r="AA12" i="39"/>
  <c r="Z11" i="39"/>
  <c r="Q11" i="39"/>
  <c r="J11" i="39"/>
  <c r="W11" i="39" s="1"/>
  <c r="H11" i="39"/>
  <c r="AB11" i="39" s="1"/>
  <c r="F11" i="39"/>
  <c r="AA11" i="39" s="1"/>
  <c r="Q10" i="39"/>
  <c r="Z10" i="39"/>
  <c r="AB9" i="39"/>
  <c r="Q9" i="39"/>
  <c r="Z9" i="39" s="1"/>
  <c r="J9" i="39"/>
  <c r="AC9" i="39"/>
  <c r="H9" i="39"/>
  <c r="U9" i="39" s="1"/>
  <c r="F9" i="39"/>
  <c r="U8" i="39"/>
  <c r="J8" i="39"/>
  <c r="AC8" i="39" s="1"/>
  <c r="H8" i="39"/>
  <c r="AB8" i="39" s="1"/>
  <c r="F8" i="39"/>
  <c r="S8" i="39"/>
  <c r="B95" i="36"/>
  <c r="H34" i="36" s="1"/>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D83" i="36"/>
  <c r="E83" i="36"/>
  <c r="F83" i="36" s="1"/>
  <c r="G83" i="36" s="1"/>
  <c r="H83" i="36" s="1"/>
  <c r="I83" i="36" s="1"/>
  <c r="J83" i="36" s="1"/>
  <c r="K83" i="36" s="1"/>
  <c r="L83" i="36" s="1"/>
  <c r="M83" i="36" s="1"/>
  <c r="D81" i="36"/>
  <c r="E81" i="36" s="1"/>
  <c r="F81" i="36" s="1"/>
  <c r="G81" i="36" s="1"/>
  <c r="H81" i="36" s="1"/>
  <c r="I81" i="36" s="1"/>
  <c r="J81" i="36"/>
  <c r="K81" i="36" s="1"/>
  <c r="L81" i="36" s="1"/>
  <c r="M81" i="36" s="1"/>
  <c r="G79" i="36"/>
  <c r="F79" i="36"/>
  <c r="E79" i="36"/>
  <c r="D79" i="36"/>
  <c r="C79" i="36"/>
  <c r="E78" i="36"/>
  <c r="F78" i="36" s="1"/>
  <c r="G78" i="36" s="1"/>
  <c r="H78" i="36" s="1"/>
  <c r="I78" i="36" s="1"/>
  <c r="J78" i="36"/>
  <c r="K78" i="36" s="1"/>
  <c r="L78" i="36" s="1"/>
  <c r="M78" i="36" s="1"/>
  <c r="D78" i="36"/>
  <c r="B75" i="36"/>
  <c r="B73" i="36"/>
  <c r="B71" i="36"/>
  <c r="D70" i="36"/>
  <c r="D68" i="36"/>
  <c r="E68" i="36" s="1"/>
  <c r="F68" i="36" s="1"/>
  <c r="G68" i="36" s="1"/>
  <c r="D66" i="36"/>
  <c r="E66" i="36"/>
  <c r="F66" i="36"/>
  <c r="G66" i="36"/>
  <c r="E64" i="36"/>
  <c r="F64" i="36" s="1"/>
  <c r="G64" i="36" s="1"/>
  <c r="D64" i="36"/>
  <c r="F62" i="36"/>
  <c r="G62" i="36" s="1"/>
  <c r="D62" i="36"/>
  <c r="E62" i="36" s="1"/>
  <c r="B59" i="36"/>
  <c r="H13" i="36"/>
  <c r="B57" i="36"/>
  <c r="F12" i="36" s="1"/>
  <c r="B55" i="36"/>
  <c r="C51" i="36"/>
  <c r="J42" i="36"/>
  <c r="I42" i="36"/>
  <c r="G42" i="36"/>
  <c r="H42" i="36" s="1"/>
  <c r="E42" i="36"/>
  <c r="F42" i="36" s="1"/>
  <c r="P37" i="36"/>
  <c r="P36" i="36"/>
  <c r="K36" i="36"/>
  <c r="V35" i="36"/>
  <c r="T35" i="36"/>
  <c r="R35" i="36"/>
  <c r="P35" i="36"/>
  <c r="Z34" i="36"/>
  <c r="Q34" i="36"/>
  <c r="J34" i="36"/>
  <c r="AC34" i="36" s="1"/>
  <c r="F34" i="36"/>
  <c r="Q33" i="36"/>
  <c r="Z33" i="36"/>
  <c r="Q32" i="36"/>
  <c r="Z32" i="36" s="1"/>
  <c r="AC31" i="36"/>
  <c r="Q31" i="36"/>
  <c r="Z31" i="36" s="1"/>
  <c r="J31" i="36"/>
  <c r="W31" i="36" s="1"/>
  <c r="H31" i="36"/>
  <c r="AB31" i="36"/>
  <c r="F31" i="36"/>
  <c r="AA31" i="36" s="1"/>
  <c r="AA30" i="36"/>
  <c r="Q30" i="36"/>
  <c r="Z30" i="36" s="1"/>
  <c r="J30" i="36"/>
  <c r="AC30" i="36" s="1"/>
  <c r="H30" i="36"/>
  <c r="F30" i="36"/>
  <c r="S30" i="36"/>
  <c r="Z29" i="36"/>
  <c r="Q29" i="36"/>
  <c r="J29" i="36"/>
  <c r="H29" i="36"/>
  <c r="AB29" i="36"/>
  <c r="F29" i="36"/>
  <c r="AC28" i="36"/>
  <c r="AB28" i="36"/>
  <c r="W28" i="36"/>
  <c r="U28" i="36"/>
  <c r="Q28" i="36"/>
  <c r="Z28" i="36" s="1"/>
  <c r="J28" i="36"/>
  <c r="H28" i="36"/>
  <c r="F28" i="36"/>
  <c r="AA28" i="36"/>
  <c r="Q27" i="36"/>
  <c r="Z27" i="36" s="1"/>
  <c r="J27" i="36"/>
  <c r="W27" i="36" s="1"/>
  <c r="H27" i="36"/>
  <c r="F27" i="36"/>
  <c r="AA27" i="36" s="1"/>
  <c r="S27" i="36"/>
  <c r="Z26" i="36"/>
  <c r="Q26" i="36"/>
  <c r="J26" i="36"/>
  <c r="AC26" i="36"/>
  <c r="H26" i="36"/>
  <c r="AB26" i="36" s="1"/>
  <c r="U26" i="36"/>
  <c r="F26" i="36"/>
  <c r="AA25" i="36"/>
  <c r="Q25" i="36"/>
  <c r="Z25" i="36"/>
  <c r="F25" i="36"/>
  <c r="S25" i="36" s="1"/>
  <c r="Q24" i="36"/>
  <c r="Z24" i="36" s="1"/>
  <c r="F24" i="36"/>
  <c r="AA24" i="36" s="1"/>
  <c r="Q23" i="36"/>
  <c r="Z23" i="36"/>
  <c r="J23" i="36"/>
  <c r="W23" i="36"/>
  <c r="AA22" i="36"/>
  <c r="Q22" i="36"/>
  <c r="Z22" i="36" s="1"/>
  <c r="J22" i="36"/>
  <c r="AC22" i="36"/>
  <c r="H22" i="36"/>
  <c r="F22" i="36"/>
  <c r="S22" i="36"/>
  <c r="W20" i="36"/>
  <c r="Q20" i="36"/>
  <c r="Z20" i="36" s="1"/>
  <c r="J20" i="36"/>
  <c r="AC20" i="36" s="1"/>
  <c r="H20" i="36"/>
  <c r="AB20" i="36" s="1"/>
  <c r="F20" i="36"/>
  <c r="AA20" i="36"/>
  <c r="C20" i="36"/>
  <c r="AA18" i="36"/>
  <c r="Z18" i="36"/>
  <c r="Q18" i="36"/>
  <c r="J18" i="36"/>
  <c r="H18" i="36"/>
  <c r="AB18" i="36" s="1"/>
  <c r="F18" i="36"/>
  <c r="S18" i="36"/>
  <c r="C18" i="36"/>
  <c r="Q16" i="36"/>
  <c r="Z16" i="36"/>
  <c r="J16" i="36"/>
  <c r="AC16" i="36" s="1"/>
  <c r="H16" i="36"/>
  <c r="AB16" i="36" s="1"/>
  <c r="F16" i="36"/>
  <c r="C16" i="36"/>
  <c r="Z14" i="36"/>
  <c r="Q14" i="36"/>
  <c r="J14" i="36"/>
  <c r="AC14" i="36" s="1"/>
  <c r="H14" i="36"/>
  <c r="AB14" i="36"/>
  <c r="F14" i="36"/>
  <c r="S14" i="36" s="1"/>
  <c r="C14" i="36"/>
  <c r="AC13" i="36"/>
  <c r="AA13" i="36"/>
  <c r="W13" i="36"/>
  <c r="S13" i="36"/>
  <c r="Q13" i="36"/>
  <c r="Z13" i="36"/>
  <c r="J13" i="36"/>
  <c r="F13" i="36"/>
  <c r="AC12" i="36"/>
  <c r="AB12" i="36"/>
  <c r="U12" i="36"/>
  <c r="Q12" i="36"/>
  <c r="Z12" i="36"/>
  <c r="J12" i="36"/>
  <c r="W12" i="36" s="1"/>
  <c r="H12" i="36"/>
  <c r="AA12" i="36"/>
  <c r="Q11" i="36"/>
  <c r="Z11" i="36"/>
  <c r="AA10" i="36"/>
  <c r="Q10" i="36"/>
  <c r="Z10" i="36" s="1"/>
  <c r="J10" i="36"/>
  <c r="AC10" i="36"/>
  <c r="H10" i="36"/>
  <c r="F10" i="36"/>
  <c r="S10" i="36"/>
  <c r="Q9" i="36"/>
  <c r="Z9" i="36"/>
  <c r="AB8" i="36"/>
  <c r="J8" i="36"/>
  <c r="H8" i="36"/>
  <c r="U8" i="36" s="1"/>
  <c r="F8" i="36"/>
  <c r="D3" i="36"/>
  <c r="B2" i="36"/>
  <c r="B101" i="35"/>
  <c r="J36" i="35"/>
  <c r="B99" i="35"/>
  <c r="F35" i="35" s="1"/>
  <c r="B97" i="35"/>
  <c r="F34" i="35" s="1"/>
  <c r="D96" i="35"/>
  <c r="E96" i="35" s="1"/>
  <c r="F96" i="35" s="1"/>
  <c r="G96" i="35" s="1"/>
  <c r="I94" i="35"/>
  <c r="J94" i="35" s="1"/>
  <c r="K94" i="35" s="1"/>
  <c r="L94" i="35" s="1"/>
  <c r="M94" i="35" s="1"/>
  <c r="D94" i="35"/>
  <c r="E94" i="35" s="1"/>
  <c r="F94" i="35" s="1"/>
  <c r="G94" i="35" s="1"/>
  <c r="H94" i="35" s="1"/>
  <c r="M90" i="35"/>
  <c r="L90" i="35"/>
  <c r="K90" i="35"/>
  <c r="J90" i="35"/>
  <c r="I90" i="35"/>
  <c r="H90" i="35"/>
  <c r="G90" i="35"/>
  <c r="F90" i="35"/>
  <c r="E90" i="35"/>
  <c r="D90" i="35"/>
  <c r="C90" i="35"/>
  <c r="F89" i="35"/>
  <c r="G89" i="35" s="1"/>
  <c r="H89" i="35" s="1"/>
  <c r="I89" i="35" s="1"/>
  <c r="J89" i="35" s="1"/>
  <c r="K89" i="35"/>
  <c r="L89" i="35" s="1"/>
  <c r="M89" i="35" s="1"/>
  <c r="D89" i="35"/>
  <c r="E89" i="35" s="1"/>
  <c r="H87" i="35"/>
  <c r="I87" i="35" s="1"/>
  <c r="J87" i="35" s="1"/>
  <c r="K87" i="35" s="1"/>
  <c r="L87" i="35" s="1"/>
  <c r="M87" i="35" s="1"/>
  <c r="D87" i="35"/>
  <c r="E87" i="35" s="1"/>
  <c r="F87" i="35" s="1"/>
  <c r="G87" i="35" s="1"/>
  <c r="G85" i="35"/>
  <c r="F85" i="35"/>
  <c r="E85" i="35"/>
  <c r="D85" i="35"/>
  <c r="C85" i="35"/>
  <c r="F84" i="35"/>
  <c r="G84" i="35" s="1"/>
  <c r="H84" i="35" s="1"/>
  <c r="I84" i="35"/>
  <c r="J84" i="35" s="1"/>
  <c r="K84" i="35" s="1"/>
  <c r="L84" i="35" s="1"/>
  <c r="M84" i="35" s="1"/>
  <c r="E84" i="35"/>
  <c r="D84" i="35"/>
  <c r="D80" i="35"/>
  <c r="E80" i="35" s="1"/>
  <c r="F80" i="35" s="1"/>
  <c r="G80" i="35" s="1"/>
  <c r="H80" i="35" s="1"/>
  <c r="I80" i="35" s="1"/>
  <c r="J80" i="35" s="1"/>
  <c r="K80" i="35" s="1"/>
  <c r="L80" i="35" s="1"/>
  <c r="M80" i="35" s="1"/>
  <c r="B77" i="35"/>
  <c r="B75" i="35"/>
  <c r="B73" i="35"/>
  <c r="H23" i="35" s="1"/>
  <c r="D72" i="35"/>
  <c r="E72" i="35"/>
  <c r="F72" i="35" s="1"/>
  <c r="G72" i="35"/>
  <c r="D70" i="35"/>
  <c r="E70" i="35" s="1"/>
  <c r="F70" i="35" s="1"/>
  <c r="G70" i="35" s="1"/>
  <c r="D68" i="35"/>
  <c r="E68" i="35"/>
  <c r="F68" i="35" s="1"/>
  <c r="G68" i="35" s="1"/>
  <c r="D66" i="35"/>
  <c r="E66" i="35"/>
  <c r="F66" i="35" s="1"/>
  <c r="G66" i="35" s="1"/>
  <c r="D64" i="35"/>
  <c r="E64" i="35"/>
  <c r="F64" i="35" s="1"/>
  <c r="G64" i="35" s="1"/>
  <c r="B61" i="35"/>
  <c r="B59" i="35"/>
  <c r="F12" i="35" s="1"/>
  <c r="S12" i="35" s="1"/>
  <c r="B57" i="35"/>
  <c r="C53" i="35"/>
  <c r="J9" i="35" s="1"/>
  <c r="J44" i="35"/>
  <c r="I44" i="35"/>
  <c r="G44" i="35"/>
  <c r="H44" i="35"/>
  <c r="E44" i="35"/>
  <c r="F44" i="35"/>
  <c r="P39" i="35"/>
  <c r="P38" i="35"/>
  <c r="K38" i="35"/>
  <c r="B38" i="35"/>
  <c r="V37" i="35"/>
  <c r="T37" i="35"/>
  <c r="R37" i="35"/>
  <c r="P37" i="35"/>
  <c r="Q36" i="35"/>
  <c r="Z36" i="35" s="1"/>
  <c r="H36" i="35"/>
  <c r="F36" i="35"/>
  <c r="Q35" i="35"/>
  <c r="Z35" i="35" s="1"/>
  <c r="Z34" i="35"/>
  <c r="Q34" i="35"/>
  <c r="H34" i="35"/>
  <c r="AB33" i="35"/>
  <c r="AA33" i="35"/>
  <c r="Q33" i="35"/>
  <c r="Z33" i="35" s="1"/>
  <c r="J33" i="35"/>
  <c r="H33" i="35"/>
  <c r="U33" i="35" s="1"/>
  <c r="F33" i="35"/>
  <c r="S33" i="35" s="1"/>
  <c r="AB32" i="35"/>
  <c r="Q32" i="35"/>
  <c r="Z32" i="35" s="1"/>
  <c r="J32" i="35"/>
  <c r="AC32" i="35" s="1"/>
  <c r="H32" i="35"/>
  <c r="U32" i="35" s="1"/>
  <c r="F32" i="35"/>
  <c r="Z31" i="35"/>
  <c r="Q31" i="35"/>
  <c r="J31" i="35"/>
  <c r="H31" i="35"/>
  <c r="AB31" i="35" s="1"/>
  <c r="F31" i="35"/>
  <c r="AA31" i="35" s="1"/>
  <c r="Q30" i="35"/>
  <c r="Z30" i="35" s="1"/>
  <c r="J30" i="35"/>
  <c r="AC30" i="35" s="1"/>
  <c r="H30" i="35"/>
  <c r="F30" i="35"/>
  <c r="AA30" i="35"/>
  <c r="AC29" i="35"/>
  <c r="AB29" i="35"/>
  <c r="Q29" i="35"/>
  <c r="Z29" i="35" s="1"/>
  <c r="J29" i="35"/>
  <c r="W29" i="35"/>
  <c r="H29" i="35"/>
  <c r="U29" i="35"/>
  <c r="F29" i="35"/>
  <c r="AA29" i="35"/>
  <c r="Z28" i="35"/>
  <c r="Q28" i="35"/>
  <c r="J28" i="35"/>
  <c r="AC28" i="35"/>
  <c r="H28" i="35"/>
  <c r="F28" i="35"/>
  <c r="AA28" i="35"/>
  <c r="AA27" i="35"/>
  <c r="Q27" i="35"/>
  <c r="Z27" i="35" s="1"/>
  <c r="J27" i="35"/>
  <c r="H27" i="35"/>
  <c r="AB27" i="35" s="1"/>
  <c r="F27" i="35"/>
  <c r="S27" i="35" s="1"/>
  <c r="Z26" i="35"/>
  <c r="Q26" i="35"/>
  <c r="C26" i="35"/>
  <c r="Q25" i="35"/>
  <c r="Z25" i="35"/>
  <c r="Q24" i="35"/>
  <c r="Z24" i="35" s="1"/>
  <c r="F24" i="35"/>
  <c r="AA24" i="35" s="1"/>
  <c r="Q23" i="35"/>
  <c r="Z23" i="35" s="1"/>
  <c r="F23" i="35"/>
  <c r="AA22" i="35"/>
  <c r="W22" i="35"/>
  <c r="Q22" i="35"/>
  <c r="Z22" i="35" s="1"/>
  <c r="J22" i="35"/>
  <c r="AC22" i="35"/>
  <c r="H22" i="35"/>
  <c r="AB22" i="35" s="1"/>
  <c r="F22" i="35"/>
  <c r="S22" i="35"/>
  <c r="Q20" i="35"/>
  <c r="Z20" i="35" s="1"/>
  <c r="J20" i="35"/>
  <c r="H20" i="35"/>
  <c r="F20" i="35"/>
  <c r="AA20" i="35"/>
  <c r="C20" i="35"/>
  <c r="Q18" i="35"/>
  <c r="Z18" i="35" s="1"/>
  <c r="J18" i="35"/>
  <c r="AC18" i="35" s="1"/>
  <c r="H18" i="35"/>
  <c r="U18" i="35" s="1"/>
  <c r="AB18" i="35"/>
  <c r="F18" i="35"/>
  <c r="AA18" i="35" s="1"/>
  <c r="C18" i="35"/>
  <c r="AB16" i="35"/>
  <c r="Z16" i="35"/>
  <c r="Q16" i="35"/>
  <c r="J16" i="35"/>
  <c r="H16" i="35"/>
  <c r="U16" i="35" s="1"/>
  <c r="F16" i="35"/>
  <c r="AA16" i="35" s="1"/>
  <c r="C16" i="35"/>
  <c r="AC14" i="35"/>
  <c r="Q14" i="35"/>
  <c r="Z14" i="35" s="1"/>
  <c r="J14" i="35"/>
  <c r="W14" i="35" s="1"/>
  <c r="H14" i="35"/>
  <c r="F14" i="35"/>
  <c r="AA14" i="35" s="1"/>
  <c r="C14" i="35"/>
  <c r="Q13" i="35"/>
  <c r="Z13" i="35" s="1"/>
  <c r="Q12" i="35"/>
  <c r="Z12" i="35" s="1"/>
  <c r="Z11" i="35"/>
  <c r="Q11" i="35"/>
  <c r="J11" i="35"/>
  <c r="AC11" i="35"/>
  <c r="H11" i="35"/>
  <c r="U11" i="35" s="1"/>
  <c r="F11" i="35"/>
  <c r="AA11" i="35"/>
  <c r="Z10" i="35"/>
  <c r="Q10" i="35"/>
  <c r="J10" i="35"/>
  <c r="AC10" i="35" s="1"/>
  <c r="H10" i="35"/>
  <c r="AB10" i="35" s="1"/>
  <c r="F10" i="35"/>
  <c r="AA10" i="35" s="1"/>
  <c r="S10" i="35"/>
  <c r="Q9" i="35"/>
  <c r="Z9" i="35" s="1"/>
  <c r="AB8" i="35"/>
  <c r="U8" i="35"/>
  <c r="S8" i="35"/>
  <c r="J8" i="35"/>
  <c r="H8" i="35"/>
  <c r="F8" i="35"/>
  <c r="AA8" i="35" s="1"/>
  <c r="D3" i="35"/>
  <c r="B2" i="35"/>
  <c r="B112" i="37"/>
  <c r="J40" i="37" s="1"/>
  <c r="W40" i="37" s="1"/>
  <c r="B110" i="37"/>
  <c r="F39" i="37" s="1"/>
  <c r="B108" i="37"/>
  <c r="H38" i="37" s="1"/>
  <c r="G107" i="37"/>
  <c r="H107" i="37"/>
  <c r="I107" i="37"/>
  <c r="J107" i="37" s="1"/>
  <c r="K107" i="37" s="1"/>
  <c r="L107" i="37" s="1"/>
  <c r="M107" i="37" s="1"/>
  <c r="D107" i="37"/>
  <c r="E107" i="37" s="1"/>
  <c r="F107" i="37" s="1"/>
  <c r="D105" i="37"/>
  <c r="E105" i="37" s="1"/>
  <c r="F105" i="37" s="1"/>
  <c r="G105" i="37" s="1"/>
  <c r="D103" i="37"/>
  <c r="E103" i="37"/>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c r="G96" i="37"/>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J28" i="37"/>
  <c r="B84" i="37"/>
  <c r="B82" i="37"/>
  <c r="B80" i="37"/>
  <c r="F79" i="37"/>
  <c r="G79" i="37" s="1"/>
  <c r="D79" i="37"/>
  <c r="E79" i="37" s="1"/>
  <c r="F77" i="37"/>
  <c r="G77" i="37" s="1"/>
  <c r="D77" i="37"/>
  <c r="E77" i="37" s="1"/>
  <c r="F75" i="37"/>
  <c r="G75" i="37"/>
  <c r="E75" i="37"/>
  <c r="D75" i="37"/>
  <c r="D73" i="37"/>
  <c r="E73" i="37" s="1"/>
  <c r="F73" i="37" s="1"/>
  <c r="G73" i="37" s="1"/>
  <c r="E71" i="37"/>
  <c r="F71" i="37"/>
  <c r="G71" i="37" s="1"/>
  <c r="D71" i="37"/>
  <c r="B68" i="37"/>
  <c r="H14" i="37" s="1"/>
  <c r="B66" i="37"/>
  <c r="J13" i="37" s="1"/>
  <c r="W13" i="37" s="1"/>
  <c r="B64" i="37"/>
  <c r="D63" i="37"/>
  <c r="E63" i="37" s="1"/>
  <c r="F63" i="37" s="1"/>
  <c r="G63" i="37"/>
  <c r="H63" i="37" s="1"/>
  <c r="I63" i="37" s="1"/>
  <c r="J63" i="37" s="1"/>
  <c r="K63" i="37" s="1"/>
  <c r="L63" i="37" s="1"/>
  <c r="M63" i="37" s="1"/>
  <c r="M61" i="37"/>
  <c r="L61" i="37"/>
  <c r="K61" i="37"/>
  <c r="J61" i="37"/>
  <c r="I61" i="37"/>
  <c r="H61" i="37"/>
  <c r="G61" i="37"/>
  <c r="F61" i="37"/>
  <c r="E61" i="37"/>
  <c r="D61" i="37"/>
  <c r="C61" i="37"/>
  <c r="C57" i="37"/>
  <c r="J9" i="37" s="1"/>
  <c r="I48" i="37"/>
  <c r="J48" i="37" s="1"/>
  <c r="G48" i="37"/>
  <c r="H48" i="37"/>
  <c r="E48" i="37"/>
  <c r="F48" i="37"/>
  <c r="P43" i="37"/>
  <c r="P42" i="37"/>
  <c r="K42" i="37"/>
  <c r="V41" i="37"/>
  <c r="T41" i="37"/>
  <c r="R41" i="37"/>
  <c r="P41" i="37"/>
  <c r="AC40" i="37"/>
  <c r="Q40" i="37"/>
  <c r="Z40" i="37" s="1"/>
  <c r="H40" i="37"/>
  <c r="AB40" i="37" s="1"/>
  <c r="F40" i="37"/>
  <c r="AA40" i="37"/>
  <c r="Q39" i="37"/>
  <c r="Z39" i="37" s="1"/>
  <c r="J39" i="37"/>
  <c r="AA38" i="37"/>
  <c r="Q38" i="37"/>
  <c r="Z38" i="37" s="1"/>
  <c r="J38" i="37"/>
  <c r="F38" i="37"/>
  <c r="S38" i="37" s="1"/>
  <c r="AB37" i="37"/>
  <c r="Q37" i="37"/>
  <c r="Z37" i="37" s="1"/>
  <c r="J37" i="37"/>
  <c r="AC37" i="37" s="1"/>
  <c r="H37" i="37"/>
  <c r="U37" i="37"/>
  <c r="F37" i="37"/>
  <c r="AA37" i="37" s="1"/>
  <c r="Z36" i="37"/>
  <c r="Q36" i="37"/>
  <c r="J36" i="37"/>
  <c r="H36" i="37"/>
  <c r="AB36" i="37" s="1"/>
  <c r="F36" i="37"/>
  <c r="AA36" i="37" s="1"/>
  <c r="Q35" i="37"/>
  <c r="Z35" i="37" s="1"/>
  <c r="J35" i="37"/>
  <c r="H35" i="37"/>
  <c r="F35" i="37"/>
  <c r="AA35" i="37" s="1"/>
  <c r="AA34" i="37"/>
  <c r="Q34" i="37"/>
  <c r="Z34" i="37"/>
  <c r="J34" i="37"/>
  <c r="AC34" i="37" s="1"/>
  <c r="W34" i="37"/>
  <c r="H34" i="37"/>
  <c r="U34" i="37" s="1"/>
  <c r="F34" i="37"/>
  <c r="S34" i="37"/>
  <c r="Q33" i="37"/>
  <c r="Z33" i="37" s="1"/>
  <c r="J33" i="37"/>
  <c r="AC33" i="37" s="1"/>
  <c r="H33" i="37"/>
  <c r="F33" i="37"/>
  <c r="AA33" i="37" s="1"/>
  <c r="W32" i="37"/>
  <c r="Q32" i="37"/>
  <c r="Z32" i="37" s="1"/>
  <c r="J32" i="37"/>
  <c r="AC32" i="37"/>
  <c r="H32" i="37"/>
  <c r="AB32" i="37" s="1"/>
  <c r="F32" i="37"/>
  <c r="AB31" i="37"/>
  <c r="U31" i="37"/>
  <c r="Q31" i="37"/>
  <c r="Z31" i="37" s="1"/>
  <c r="J31" i="37"/>
  <c r="H31" i="37"/>
  <c r="F31" i="37"/>
  <c r="AB30" i="37"/>
  <c r="Q30" i="37"/>
  <c r="Z30" i="37"/>
  <c r="J30" i="37"/>
  <c r="H30" i="37"/>
  <c r="U30" i="37" s="1"/>
  <c r="F30" i="37"/>
  <c r="AA30" i="37"/>
  <c r="Q29" i="37"/>
  <c r="Z29" i="37"/>
  <c r="J29" i="37"/>
  <c r="AC29" i="37" s="1"/>
  <c r="H29" i="37"/>
  <c r="AB29" i="37" s="1"/>
  <c r="U29" i="37"/>
  <c r="F29" i="37"/>
  <c r="AA29" i="37"/>
  <c r="Q28" i="37"/>
  <c r="Z28" i="37"/>
  <c r="F28" i="37"/>
  <c r="AA28" i="37" s="1"/>
  <c r="S28" i="37"/>
  <c r="Q27" i="37"/>
  <c r="Z27" i="37" s="1"/>
  <c r="AC26" i="37"/>
  <c r="Q26" i="37"/>
  <c r="Z26" i="37"/>
  <c r="J26" i="37"/>
  <c r="W26" i="37" s="1"/>
  <c r="AA25" i="37"/>
  <c r="Q25" i="37"/>
  <c r="Z25" i="37"/>
  <c r="J25" i="37"/>
  <c r="AC25" i="37" s="1"/>
  <c r="H25" i="37"/>
  <c r="AB25" i="37"/>
  <c r="F25" i="37"/>
  <c r="S25" i="37"/>
  <c r="Z23" i="37"/>
  <c r="Q23" i="37"/>
  <c r="J23" i="37"/>
  <c r="AC23" i="37"/>
  <c r="H23" i="37"/>
  <c r="AB23" i="37" s="1"/>
  <c r="F23" i="37"/>
  <c r="AA23" i="37"/>
  <c r="C23" i="37"/>
  <c r="Q21" i="37"/>
  <c r="Z21" i="37" s="1"/>
  <c r="J21" i="37"/>
  <c r="AC21" i="37"/>
  <c r="H21" i="37"/>
  <c r="AB21" i="37" s="1"/>
  <c r="F21" i="37"/>
  <c r="AA21" i="37" s="1"/>
  <c r="C21" i="37"/>
  <c r="Z19" i="37"/>
  <c r="Q19" i="37"/>
  <c r="J19" i="37"/>
  <c r="AC19" i="37"/>
  <c r="H19" i="37"/>
  <c r="AB19" i="37" s="1"/>
  <c r="F19" i="37"/>
  <c r="AA19" i="37" s="1"/>
  <c r="C19" i="37"/>
  <c r="Z17" i="37"/>
  <c r="Q17" i="37"/>
  <c r="J17" i="37"/>
  <c r="AC17" i="37"/>
  <c r="H17" i="37"/>
  <c r="AB17" i="37" s="1"/>
  <c r="F17" i="37"/>
  <c r="AA17" i="37"/>
  <c r="C17" i="37"/>
  <c r="Z15" i="37"/>
  <c r="Q15" i="37"/>
  <c r="J15" i="37"/>
  <c r="AC15" i="37"/>
  <c r="H15" i="37"/>
  <c r="AB15" i="37" s="1"/>
  <c r="F15" i="37"/>
  <c r="AA15" i="37"/>
  <c r="C15" i="37"/>
  <c r="Z14" i="37"/>
  <c r="Q14" i="37"/>
  <c r="J14" i="37"/>
  <c r="AC14" i="37"/>
  <c r="AB14" i="37"/>
  <c r="F14" i="37"/>
  <c r="AA14" i="37"/>
  <c r="Q13" i="37"/>
  <c r="Z13" i="37"/>
  <c r="Q12" i="37"/>
  <c r="Z12" i="37"/>
  <c r="H12" i="37"/>
  <c r="U12" i="37"/>
  <c r="Q11" i="37"/>
  <c r="Z11" i="37"/>
  <c r="J11" i="37"/>
  <c r="AC11" i="37" s="1"/>
  <c r="H11" i="37"/>
  <c r="AB11" i="37"/>
  <c r="F11" i="37"/>
  <c r="AA11" i="37"/>
  <c r="Q10" i="37"/>
  <c r="Z10" i="37"/>
  <c r="J10" i="37"/>
  <c r="AC10" i="37"/>
  <c r="H10" i="37"/>
  <c r="AB10" i="37"/>
  <c r="F10" i="37"/>
  <c r="AA10" i="37" s="1"/>
  <c r="Q9" i="37"/>
  <c r="Z9" i="37"/>
  <c r="W8" i="37"/>
  <c r="J8" i="37"/>
  <c r="AC8" i="37" s="1"/>
  <c r="H8" i="37"/>
  <c r="U8" i="37" s="1"/>
  <c r="F8" i="37"/>
  <c r="B2" i="37"/>
  <c r="B130" i="33"/>
  <c r="H46" i="33" s="1"/>
  <c r="B128" i="33"/>
  <c r="B126" i="33"/>
  <c r="J44" i="33" s="1"/>
  <c r="D125" i="33"/>
  <c r="H43" i="33" s="1"/>
  <c r="D123" i="33"/>
  <c r="E123" i="33" s="1"/>
  <c r="F123" i="33" s="1"/>
  <c r="G123" i="33" s="1"/>
  <c r="H123" i="33" s="1"/>
  <c r="I123" i="33" s="1"/>
  <c r="J123" i="33" s="1"/>
  <c r="K123" i="33"/>
  <c r="L123" i="33" s="1"/>
  <c r="M123" i="33" s="1"/>
  <c r="H121" i="33"/>
  <c r="I121" i="33" s="1"/>
  <c r="J121" i="33" s="1"/>
  <c r="K121" i="33" s="1"/>
  <c r="L121" i="33" s="1"/>
  <c r="M121" i="33" s="1"/>
  <c r="D121" i="33"/>
  <c r="E121" i="33"/>
  <c r="F121" i="33" s="1"/>
  <c r="G121" i="33" s="1"/>
  <c r="D117" i="33"/>
  <c r="E117" i="33" s="1"/>
  <c r="F117" i="33" s="1"/>
  <c r="G117" i="33" s="1"/>
  <c r="D115" i="33"/>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c r="G101" i="33" s="1"/>
  <c r="H101" i="33" s="1"/>
  <c r="I101" i="33" s="1"/>
  <c r="J101" i="33" s="1"/>
  <c r="K101" i="33" s="1"/>
  <c r="L101" i="33" s="1"/>
  <c r="M101" i="33" s="1"/>
  <c r="B98" i="33"/>
  <c r="B96" i="33"/>
  <c r="J30" i="33"/>
  <c r="AC30" i="33"/>
  <c r="B94" i="33"/>
  <c r="F29" i="33" s="1"/>
  <c r="AA29" i="33" s="1"/>
  <c r="B92" i="33"/>
  <c r="D91" i="33"/>
  <c r="B90" i="33"/>
  <c r="J27" i="33" s="1"/>
  <c r="AC27" i="33" s="1"/>
  <c r="B88" i="33"/>
  <c r="D87" i="33"/>
  <c r="E87" i="33" s="1"/>
  <c r="F87" i="33" s="1"/>
  <c r="G87" i="33" s="1"/>
  <c r="H87" i="33" s="1"/>
  <c r="I87" i="33" s="1"/>
  <c r="J87" i="33"/>
  <c r="K87" i="33" s="1"/>
  <c r="L87" i="33" s="1"/>
  <c r="M87" i="33" s="1"/>
  <c r="D85" i="33"/>
  <c r="F23" i="33" s="1"/>
  <c r="AA23" i="33" s="1"/>
  <c r="D83" i="33"/>
  <c r="E83" i="33"/>
  <c r="F83" i="33" s="1"/>
  <c r="G83" i="33" s="1"/>
  <c r="D81" i="33"/>
  <c r="B74" i="33"/>
  <c r="B72" i="33"/>
  <c r="H13" i="33" s="1"/>
  <c r="B70" i="33"/>
  <c r="F69" i="33"/>
  <c r="G69" i="33"/>
  <c r="H69" i="33" s="1"/>
  <c r="I69" i="33" s="1"/>
  <c r="J69" i="33" s="1"/>
  <c r="K69" i="33" s="1"/>
  <c r="L69" i="33" s="1"/>
  <c r="M69" i="33" s="1"/>
  <c r="E69" i="33"/>
  <c r="D69" i="33"/>
  <c r="M67" i="33"/>
  <c r="L67" i="33"/>
  <c r="K67" i="33"/>
  <c r="J67" i="33"/>
  <c r="I67" i="33"/>
  <c r="H67" i="33"/>
  <c r="G67" i="33"/>
  <c r="F67" i="33"/>
  <c r="E67" i="33"/>
  <c r="D67" i="33"/>
  <c r="C67" i="33"/>
  <c r="C63" i="33"/>
  <c r="I54" i="33"/>
  <c r="J54" i="33" s="1"/>
  <c r="G54" i="33"/>
  <c r="H54" i="33" s="1"/>
  <c r="E54" i="33"/>
  <c r="F54" i="33" s="1"/>
  <c r="P49" i="33"/>
  <c r="P48" i="33"/>
  <c r="K48" i="33"/>
  <c r="V47" i="33"/>
  <c r="P47" i="33"/>
  <c r="Q46" i="33"/>
  <c r="Z46" i="33"/>
  <c r="J46" i="33"/>
  <c r="W46" i="33" s="1"/>
  <c r="AB46" i="33"/>
  <c r="F46" i="33"/>
  <c r="AA46" i="33" s="1"/>
  <c r="Q45" i="33"/>
  <c r="Z45" i="33" s="1"/>
  <c r="Q44" i="33"/>
  <c r="Z44" i="33" s="1"/>
  <c r="H44" i="33"/>
  <c r="U44" i="33" s="1"/>
  <c r="F44" i="33"/>
  <c r="S44" i="33" s="1"/>
  <c r="Q43" i="33"/>
  <c r="Z43" i="33" s="1"/>
  <c r="J43" i="33"/>
  <c r="AC43" i="33"/>
  <c r="AB43" i="33"/>
  <c r="Q42" i="33"/>
  <c r="Z42" i="33"/>
  <c r="J42" i="33"/>
  <c r="AC42" i="33"/>
  <c r="H42" i="33"/>
  <c r="AB42" i="33" s="1"/>
  <c r="F42" i="33"/>
  <c r="AA42" i="33"/>
  <c r="AC41" i="33"/>
  <c r="AB41" i="33"/>
  <c r="Q41" i="33"/>
  <c r="Z41" i="33" s="1"/>
  <c r="J41" i="33"/>
  <c r="W41" i="33"/>
  <c r="H41" i="33"/>
  <c r="U41" i="33" s="1"/>
  <c r="F41" i="33"/>
  <c r="AA41" i="33" s="1"/>
  <c r="Q40" i="33"/>
  <c r="Z40" i="33"/>
  <c r="J40" i="33"/>
  <c r="AC40" i="33" s="1"/>
  <c r="H40" i="33"/>
  <c r="AB40" i="33" s="1"/>
  <c r="U40" i="33"/>
  <c r="F40" i="33"/>
  <c r="AA40" i="33" s="1"/>
  <c r="Q39" i="33"/>
  <c r="Z39" i="33" s="1"/>
  <c r="J39" i="33"/>
  <c r="AC39" i="33" s="1"/>
  <c r="Q38" i="33"/>
  <c r="Z38" i="33" s="1"/>
  <c r="Z37" i="33"/>
  <c r="Q37" i="33"/>
  <c r="J37" i="33"/>
  <c r="H37" i="33"/>
  <c r="F37" i="33"/>
  <c r="AA37" i="33"/>
  <c r="Q36" i="33"/>
  <c r="Z36" i="33" s="1"/>
  <c r="Z35" i="33"/>
  <c r="Q35" i="33"/>
  <c r="J35" i="33"/>
  <c r="AC35" i="33"/>
  <c r="H35" i="33"/>
  <c r="AB35" i="33"/>
  <c r="F35" i="33"/>
  <c r="AA35" i="33" s="1"/>
  <c r="Q34" i="33"/>
  <c r="Z34" i="33"/>
  <c r="J34" i="33"/>
  <c r="AC34" i="33"/>
  <c r="H34" i="33"/>
  <c r="AB34" i="33" s="1"/>
  <c r="F34" i="33"/>
  <c r="AA34" i="33"/>
  <c r="Q33" i="33"/>
  <c r="Z33" i="33"/>
  <c r="Z32" i="33"/>
  <c r="Q32" i="33"/>
  <c r="J32" i="33"/>
  <c r="AC32" i="33" s="1"/>
  <c r="H32" i="33"/>
  <c r="AB32" i="33" s="1"/>
  <c r="F32" i="33"/>
  <c r="AA32" i="33" s="1"/>
  <c r="Q31" i="33"/>
  <c r="Z31" i="33" s="1"/>
  <c r="F31" i="33"/>
  <c r="AA31" i="33"/>
  <c r="Z30" i="33"/>
  <c r="Q30" i="33"/>
  <c r="F30" i="33"/>
  <c r="AA30" i="33"/>
  <c r="Z29" i="33"/>
  <c r="Q29" i="33"/>
  <c r="J29" i="33"/>
  <c r="AC29" i="33" s="1"/>
  <c r="H29" i="33"/>
  <c r="AB29" i="33" s="1"/>
  <c r="Q28" i="33"/>
  <c r="Z28" i="33" s="1"/>
  <c r="Q27" i="33"/>
  <c r="Z27" i="33" s="1"/>
  <c r="AA26" i="33"/>
  <c r="Z26" i="33"/>
  <c r="Q26" i="33"/>
  <c r="J26" i="33"/>
  <c r="H26" i="33"/>
  <c r="AB26" i="33"/>
  <c r="F26" i="33"/>
  <c r="S26" i="33" s="1"/>
  <c r="U25" i="33"/>
  <c r="Q25" i="33"/>
  <c r="Z25" i="33"/>
  <c r="J25" i="33"/>
  <c r="H25" i="33"/>
  <c r="AB25" i="33" s="1"/>
  <c r="F25" i="33"/>
  <c r="AA25" i="33" s="1"/>
  <c r="Z23" i="33"/>
  <c r="Q23" i="33"/>
  <c r="C23" i="33"/>
  <c r="Z21" i="33"/>
  <c r="Q21" i="33"/>
  <c r="J21" i="33"/>
  <c r="AC21" i="33"/>
  <c r="H21" i="33"/>
  <c r="AB21" i="33" s="1"/>
  <c r="F21" i="33"/>
  <c r="AA21" i="33" s="1"/>
  <c r="C21" i="33"/>
  <c r="Z19" i="33"/>
  <c r="Q19" i="33"/>
  <c r="J19" i="33"/>
  <c r="AC19" i="33"/>
  <c r="C19" i="33"/>
  <c r="Q17" i="33"/>
  <c r="Z17" i="33" s="1"/>
  <c r="C17" i="33"/>
  <c r="Q15" i="33"/>
  <c r="Z15" i="33"/>
  <c r="C15" i="33"/>
  <c r="Z14" i="33"/>
  <c r="Q14" i="33"/>
  <c r="J14" i="33"/>
  <c r="AC14" i="33"/>
  <c r="H14" i="33"/>
  <c r="U14" i="33" s="1"/>
  <c r="AB14" i="33"/>
  <c r="F14" i="33"/>
  <c r="AA14" i="33" s="1"/>
  <c r="Z13" i="33"/>
  <c r="Q13" i="33"/>
  <c r="J13" i="33"/>
  <c r="F13" i="33"/>
  <c r="S13" i="33" s="1"/>
  <c r="Q12" i="33"/>
  <c r="Z12" i="33"/>
  <c r="Q11" i="33"/>
  <c r="Z11" i="33" s="1"/>
  <c r="J11" i="33"/>
  <c r="AC11" i="33"/>
  <c r="H11" i="33"/>
  <c r="AB11" i="33" s="1"/>
  <c r="F11" i="33"/>
  <c r="AA11" i="33" s="1"/>
  <c r="Q10" i="33"/>
  <c r="Z10" i="33"/>
  <c r="J10" i="33"/>
  <c r="AC10" i="33" s="1"/>
  <c r="H10" i="33"/>
  <c r="AB10" i="33" s="1"/>
  <c r="F10" i="33"/>
  <c r="AA10" i="33" s="1"/>
  <c r="Q9" i="33"/>
  <c r="Z9" i="33" s="1"/>
  <c r="J9" i="33"/>
  <c r="AC9" i="33" s="1"/>
  <c r="H9" i="33"/>
  <c r="AB9" i="33" s="1"/>
  <c r="F9" i="33"/>
  <c r="AA9" i="33"/>
  <c r="J8" i="33"/>
  <c r="W8" i="33" s="1"/>
  <c r="H8" i="33"/>
  <c r="U8" i="33" s="1"/>
  <c r="F8" i="33"/>
  <c r="AA8" i="33" s="1"/>
  <c r="C145" i="21"/>
  <c r="K139" i="21" s="1"/>
  <c r="K143" i="21" s="1"/>
  <c r="J142" i="21"/>
  <c r="J140" i="21"/>
  <c r="B130" i="21"/>
  <c r="B128" i="21"/>
  <c r="B126" i="21"/>
  <c r="F44" i="21"/>
  <c r="D125" i="21"/>
  <c r="E125" i="21"/>
  <c r="F125" i="21"/>
  <c r="G125" i="21" s="1"/>
  <c r="G123" i="21"/>
  <c r="H123" i="21" s="1"/>
  <c r="I123" i="21" s="1"/>
  <c r="J123" i="21" s="1"/>
  <c r="K123" i="21" s="1"/>
  <c r="L123" i="21" s="1"/>
  <c r="M123" i="21" s="1"/>
  <c r="D123" i="21"/>
  <c r="E123" i="21" s="1"/>
  <c r="F123" i="21" s="1"/>
  <c r="F119" i="21"/>
  <c r="G119" i="21"/>
  <c r="H119" i="21" s="1"/>
  <c r="I119" i="21" s="1"/>
  <c r="J119" i="21" s="1"/>
  <c r="K119" i="21"/>
  <c r="L119" i="21" s="1"/>
  <c r="M119" i="21" s="1"/>
  <c r="E119" i="21"/>
  <c r="D119" i="21"/>
  <c r="D117" i="21"/>
  <c r="E117" i="21" s="1"/>
  <c r="F117" i="21" s="1"/>
  <c r="G117" i="21" s="1"/>
  <c r="F115" i="21"/>
  <c r="G115" i="21" s="1"/>
  <c r="H115" i="21" s="1"/>
  <c r="I115" i="21" s="1"/>
  <c r="J115" i="21" s="1"/>
  <c r="K115" i="21" s="1"/>
  <c r="L115" i="21" s="1"/>
  <c r="M115" i="21" s="1"/>
  <c r="D115" i="21"/>
  <c r="E115" i="21"/>
  <c r="D113" i="21"/>
  <c r="E113" i="21" s="1"/>
  <c r="F113" i="21" s="1"/>
  <c r="G113" i="21" s="1"/>
  <c r="H113" i="21" s="1"/>
  <c r="H111" i="21"/>
  <c r="G111" i="21"/>
  <c r="F111" i="21"/>
  <c r="E111" i="21"/>
  <c r="D111" i="21"/>
  <c r="C111" i="21"/>
  <c r="G110" i="21"/>
  <c r="H110" i="21" s="1"/>
  <c r="I110" i="21" s="1"/>
  <c r="J110" i="21" s="1"/>
  <c r="K110" i="21" s="1"/>
  <c r="L110" i="21" s="1"/>
  <c r="M110" i="21" s="1"/>
  <c r="D110" i="21"/>
  <c r="E110" i="21" s="1"/>
  <c r="F110" i="21" s="1"/>
  <c r="D108" i="21"/>
  <c r="E108" i="21" s="1"/>
  <c r="F108" i="21" s="1"/>
  <c r="G108" i="21" s="1"/>
  <c r="H108" i="21" s="1"/>
  <c r="I108" i="21" s="1"/>
  <c r="J108" i="21" s="1"/>
  <c r="K108" i="21" s="1"/>
  <c r="L108" i="21" s="1"/>
  <c r="M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E101" i="21"/>
  <c r="F101" i="21" s="1"/>
  <c r="G101" i="21" s="1"/>
  <c r="H101" i="21"/>
  <c r="I101" i="21" s="1"/>
  <c r="J101" i="21" s="1"/>
  <c r="K101" i="21" s="1"/>
  <c r="L101" i="21" s="1"/>
  <c r="M101" i="21" s="1"/>
  <c r="D101" i="21"/>
  <c r="B98" i="21"/>
  <c r="B96" i="21"/>
  <c r="B94" i="21"/>
  <c r="J29" i="21" s="1"/>
  <c r="W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D77" i="21"/>
  <c r="E77" i="21" s="1"/>
  <c r="F77" i="21" s="1"/>
  <c r="G77" i="21" s="1"/>
  <c r="B74" i="21"/>
  <c r="J14" i="21" s="1"/>
  <c r="AC14" i="21" s="1"/>
  <c r="B72" i="21"/>
  <c r="B70" i="21"/>
  <c r="F12" i="21" s="1"/>
  <c r="D69" i="21"/>
  <c r="E69" i="21"/>
  <c r="F69" i="21"/>
  <c r="G69" i="21" s="1"/>
  <c r="H69" i="21" s="1"/>
  <c r="I69" i="21" s="1"/>
  <c r="J69" i="21" s="1"/>
  <c r="K69" i="21" s="1"/>
  <c r="L69" i="21" s="1"/>
  <c r="M69" i="21" s="1"/>
  <c r="M67" i="21"/>
  <c r="L67" i="21"/>
  <c r="K67" i="21"/>
  <c r="J67" i="21"/>
  <c r="I67" i="21"/>
  <c r="H67" i="21"/>
  <c r="G67" i="21"/>
  <c r="F67" i="21"/>
  <c r="E67" i="21"/>
  <c r="D67" i="21"/>
  <c r="C67" i="21"/>
  <c r="C63" i="21"/>
  <c r="I54" i="21"/>
  <c r="J54" i="21" s="1"/>
  <c r="G54" i="21"/>
  <c r="H54" i="21"/>
  <c r="F54" i="21"/>
  <c r="E54" i="21"/>
  <c r="P49" i="21"/>
  <c r="P48" i="21"/>
  <c r="K48" i="21"/>
  <c r="V47" i="21"/>
  <c r="T47" i="21"/>
  <c r="R47" i="21"/>
  <c r="P47" i="21"/>
  <c r="Q46" i="21"/>
  <c r="Z46" i="21" s="1"/>
  <c r="J46" i="21"/>
  <c r="AC46" i="21"/>
  <c r="H46" i="21"/>
  <c r="AB46" i="21" s="1"/>
  <c r="F46" i="21"/>
  <c r="AA46" i="21"/>
  <c r="Q45" i="21"/>
  <c r="Z45" i="21"/>
  <c r="J45" i="21"/>
  <c r="AC45" i="21" s="1"/>
  <c r="Q44" i="21"/>
  <c r="Z44" i="21" s="1"/>
  <c r="H44" i="21"/>
  <c r="Q43" i="21"/>
  <c r="Z43" i="21" s="1"/>
  <c r="J43" i="21"/>
  <c r="AC43" i="21" s="1"/>
  <c r="H43" i="21"/>
  <c r="AB43" i="21" s="1"/>
  <c r="F43" i="21"/>
  <c r="AA43" i="21"/>
  <c r="AA42" i="21"/>
  <c r="Q42" i="21"/>
  <c r="Z42" i="21"/>
  <c r="J42" i="21"/>
  <c r="AC42" i="21"/>
  <c r="H42" i="21"/>
  <c r="AB42" i="21"/>
  <c r="F42" i="21"/>
  <c r="S42" i="21"/>
  <c r="Q41" i="21"/>
  <c r="Z41" i="21" s="1"/>
  <c r="J41" i="21"/>
  <c r="W41" i="21" s="1"/>
  <c r="H41" i="21"/>
  <c r="AB41" i="21"/>
  <c r="F41" i="21"/>
  <c r="AA41" i="21"/>
  <c r="Q40" i="21"/>
  <c r="Z40" i="21" s="1"/>
  <c r="J40" i="21"/>
  <c r="H40" i="21"/>
  <c r="AB40" i="21" s="1"/>
  <c r="U40" i="21"/>
  <c r="F40" i="21"/>
  <c r="AA40" i="21" s="1"/>
  <c r="Q39" i="21"/>
  <c r="Z39" i="21" s="1"/>
  <c r="J39" i="21"/>
  <c r="AC39" i="21" s="1"/>
  <c r="H39" i="21"/>
  <c r="U39" i="21" s="1"/>
  <c r="F39" i="21"/>
  <c r="AA39" i="21" s="1"/>
  <c r="Q38" i="21"/>
  <c r="Z38" i="21" s="1"/>
  <c r="J38" i="21"/>
  <c r="AC38" i="21" s="1"/>
  <c r="H38" i="21"/>
  <c r="AB38" i="21" s="1"/>
  <c r="F38" i="21"/>
  <c r="S38" i="21" s="1"/>
  <c r="W37" i="21"/>
  <c r="Q37" i="21"/>
  <c r="Z37" i="21"/>
  <c r="J37" i="21"/>
  <c r="AC37" i="21"/>
  <c r="H37" i="21"/>
  <c r="AB37" i="21" s="1"/>
  <c r="F37" i="21"/>
  <c r="AA37" i="21"/>
  <c r="Q36" i="21"/>
  <c r="Z36" i="21" s="1"/>
  <c r="J36" i="21"/>
  <c r="AC36" i="21" s="1"/>
  <c r="H36" i="21"/>
  <c r="AB36" i="21" s="1"/>
  <c r="F36" i="21"/>
  <c r="AA36" i="21" s="1"/>
  <c r="Q35" i="21"/>
  <c r="Z35" i="21" s="1"/>
  <c r="J35" i="21"/>
  <c r="AC35" i="21" s="1"/>
  <c r="H35" i="21"/>
  <c r="AB35" i="21" s="1"/>
  <c r="F35" i="21"/>
  <c r="AA35" i="21" s="1"/>
  <c r="AA34" i="21"/>
  <c r="Q34" i="21"/>
  <c r="Z34" i="21" s="1"/>
  <c r="J34" i="21"/>
  <c r="AC34" i="21"/>
  <c r="H34" i="21"/>
  <c r="AB34" i="21"/>
  <c r="F34" i="21"/>
  <c r="S34" i="21"/>
  <c r="Z33" i="21"/>
  <c r="Q33" i="21"/>
  <c r="J33" i="21"/>
  <c r="AC33" i="21" s="1"/>
  <c r="W33" i="21"/>
  <c r="H33" i="21"/>
  <c r="AB33" i="21" s="1"/>
  <c r="F33" i="21"/>
  <c r="AA33" i="21" s="1"/>
  <c r="Q32" i="21"/>
  <c r="Z32" i="21"/>
  <c r="J32" i="21"/>
  <c r="H32" i="21"/>
  <c r="AB32" i="21" s="1"/>
  <c r="F32" i="21"/>
  <c r="AA32" i="21"/>
  <c r="AA31" i="21"/>
  <c r="Q31" i="21"/>
  <c r="Z31" i="21"/>
  <c r="J31" i="21"/>
  <c r="AC31" i="21"/>
  <c r="H31" i="21"/>
  <c r="U31" i="21"/>
  <c r="F31" i="21"/>
  <c r="S31" i="21"/>
  <c r="S30" i="21"/>
  <c r="Q30" i="21"/>
  <c r="Z30" i="21" s="1"/>
  <c r="F30" i="21"/>
  <c r="AA30" i="21" s="1"/>
  <c r="Q29" i="21"/>
  <c r="Z29" i="21" s="1"/>
  <c r="Q28" i="21"/>
  <c r="Z28" i="21"/>
  <c r="J28" i="21"/>
  <c r="W28" i="21" s="1"/>
  <c r="H28" i="21"/>
  <c r="F28" i="21"/>
  <c r="AA28" i="21"/>
  <c r="Q27" i="21"/>
  <c r="Z27" i="21" s="1"/>
  <c r="J27" i="21"/>
  <c r="AC27" i="21" s="1"/>
  <c r="H27" i="21"/>
  <c r="AB27" i="21" s="1"/>
  <c r="U27" i="21"/>
  <c r="F27" i="21"/>
  <c r="AA27" i="21" s="1"/>
  <c r="AA26" i="21"/>
  <c r="Q26" i="21"/>
  <c r="Z26" i="21"/>
  <c r="J26" i="21"/>
  <c r="AC26" i="21"/>
  <c r="H26" i="21"/>
  <c r="AB26" i="21"/>
  <c r="F26" i="21"/>
  <c r="S26" i="21"/>
  <c r="Z25" i="21"/>
  <c r="Q25" i="21"/>
  <c r="J25" i="21"/>
  <c r="H25" i="21"/>
  <c r="AB25" i="21" s="1"/>
  <c r="F25" i="21"/>
  <c r="AA25" i="21" s="1"/>
  <c r="AB23" i="21"/>
  <c r="Q23" i="21"/>
  <c r="Z23" i="21"/>
  <c r="J23" i="21"/>
  <c r="H23" i="21"/>
  <c r="U23" i="21" s="1"/>
  <c r="F23" i="21"/>
  <c r="AA23" i="21" s="1"/>
  <c r="C23" i="21"/>
  <c r="Q21" i="21"/>
  <c r="Z21" i="21"/>
  <c r="J21" i="21"/>
  <c r="AC21" i="21" s="1"/>
  <c r="W21" i="21"/>
  <c r="H21" i="21"/>
  <c r="F21" i="21"/>
  <c r="AA21" i="21"/>
  <c r="C21" i="21"/>
  <c r="Q19" i="21"/>
  <c r="Z19" i="21"/>
  <c r="J19" i="21"/>
  <c r="AC19" i="21" s="1"/>
  <c r="W19" i="21"/>
  <c r="H19" i="21"/>
  <c r="F19" i="21"/>
  <c r="AA19" i="21" s="1"/>
  <c r="C19" i="21"/>
  <c r="Q17" i="21"/>
  <c r="Z17" i="21"/>
  <c r="J17" i="21"/>
  <c r="AC17" i="21" s="1"/>
  <c r="H17" i="21"/>
  <c r="F17" i="21"/>
  <c r="AA17" i="21" s="1"/>
  <c r="C17" i="21"/>
  <c r="AB15" i="21"/>
  <c r="Q15" i="21"/>
  <c r="Z15" i="21"/>
  <c r="J15" i="21"/>
  <c r="H15" i="21"/>
  <c r="U15" i="21" s="1"/>
  <c r="F15" i="21"/>
  <c r="AA15" i="21" s="1"/>
  <c r="C15" i="21"/>
  <c r="Q14" i="21"/>
  <c r="Z14" i="21" s="1"/>
  <c r="W14" i="21"/>
  <c r="AB13" i="21"/>
  <c r="AA13" i="21"/>
  <c r="Q13" i="21"/>
  <c r="Z13" i="21" s="1"/>
  <c r="J13" i="21"/>
  <c r="AC13" i="21" s="1"/>
  <c r="H13" i="21"/>
  <c r="U13" i="21"/>
  <c r="F13" i="21"/>
  <c r="S13" i="21"/>
  <c r="Z12" i="21"/>
  <c r="Q12" i="21"/>
  <c r="Q11" i="21"/>
  <c r="Z11" i="21"/>
  <c r="J11" i="21"/>
  <c r="AC11" i="21" s="1"/>
  <c r="H11" i="21"/>
  <c r="AB11" i="21" s="1"/>
  <c r="F11" i="21"/>
  <c r="AA11" i="21" s="1"/>
  <c r="Q10" i="21"/>
  <c r="Z10" i="21" s="1"/>
  <c r="J10" i="21"/>
  <c r="AC10" i="21" s="1"/>
  <c r="W10" i="21"/>
  <c r="H10" i="21"/>
  <c r="U10" i="21" s="1"/>
  <c r="F10" i="21"/>
  <c r="AA10" i="21" s="1"/>
  <c r="Q9" i="21"/>
  <c r="Z9" i="21" s="1"/>
  <c r="AA8" i="21"/>
  <c r="J8" i="21"/>
  <c r="H8" i="21"/>
  <c r="F8" i="21"/>
  <c r="S8" i="21"/>
  <c r="B2" i="21"/>
  <c r="E13" i="70"/>
  <c r="A13" i="70"/>
  <c r="A12" i="70"/>
  <c r="E12" i="70" s="1"/>
  <c r="E11" i="70"/>
  <c r="A11" i="70"/>
  <c r="E10" i="70"/>
  <c r="A10" i="70"/>
  <c r="E9" i="70"/>
  <c r="A9" i="70"/>
  <c r="E8" i="70"/>
  <c r="A8" i="70"/>
  <c r="E7" i="70"/>
  <c r="A7" i="70"/>
  <c r="A6" i="70"/>
  <c r="R43" i="77"/>
  <c r="R41"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Q72" i="67"/>
  <c r="F61" i="67"/>
  <c r="Q59" i="67"/>
  <c r="K59" i="67"/>
  <c r="Q58" i="67"/>
  <c r="Q51" i="67"/>
  <c r="J50" i="67"/>
  <c r="D46" i="67"/>
  <c r="F33" i="67"/>
  <c r="F23" i="67"/>
  <c r="D24" i="67"/>
  <c r="F21" i="67"/>
  <c r="M20" i="67"/>
  <c r="F20" i="67"/>
  <c r="M19" i="67"/>
  <c r="F18" i="67"/>
  <c r="F17" i="67"/>
  <c r="F15" i="67"/>
  <c r="B131" i="34"/>
  <c r="B129" i="34"/>
  <c r="H46" i="34" s="1"/>
  <c r="J46" i="34"/>
  <c r="B127" i="34"/>
  <c r="D126" i="34"/>
  <c r="E126" i="34" s="1"/>
  <c r="F126" i="34" s="1"/>
  <c r="G126" i="34" s="1"/>
  <c r="F44" i="34"/>
  <c r="AA44" i="34" s="1"/>
  <c r="D124" i="34"/>
  <c r="E124" i="34" s="1"/>
  <c r="E120" i="34"/>
  <c r="F120" i="34"/>
  <c r="G120" i="34" s="1"/>
  <c r="H120" i="34" s="1"/>
  <c r="I120" i="34" s="1"/>
  <c r="J120" i="34" s="1"/>
  <c r="K120" i="34" s="1"/>
  <c r="L120" i="34" s="1"/>
  <c r="M120" i="34" s="1"/>
  <c r="D120" i="34"/>
  <c r="D118" i="34"/>
  <c r="E118" i="34" s="1"/>
  <c r="F118" i="34" s="1"/>
  <c r="G118" i="34" s="1"/>
  <c r="K116" i="34"/>
  <c r="L116" i="34" s="1"/>
  <c r="M116" i="34" s="1"/>
  <c r="E116" i="34"/>
  <c r="F116" i="34" s="1"/>
  <c r="G116" i="34" s="1"/>
  <c r="H116" i="34" s="1"/>
  <c r="I116" i="34" s="1"/>
  <c r="J116" i="34" s="1"/>
  <c r="D116" i="34"/>
  <c r="D114" i="34"/>
  <c r="E114" i="34"/>
  <c r="F114" i="34" s="1"/>
  <c r="G114" i="34" s="1"/>
  <c r="H114" i="34"/>
  <c r="I114" i="34" s="1"/>
  <c r="J114" i="34" s="1"/>
  <c r="K114" i="34" s="1"/>
  <c r="L114" i="34" s="1"/>
  <c r="M114" i="34" s="1"/>
  <c r="H112" i="34"/>
  <c r="I112" i="34" s="1"/>
  <c r="J112" i="34" s="1"/>
  <c r="K112" i="34" s="1"/>
  <c r="L112" i="34" s="1"/>
  <c r="M112" i="34" s="1"/>
  <c r="E112" i="34"/>
  <c r="F112" i="34" s="1"/>
  <c r="G112" i="34" s="1"/>
  <c r="D112" i="34"/>
  <c r="G110" i="34"/>
  <c r="F110" i="34"/>
  <c r="E110" i="34"/>
  <c r="D110" i="34"/>
  <c r="C110" i="34"/>
  <c r="E109" i="34"/>
  <c r="F109" i="34" s="1"/>
  <c r="G109" i="34" s="1"/>
  <c r="H109" i="34" s="1"/>
  <c r="I109" i="34" s="1"/>
  <c r="J109" i="34" s="1"/>
  <c r="K109" i="34" s="1"/>
  <c r="L109" i="34" s="1"/>
  <c r="M109" i="34" s="1"/>
  <c r="D109" i="34"/>
  <c r="D107" i="34"/>
  <c r="E107" i="34"/>
  <c r="F107" i="34"/>
  <c r="G107" i="34" s="1"/>
  <c r="H107" i="34" s="1"/>
  <c r="I107" i="34"/>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J30" i="34" s="1"/>
  <c r="W30" i="34" s="1"/>
  <c r="B93" i="34"/>
  <c r="J29" i="34" s="1"/>
  <c r="W29" i="34" s="1"/>
  <c r="D92" i="34"/>
  <c r="E92" i="34" s="1"/>
  <c r="F92" i="34" s="1"/>
  <c r="G92" i="34" s="1"/>
  <c r="H92" i="34" s="1"/>
  <c r="I92" i="34" s="1"/>
  <c r="J92" i="34" s="1"/>
  <c r="K92" i="34" s="1"/>
  <c r="L92" i="34" s="1"/>
  <c r="M92" i="34" s="1"/>
  <c r="B91" i="34"/>
  <c r="D90" i="34"/>
  <c r="E90" i="34" s="1"/>
  <c r="B89" i="34"/>
  <c r="L88" i="34"/>
  <c r="M88" i="34" s="1"/>
  <c r="D88" i="34"/>
  <c r="E88" i="34" s="1"/>
  <c r="F88" i="34" s="1"/>
  <c r="G88" i="34" s="1"/>
  <c r="H88" i="34" s="1"/>
  <c r="I88" i="34" s="1"/>
  <c r="J88" i="34" s="1"/>
  <c r="K88" i="34" s="1"/>
  <c r="D86" i="34"/>
  <c r="F84" i="34"/>
  <c r="G84" i="34" s="1"/>
  <c r="D84" i="34"/>
  <c r="E84" i="34" s="1"/>
  <c r="E82" i="34"/>
  <c r="F82" i="34" s="1"/>
  <c r="G82" i="34" s="1"/>
  <c r="D82" i="34"/>
  <c r="J19" i="34" s="1"/>
  <c r="AC19" i="34" s="1"/>
  <c r="D80" i="34"/>
  <c r="E80" i="34" s="1"/>
  <c r="F80" i="34" s="1"/>
  <c r="G80" i="34" s="1"/>
  <c r="D78" i="34"/>
  <c r="B75" i="34"/>
  <c r="B73" i="34"/>
  <c r="H13" i="34" s="1"/>
  <c r="B71" i="34"/>
  <c r="H12" i="34"/>
  <c r="E70" i="34"/>
  <c r="F70" i="34" s="1"/>
  <c r="G70" i="34" s="1"/>
  <c r="H70" i="34" s="1"/>
  <c r="I70" i="34" s="1"/>
  <c r="J70" i="34" s="1"/>
  <c r="K70" i="34" s="1"/>
  <c r="L70" i="34" s="1"/>
  <c r="M70" i="34" s="1"/>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c r="Q46" i="34"/>
  <c r="Z46" i="34" s="1"/>
  <c r="F46" i="34"/>
  <c r="Q45" i="34"/>
  <c r="Z45" i="34"/>
  <c r="Q44" i="34"/>
  <c r="Z44" i="34"/>
  <c r="H44" i="34"/>
  <c r="Q43" i="34"/>
  <c r="Z43" i="34" s="1"/>
  <c r="AA42" i="34"/>
  <c r="Q42" i="34"/>
  <c r="Z42" i="34" s="1"/>
  <c r="J42" i="34"/>
  <c r="AC42" i="34"/>
  <c r="H42" i="34"/>
  <c r="U42" i="34"/>
  <c r="F42" i="34"/>
  <c r="S42" i="34"/>
  <c r="Q41" i="34"/>
  <c r="Z41" i="34" s="1"/>
  <c r="J41" i="34"/>
  <c r="AC41" i="34" s="1"/>
  <c r="W41" i="34"/>
  <c r="H41" i="34"/>
  <c r="AB41" i="34" s="1"/>
  <c r="F41" i="34"/>
  <c r="AA41" i="34" s="1"/>
  <c r="Q40" i="34"/>
  <c r="Z40" i="34" s="1"/>
  <c r="J40" i="34"/>
  <c r="AC40" i="34" s="1"/>
  <c r="H40" i="34"/>
  <c r="F40" i="34"/>
  <c r="AA40" i="34"/>
  <c r="AA39" i="34"/>
  <c r="Q39" i="34"/>
  <c r="Z39" i="34"/>
  <c r="J39" i="34"/>
  <c r="W39" i="34"/>
  <c r="H39" i="34"/>
  <c r="U39" i="34"/>
  <c r="F39" i="34"/>
  <c r="S39" i="34"/>
  <c r="Q38" i="34"/>
  <c r="Z38" i="34"/>
  <c r="J38" i="34"/>
  <c r="AC38" i="34" s="1"/>
  <c r="H38" i="34"/>
  <c r="F38" i="34"/>
  <c r="AA38" i="34" s="1"/>
  <c r="Z37" i="34"/>
  <c r="Q37" i="34"/>
  <c r="AB36" i="34"/>
  <c r="Q36" i="34"/>
  <c r="Z36" i="34"/>
  <c r="J36" i="34"/>
  <c r="W36" i="34" s="1"/>
  <c r="H36" i="34"/>
  <c r="U36" i="34"/>
  <c r="F36" i="34"/>
  <c r="AA36" i="34"/>
  <c r="Q35" i="34"/>
  <c r="Z35" i="34" s="1"/>
  <c r="J35" i="34"/>
  <c r="AC35" i="34" s="1"/>
  <c r="H35" i="34"/>
  <c r="U35" i="34" s="1"/>
  <c r="AB35" i="34"/>
  <c r="F35" i="34"/>
  <c r="S35" i="34" s="1"/>
  <c r="Z34" i="34"/>
  <c r="Q34" i="34"/>
  <c r="Q33" i="34"/>
  <c r="Z33" i="34" s="1"/>
  <c r="J33" i="34"/>
  <c r="H33" i="34"/>
  <c r="U33" i="34" s="1"/>
  <c r="AB33" i="34"/>
  <c r="F33" i="34"/>
  <c r="S33" i="34" s="1"/>
  <c r="Z32" i="34"/>
  <c r="Q32" i="34"/>
  <c r="H32" i="34"/>
  <c r="Q31" i="34"/>
  <c r="Z31" i="34" s="1"/>
  <c r="J31" i="34"/>
  <c r="H31" i="34"/>
  <c r="AB31" i="34" s="1"/>
  <c r="F31" i="34"/>
  <c r="S31" i="34"/>
  <c r="Q30" i="34"/>
  <c r="Z30" i="34"/>
  <c r="Q29" i="34"/>
  <c r="Z29" i="34" s="1"/>
  <c r="H29" i="34"/>
  <c r="F29" i="34"/>
  <c r="AA29" i="34" s="1"/>
  <c r="Q28" i="34"/>
  <c r="Z28" i="34" s="1"/>
  <c r="Q27" i="34"/>
  <c r="Z27" i="34" s="1"/>
  <c r="Q25" i="34"/>
  <c r="Z25" i="34"/>
  <c r="J25" i="34"/>
  <c r="W25" i="34" s="1"/>
  <c r="H25" i="34"/>
  <c r="F25" i="34"/>
  <c r="AA25" i="34" s="1"/>
  <c r="Q23" i="34"/>
  <c r="Z23" i="34" s="1"/>
  <c r="C23" i="34"/>
  <c r="Q21" i="34"/>
  <c r="Z21" i="34"/>
  <c r="J21" i="34"/>
  <c r="AC21" i="34"/>
  <c r="H21" i="34"/>
  <c r="U21" i="34"/>
  <c r="F21" i="34"/>
  <c r="S21" i="34"/>
  <c r="C21" i="34"/>
  <c r="Q19" i="34"/>
  <c r="Z19" i="34"/>
  <c r="H19" i="34"/>
  <c r="AB19" i="34"/>
  <c r="F19" i="34"/>
  <c r="S19" i="34" s="1"/>
  <c r="C19" i="34"/>
  <c r="Q17" i="34"/>
  <c r="Z17" i="34"/>
  <c r="C17" i="34"/>
  <c r="Q15" i="34"/>
  <c r="Z15" i="34" s="1"/>
  <c r="C15" i="34"/>
  <c r="Q14" i="34"/>
  <c r="Z14" i="34" s="1"/>
  <c r="J14" i="34"/>
  <c r="AC14" i="34" s="1"/>
  <c r="Q13" i="34"/>
  <c r="Z13" i="34"/>
  <c r="J13" i="34"/>
  <c r="AC13" i="34" s="1"/>
  <c r="U13" i="34"/>
  <c r="Q12" i="34"/>
  <c r="Z12" i="34" s="1"/>
  <c r="J12" i="34"/>
  <c r="AC12" i="34" s="1"/>
  <c r="W12" i="34"/>
  <c r="F12" i="34"/>
  <c r="AB11" i="34"/>
  <c r="Q11" i="34"/>
  <c r="Z11" i="34" s="1"/>
  <c r="J11" i="34"/>
  <c r="AC11" i="34" s="1"/>
  <c r="H11" i="34"/>
  <c r="U11" i="34" s="1"/>
  <c r="F11" i="34"/>
  <c r="AA11" i="34"/>
  <c r="Q10" i="34"/>
  <c r="Z10" i="34"/>
  <c r="J10" i="34"/>
  <c r="AC10" i="34"/>
  <c r="H10" i="34"/>
  <c r="U10" i="34"/>
  <c r="F10" i="34"/>
  <c r="S10" i="34"/>
  <c r="Q9" i="34"/>
  <c r="Z9" i="34"/>
  <c r="F9" i="34"/>
  <c r="S9" i="34"/>
  <c r="J8" i="34"/>
  <c r="AC8" i="34" s="1"/>
  <c r="H8" i="34"/>
  <c r="AB8" i="34" s="1"/>
  <c r="F8" i="34"/>
  <c r="S8" i="34" s="1"/>
  <c r="Q72" i="15"/>
  <c r="Q59" i="15"/>
  <c r="K59" i="15"/>
  <c r="P61" i="15" s="1"/>
  <c r="P74" i="15"/>
  <c r="Q58" i="15"/>
  <c r="Q51" i="15"/>
  <c r="J50" i="15"/>
  <c r="J51" i="15" s="1"/>
  <c r="M47" i="15"/>
  <c r="D46" i="15"/>
  <c r="F33" i="15"/>
  <c r="F61" i="15"/>
  <c r="F23" i="15"/>
  <c r="D22" i="15"/>
  <c r="D23" i="15"/>
  <c r="F21" i="15"/>
  <c r="F20" i="15"/>
  <c r="M19" i="15"/>
  <c r="F18" i="15"/>
  <c r="F17" i="15"/>
  <c r="F15" i="15"/>
  <c r="B22" i="1"/>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c r="E10" i="69"/>
  <c r="E9" i="69"/>
  <c r="F7" i="69"/>
  <c r="H1" i="69"/>
  <c r="C40" i="68"/>
  <c r="F38" i="68"/>
  <c r="E37" i="68"/>
  <c r="F36" i="68"/>
  <c r="F35" i="68"/>
  <c r="F21" i="68"/>
  <c r="F40" i="68"/>
  <c r="C21" i="68"/>
  <c r="F20" i="68"/>
  <c r="F39" i="68" s="1"/>
  <c r="E10" i="68"/>
  <c r="E9" i="68"/>
  <c r="F7" i="68"/>
  <c r="C7" i="68" s="1"/>
  <c r="A120" i="9"/>
  <c r="E111" i="9"/>
  <c r="H112" i="9" s="1"/>
  <c r="E109" i="9"/>
  <c r="A124" i="9" s="1"/>
  <c r="E107" i="9"/>
  <c r="A122" i="9" s="1"/>
  <c r="H106" i="9"/>
  <c r="H105" i="9"/>
  <c r="H103" i="9" s="1"/>
  <c r="D120" i="9" s="1"/>
  <c r="H104" i="9"/>
  <c r="D101" i="9"/>
  <c r="C101" i="9"/>
  <c r="C91" i="9"/>
  <c r="E90" i="9"/>
  <c r="D89" i="9"/>
  <c r="C89" i="9" s="1"/>
  <c r="C87" i="9"/>
  <c r="C92" i="9" s="1"/>
  <c r="H77" i="9"/>
  <c r="D77" i="9"/>
  <c r="C76" i="9"/>
  <c r="F59" i="9"/>
  <c r="E59" i="9"/>
  <c r="N55" i="9" s="1"/>
  <c r="F56" i="9"/>
  <c r="O54" i="9" s="1"/>
  <c r="O55" i="9"/>
  <c r="K55" i="9"/>
  <c r="J55" i="9"/>
  <c r="I55" i="9"/>
  <c r="F55" i="9"/>
  <c r="O53" i="9" s="1"/>
  <c r="N54"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D7" i="74" s="1"/>
  <c r="B3" i="74"/>
  <c r="B2" i="74"/>
  <c r="C24" i="20"/>
  <c r="C22" i="20"/>
  <c r="C21" i="20"/>
  <c r="C27" i="39" s="1"/>
  <c r="G20" i="20"/>
  <c r="B88" i="43"/>
  <c r="C20" i="20"/>
  <c r="G19" i="20"/>
  <c r="G18" i="20"/>
  <c r="B90" i="43"/>
  <c r="C18" i="20"/>
  <c r="C17" i="20"/>
  <c r="G16" i="20"/>
  <c r="C16" i="20"/>
  <c r="C17" i="39"/>
  <c r="G15" i="20"/>
  <c r="C15" i="20"/>
  <c r="D78" i="9"/>
  <c r="B31" i="1"/>
  <c r="E19" i="69" s="1"/>
  <c r="B24" i="1"/>
  <c r="B23" i="1"/>
  <c r="O19" i="1"/>
  <c r="P14" i="1"/>
  <c r="O14" i="1"/>
  <c r="AG13" i="1"/>
  <c r="AE13" i="1"/>
  <c r="S13" i="1"/>
  <c r="AR13" i="1" s="1"/>
  <c r="P13" i="1"/>
  <c r="O13" i="1"/>
  <c r="F13" i="1"/>
  <c r="G13" i="1" s="1"/>
  <c r="D13" i="1"/>
  <c r="A13" i="1"/>
  <c r="K13" i="1" s="1"/>
  <c r="M13" i="1" s="1"/>
  <c r="AG12" i="1"/>
  <c r="AE12" i="1"/>
  <c r="S12" i="1"/>
  <c r="AR12" i="1" s="1"/>
  <c r="P12" i="1"/>
  <c r="O12" i="1"/>
  <c r="F12" i="1"/>
  <c r="E12" i="1"/>
  <c r="D12" i="1"/>
  <c r="B12" i="1"/>
  <c r="A12" i="1"/>
  <c r="K12" i="1" s="1"/>
  <c r="M12" i="1" s="1"/>
  <c r="R12" i="1"/>
  <c r="AG11" i="1"/>
  <c r="AE11" i="1"/>
  <c r="R11" i="1"/>
  <c r="P11" i="1"/>
  <c r="O11" i="1"/>
  <c r="F11" i="1"/>
  <c r="D11" i="1"/>
  <c r="A11" i="1"/>
  <c r="K11" i="1" s="1"/>
  <c r="AG10" i="1"/>
  <c r="AE10" i="1"/>
  <c r="P10" i="1"/>
  <c r="O10" i="1"/>
  <c r="F10" i="1"/>
  <c r="G10" i="1" s="1"/>
  <c r="E10" i="1"/>
  <c r="D10" i="1"/>
  <c r="B10" i="1"/>
  <c r="A10" i="1"/>
  <c r="K10" i="1" s="1"/>
  <c r="M10" i="1" s="1"/>
  <c r="R10" i="1"/>
  <c r="AG9" i="1"/>
  <c r="AE9" i="1"/>
  <c r="P9" i="1"/>
  <c r="O9" i="1"/>
  <c r="F9" i="1"/>
  <c r="G9" i="1" s="1"/>
  <c r="D9" i="1"/>
  <c r="B9" i="1"/>
  <c r="E9" i="1" s="1"/>
  <c r="A9" i="1"/>
  <c r="AG8" i="1"/>
  <c r="AE8" i="1"/>
  <c r="P8" i="1"/>
  <c r="O8" i="1"/>
  <c r="F8" i="1"/>
  <c r="G8" i="1" s="1"/>
  <c r="D8" i="1"/>
  <c r="A8" i="1"/>
  <c r="AG7" i="1"/>
  <c r="AE7" i="1"/>
  <c r="P7" i="1"/>
  <c r="O7" i="1"/>
  <c r="F7" i="1"/>
  <c r="D7" i="1"/>
  <c r="A7" i="1"/>
  <c r="K7" i="1" s="1"/>
  <c r="AG6" i="1"/>
  <c r="P6" i="1"/>
  <c r="O6" i="1"/>
  <c r="T4" i="1"/>
  <c r="E32" i="6"/>
  <c r="O27" i="6"/>
  <c r="N27" i="6"/>
  <c r="G27" i="6"/>
  <c r="P26" i="6"/>
  <c r="L26" i="6"/>
  <c r="E26" i="6"/>
  <c r="P25" i="6"/>
  <c r="P27" i="6" s="1"/>
  <c r="L25" i="6"/>
  <c r="E25" i="6"/>
  <c r="P24" i="6"/>
  <c r="L24" i="6"/>
  <c r="E24" i="6"/>
  <c r="P23" i="6"/>
  <c r="L23" i="6"/>
  <c r="E23" i="6"/>
  <c r="P22" i="6"/>
  <c r="L22" i="6"/>
  <c r="E22" i="6"/>
  <c r="P21" i="6"/>
  <c r="L21" i="6"/>
  <c r="E21" i="6"/>
  <c r="P20" i="6"/>
  <c r="L20" i="6"/>
  <c r="E20" i="6"/>
  <c r="P19" i="6"/>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K586" i="3"/>
  <c r="BJ586" i="3"/>
  <c r="BI586" i="3"/>
  <c r="BH586" i="3"/>
  <c r="BG586" i="3"/>
  <c r="BF586" i="3"/>
  <c r="BE586" i="3"/>
  <c r="BD586" i="3"/>
  <c r="BA586" i="3" s="1"/>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G579" i="3"/>
  <c r="H579" i="3"/>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G576" i="3" s="1"/>
  <c r="H576" i="3"/>
  <c r="BT575" i="3"/>
  <c r="BS575" i="3"/>
  <c r="BR575" i="3"/>
  <c r="BQ575" i="3"/>
  <c r="BP575" i="3"/>
  <c r="BO575" i="3"/>
  <c r="BN575" i="3"/>
  <c r="BM575" i="3"/>
  <c r="BK575" i="3"/>
  <c r="BJ575" i="3"/>
  <c r="BI575" i="3"/>
  <c r="BH575" i="3"/>
  <c r="BG575" i="3"/>
  <c r="BF575" i="3"/>
  <c r="BE575" i="3"/>
  <c r="BD575" i="3"/>
  <c r="BA575" i="3"/>
  <c r="BC575" i="3"/>
  <c r="BB575" i="3"/>
  <c r="AX575" i="3"/>
  <c r="AW575" i="3"/>
  <c r="AV575" i="3"/>
  <c r="AC575" i="3"/>
  <c r="G575" i="3"/>
  <c r="H575" i="3"/>
  <c r="BT574" i="3"/>
  <c r="BS574" i="3"/>
  <c r="BR574" i="3"/>
  <c r="BL574" i="3" s="1"/>
  <c r="BQ574" i="3"/>
  <c r="BP574" i="3"/>
  <c r="BO574" i="3"/>
  <c r="BN574" i="3"/>
  <c r="BM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G571" i="3"/>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A563" i="3"/>
  <c r="BC563" i="3"/>
  <c r="BB563" i="3"/>
  <c r="AX563" i="3"/>
  <c r="AW563" i="3"/>
  <c r="AV563" i="3"/>
  <c r="AC563" i="3"/>
  <c r="G563" i="3"/>
  <c r="H563" i="3"/>
  <c r="BT562" i="3"/>
  <c r="BS562" i="3"/>
  <c r="BR562" i="3"/>
  <c r="BQ562" i="3"/>
  <c r="BP562" i="3"/>
  <c r="BO562" i="3"/>
  <c r="BN562" i="3"/>
  <c r="BL562" i="3" s="1"/>
  <c r="BM562" i="3"/>
  <c r="BK562" i="3"/>
  <c r="BJ562" i="3"/>
  <c r="BI562" i="3"/>
  <c r="BH562" i="3"/>
  <c r="BG562" i="3"/>
  <c r="BF562" i="3"/>
  <c r="BA562" i="3" s="1"/>
  <c r="AZ562" i="3" s="1"/>
  <c r="BE562" i="3"/>
  <c r="BD562" i="3"/>
  <c r="BC562" i="3"/>
  <c r="BB562" i="3"/>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c r="BT559" i="3"/>
  <c r="BS559" i="3"/>
  <c r="BR559" i="3"/>
  <c r="BQ559" i="3"/>
  <c r="BL559" i="3" s="1"/>
  <c r="BP559" i="3"/>
  <c r="BO559" i="3"/>
  <c r="BN559" i="3"/>
  <c r="BM559" i="3"/>
  <c r="BK559" i="3"/>
  <c r="BJ559" i="3"/>
  <c r="BI559" i="3"/>
  <c r="BH559" i="3"/>
  <c r="BG559" i="3"/>
  <c r="BF559" i="3"/>
  <c r="BE559" i="3"/>
  <c r="BD559" i="3"/>
  <c r="BC559" i="3"/>
  <c r="BB559" i="3"/>
  <c r="AX559" i="3"/>
  <c r="AW559" i="3"/>
  <c r="AV559" i="3"/>
  <c r="AC559" i="3"/>
  <c r="G559" i="3"/>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A555" i="3" s="1"/>
  <c r="AZ555" i="3" s="1"/>
  <c r="BD555" i="3"/>
  <c r="BC555" i="3"/>
  <c r="BB555" i="3"/>
  <c r="AX555" i="3"/>
  <c r="AW555" i="3"/>
  <c r="AV555" i="3"/>
  <c r="AC555" i="3"/>
  <c r="G555" i="3"/>
  <c r="H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G554" i="3" s="1"/>
  <c r="H554" i="3"/>
  <c r="BT553" i="3"/>
  <c r="BS553" i="3"/>
  <c r="BR553" i="3"/>
  <c r="BQ553" i="3"/>
  <c r="BP553" i="3"/>
  <c r="BO553" i="3"/>
  <c r="BL553" i="3" s="1"/>
  <c r="BN553" i="3"/>
  <c r="BM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G551" i="3"/>
  <c r="H551" i="3"/>
  <c r="BT550" i="3"/>
  <c r="BS550" i="3"/>
  <c r="BR550" i="3"/>
  <c r="BQ550" i="3"/>
  <c r="BP550" i="3"/>
  <c r="BO550" i="3"/>
  <c r="BN550" i="3"/>
  <c r="BM550" i="3"/>
  <c r="BK550" i="3"/>
  <c r="BJ550" i="3"/>
  <c r="BI550" i="3"/>
  <c r="BH550" i="3"/>
  <c r="BG550" i="3"/>
  <c r="BF550" i="3"/>
  <c r="BE550" i="3"/>
  <c r="BD550" i="3"/>
  <c r="BA550" i="3" s="1"/>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A546" i="3" s="1"/>
  <c r="BC546" i="3"/>
  <c r="BB546" i="3"/>
  <c r="AX546" i="3"/>
  <c r="AW546" i="3"/>
  <c r="AV546" i="3"/>
  <c r="AC546" i="3"/>
  <c r="G546" i="3" s="1"/>
  <c r="H546" i="3"/>
  <c r="BT545" i="3"/>
  <c r="BS545" i="3"/>
  <c r="BR545" i="3"/>
  <c r="BQ545" i="3"/>
  <c r="BP545" i="3"/>
  <c r="BL545" i="3" s="1"/>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A544" i="3" s="1"/>
  <c r="BI544" i="3"/>
  <c r="BH544" i="3"/>
  <c r="BG544" i="3"/>
  <c r="BF544" i="3"/>
  <c r="BE544" i="3"/>
  <c r="BD544" i="3"/>
  <c r="BC544" i="3"/>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AX539" i="3"/>
  <c r="AW539" i="3"/>
  <c r="AV539" i="3"/>
  <c r="AC539" i="3"/>
  <c r="G539" i="3"/>
  <c r="H539" i="3"/>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G536" i="3" s="1"/>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K531" i="3"/>
  <c r="BJ531" i="3"/>
  <c r="BI531" i="3"/>
  <c r="BH531" i="3"/>
  <c r="BG531" i="3"/>
  <c r="BF531" i="3"/>
  <c r="BE531" i="3"/>
  <c r="BA531" i="3" s="1"/>
  <c r="BD531" i="3"/>
  <c r="BC531" i="3"/>
  <c r="BB531" i="3"/>
  <c r="AX531" i="3"/>
  <c r="AW531" i="3"/>
  <c r="AV531" i="3"/>
  <c r="AC531" i="3"/>
  <c r="G531" i="3"/>
  <c r="H531" i="3"/>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G530" i="3" s="1"/>
  <c r="H530" i="3"/>
  <c r="BT529" i="3"/>
  <c r="BS529" i="3"/>
  <c r="BR529" i="3"/>
  <c r="BQ529" i="3"/>
  <c r="BP529" i="3"/>
  <c r="BO529" i="3"/>
  <c r="BL529" i="3" s="1"/>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A528" i="3" s="1"/>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G527" i="3"/>
  <c r="H527" i="3"/>
  <c r="BT526" i="3"/>
  <c r="BS526" i="3"/>
  <c r="BR526" i="3"/>
  <c r="BQ526" i="3"/>
  <c r="BP526" i="3"/>
  <c r="BL526" i="3" s="1"/>
  <c r="BO526" i="3"/>
  <c r="BN526" i="3"/>
  <c r="BM526" i="3"/>
  <c r="BK526" i="3"/>
  <c r="BJ526" i="3"/>
  <c r="BI526" i="3"/>
  <c r="BH526" i="3"/>
  <c r="BG526" i="3"/>
  <c r="BF526" i="3"/>
  <c r="BE526" i="3"/>
  <c r="BD526" i="3"/>
  <c r="BA526" i="3" s="1"/>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G524" i="3" s="1"/>
  <c r="H524" i="3"/>
  <c r="BT523" i="3"/>
  <c r="BS523" i="3"/>
  <c r="BR523" i="3"/>
  <c r="BQ523" i="3"/>
  <c r="BP523" i="3"/>
  <c r="BL523" i="3" s="1"/>
  <c r="BO523" i="3"/>
  <c r="BN523" i="3"/>
  <c r="BM523" i="3"/>
  <c r="BK523" i="3"/>
  <c r="BJ523" i="3"/>
  <c r="BI523" i="3"/>
  <c r="BH523" i="3"/>
  <c r="BG523" i="3"/>
  <c r="BF523" i="3"/>
  <c r="BE523" i="3"/>
  <c r="BD523" i="3"/>
  <c r="BC523" i="3"/>
  <c r="BB523" i="3"/>
  <c r="AX523" i="3"/>
  <c r="AW523" i="3"/>
  <c r="AV523" i="3"/>
  <c r="AC523" i="3"/>
  <c r="G523" i="3"/>
  <c r="H523" i="3"/>
  <c r="BT522" i="3"/>
  <c r="BS522" i="3"/>
  <c r="BR522" i="3"/>
  <c r="BQ522" i="3"/>
  <c r="BP522" i="3"/>
  <c r="BO522" i="3"/>
  <c r="BN522" i="3"/>
  <c r="BL522" i="3" s="1"/>
  <c r="BM522" i="3"/>
  <c r="BK522" i="3"/>
  <c r="BJ522" i="3"/>
  <c r="BI522" i="3"/>
  <c r="BH522" i="3"/>
  <c r="BG522" i="3"/>
  <c r="BF522" i="3"/>
  <c r="BA522" i="3" s="1"/>
  <c r="AZ522" i="3" s="1"/>
  <c r="BE522" i="3"/>
  <c r="BD522" i="3"/>
  <c r="BC522" i="3"/>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c r="H515" i="3"/>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A511" i="3" s="1"/>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A510" i="3" s="1"/>
  <c r="BC510" i="3"/>
  <c r="BB510" i="3"/>
  <c r="AX510" i="3"/>
  <c r="AW510" i="3"/>
  <c r="AV510" i="3"/>
  <c r="AC510" i="3"/>
  <c r="H510" i="3"/>
  <c r="G510" i="3" s="1"/>
  <c r="BT509" i="3"/>
  <c r="BS509" i="3"/>
  <c r="BR509" i="3"/>
  <c r="BQ509" i="3"/>
  <c r="BP509" i="3"/>
  <c r="BO509" i="3"/>
  <c r="BN509" i="3"/>
  <c r="BM509" i="3"/>
  <c r="BL509" i="3" s="1"/>
  <c r="BK509" i="3"/>
  <c r="BJ509" i="3"/>
  <c r="BA509" i="3" s="1"/>
  <c r="AZ509" i="3" s="1"/>
  <c r="BI509" i="3"/>
  <c r="BH509" i="3"/>
  <c r="BG509" i="3"/>
  <c r="BF509" i="3"/>
  <c r="BE509" i="3"/>
  <c r="BD509" i="3"/>
  <c r="BC509" i="3"/>
  <c r="BB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G504" i="3"/>
  <c r="H504" i="3"/>
  <c r="BT503" i="3"/>
  <c r="BS503" i="3"/>
  <c r="BR503" i="3"/>
  <c r="BQ503" i="3"/>
  <c r="BL503" i="3" s="1"/>
  <c r="BP503" i="3"/>
  <c r="BO503" i="3"/>
  <c r="BN503" i="3"/>
  <c r="BM503" i="3"/>
  <c r="BK503" i="3"/>
  <c r="BJ503" i="3"/>
  <c r="BI503" i="3"/>
  <c r="BH503" i="3"/>
  <c r="BG503" i="3"/>
  <c r="BF503" i="3"/>
  <c r="BE503" i="3"/>
  <c r="BA503" i="3" s="1"/>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L500" i="3" s="1"/>
  <c r="BR500" i="3"/>
  <c r="BQ500" i="3"/>
  <c r="BP500" i="3"/>
  <c r="BO500" i="3"/>
  <c r="BN500" i="3"/>
  <c r="BM500" i="3"/>
  <c r="BK500" i="3"/>
  <c r="BJ500" i="3"/>
  <c r="BI500" i="3"/>
  <c r="BH500" i="3"/>
  <c r="BG500" i="3"/>
  <c r="BF500" i="3"/>
  <c r="BE500" i="3"/>
  <c r="BD500" i="3"/>
  <c r="BC500" i="3"/>
  <c r="BB500" i="3"/>
  <c r="AX500" i="3"/>
  <c r="AW500" i="3"/>
  <c r="AV500" i="3"/>
  <c r="AC500" i="3"/>
  <c r="G500" i="3"/>
  <c r="H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G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A494" i="3" s="1"/>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N492" i="3"/>
  <c r="BM492" i="3"/>
  <c r="BK492" i="3"/>
  <c r="BJ492" i="3"/>
  <c r="BI492" i="3"/>
  <c r="BH492" i="3"/>
  <c r="BG492" i="3"/>
  <c r="BF492" i="3"/>
  <c r="BE492" i="3"/>
  <c r="BD492" i="3"/>
  <c r="BA492" i="3" s="1"/>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L490" i="3" s="1"/>
  <c r="BS490" i="3"/>
  <c r="BR490" i="3"/>
  <c r="BQ490" i="3"/>
  <c r="BP490" i="3"/>
  <c r="BO490" i="3"/>
  <c r="BN490" i="3"/>
  <c r="BM490" i="3"/>
  <c r="BK490" i="3"/>
  <c r="BJ490" i="3"/>
  <c r="BI490" i="3"/>
  <c r="BH490" i="3"/>
  <c r="BA490" i="3" s="1"/>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A485" i="3" s="1"/>
  <c r="AZ485" i="3" s="1"/>
  <c r="BH485" i="3"/>
  <c r="BG485" i="3"/>
  <c r="BF485" i="3"/>
  <c r="BE485" i="3"/>
  <c r="BD485" i="3"/>
  <c r="BC485" i="3"/>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L483" i="3" s="1"/>
  <c r="BR483" i="3"/>
  <c r="BQ483" i="3"/>
  <c r="BP483" i="3"/>
  <c r="BO483" i="3"/>
  <c r="BN483" i="3"/>
  <c r="BM483" i="3"/>
  <c r="BK483" i="3"/>
  <c r="BJ483" i="3"/>
  <c r="BI483" i="3"/>
  <c r="BH483" i="3"/>
  <c r="BG483" i="3"/>
  <c r="BA483" i="3" s="1"/>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c r="H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c r="H476" i="3"/>
  <c r="BT475" i="3"/>
  <c r="BS475" i="3"/>
  <c r="BR475" i="3"/>
  <c r="BQ475" i="3"/>
  <c r="BL475" i="3" s="1"/>
  <c r="BP475" i="3"/>
  <c r="BO475" i="3"/>
  <c r="BN475" i="3"/>
  <c r="BM475" i="3"/>
  <c r="BK475" i="3"/>
  <c r="BJ475" i="3"/>
  <c r="BI475" i="3"/>
  <c r="BH475" i="3"/>
  <c r="BG475" i="3"/>
  <c r="BF475" i="3"/>
  <c r="BE475" i="3"/>
  <c r="BA475" i="3" s="1"/>
  <c r="BD475" i="3"/>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A469" i="3" s="1"/>
  <c r="AZ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c r="H468" i="3"/>
  <c r="BT467" i="3"/>
  <c r="BS467" i="3"/>
  <c r="BR467" i="3"/>
  <c r="BQ467" i="3"/>
  <c r="BL467" i="3" s="1"/>
  <c r="BP467" i="3"/>
  <c r="BO467" i="3"/>
  <c r="BN467" i="3"/>
  <c r="BM467" i="3"/>
  <c r="BK467" i="3"/>
  <c r="BJ467" i="3"/>
  <c r="BI467" i="3"/>
  <c r="BH467" i="3"/>
  <c r="BG467" i="3"/>
  <c r="BF467" i="3"/>
  <c r="BE467" i="3"/>
  <c r="BA467" i="3" s="1"/>
  <c r="BD467" i="3"/>
  <c r="BC467" i="3"/>
  <c r="BB467" i="3"/>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A466" i="3" s="1"/>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c r="BM462" i="3"/>
  <c r="BK462" i="3"/>
  <c r="BJ462" i="3"/>
  <c r="BA462" i="3" s="1"/>
  <c r="AZ462" i="3" s="1"/>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A461" i="3" s="1"/>
  <c r="BE461" i="3"/>
  <c r="BD461" i="3"/>
  <c r="BC461" i="3"/>
  <c r="BB461" i="3"/>
  <c r="AX461" i="3"/>
  <c r="AW461" i="3"/>
  <c r="AV461" i="3"/>
  <c r="AC461" i="3"/>
  <c r="G461" i="3" s="1"/>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G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L448" i="3" s="1"/>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L442" i="3"/>
  <c r="BM442" i="3"/>
  <c r="BK442" i="3"/>
  <c r="BJ442" i="3"/>
  <c r="BA442" i="3" s="1"/>
  <c r="AZ442" i="3" s="1"/>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L439" i="3" s="1"/>
  <c r="BP439" i="3"/>
  <c r="BO439" i="3"/>
  <c r="BN439" i="3"/>
  <c r="BM439" i="3"/>
  <c r="BK439" i="3"/>
  <c r="BJ439" i="3"/>
  <c r="BI439" i="3"/>
  <c r="BH439" i="3"/>
  <c r="BG439" i="3"/>
  <c r="BF439" i="3"/>
  <c r="BE439" i="3"/>
  <c r="BA439" i="3" s="1"/>
  <c r="AZ439" i="3" s="1"/>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c r="BM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c r="BN431" i="3"/>
  <c r="BM431" i="3"/>
  <c r="BK431" i="3"/>
  <c r="BJ431" i="3"/>
  <c r="BI431" i="3"/>
  <c r="BH431" i="3"/>
  <c r="BG431" i="3"/>
  <c r="BF431" i="3"/>
  <c r="BE431" i="3"/>
  <c r="BD431" i="3"/>
  <c r="BC431" i="3"/>
  <c r="BA431" i="3"/>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A424" i="3"/>
  <c r="BC424" i="3"/>
  <c r="BB424" i="3"/>
  <c r="AX424" i="3"/>
  <c r="AW424" i="3"/>
  <c r="AV424" i="3"/>
  <c r="AC424" i="3"/>
  <c r="H424" i="3"/>
  <c r="G424" i="3" s="1"/>
  <c r="BT423" i="3"/>
  <c r="BS423" i="3"/>
  <c r="BR423" i="3"/>
  <c r="BQ423" i="3"/>
  <c r="BL423" i="3" s="1"/>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L420" i="3" s="1"/>
  <c r="BN420" i="3"/>
  <c r="BM420" i="3"/>
  <c r="BK420" i="3"/>
  <c r="BJ420" i="3"/>
  <c r="BI420" i="3"/>
  <c r="BH420" i="3"/>
  <c r="BG420" i="3"/>
  <c r="BF420" i="3"/>
  <c r="BE420" i="3"/>
  <c r="BD420" i="3"/>
  <c r="BA420" i="3"/>
  <c r="AZ420" i="3" s="1"/>
  <c r="BC420" i="3"/>
  <c r="BB420" i="3"/>
  <c r="AX420" i="3"/>
  <c r="AW420" i="3"/>
  <c r="AV420" i="3"/>
  <c r="AC420" i="3"/>
  <c r="G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L407" i="3" s="1"/>
  <c r="BM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c r="H400" i="3"/>
  <c r="BT399" i="3"/>
  <c r="BS399" i="3"/>
  <c r="BR399" i="3"/>
  <c r="BQ399" i="3"/>
  <c r="BP399" i="3"/>
  <c r="BO399" i="3"/>
  <c r="BN399" i="3"/>
  <c r="BL399" i="3" s="1"/>
  <c r="BM399" i="3"/>
  <c r="BK399" i="3"/>
  <c r="BJ399" i="3"/>
  <c r="BA399" i="3" s="1"/>
  <c r="AZ399" i="3" s="1"/>
  <c r="BI399" i="3"/>
  <c r="BH399" i="3"/>
  <c r="BG399" i="3"/>
  <c r="BF399" i="3"/>
  <c r="BE399" i="3"/>
  <c r="BD399" i="3"/>
  <c r="BC399" i="3"/>
  <c r="BB399" i="3"/>
  <c r="AX399" i="3"/>
  <c r="AW399" i="3"/>
  <c r="AV399" i="3"/>
  <c r="AC399" i="3"/>
  <c r="H399" i="3"/>
  <c r="G399" i="3" s="1"/>
  <c r="BT398" i="3"/>
  <c r="BS398" i="3"/>
  <c r="BR398" i="3"/>
  <c r="BQ398" i="3"/>
  <c r="BP398" i="3"/>
  <c r="BO398" i="3"/>
  <c r="BN398" i="3"/>
  <c r="BL398" i="3"/>
  <c r="BM398" i="3"/>
  <c r="BK398" i="3"/>
  <c r="BJ398" i="3"/>
  <c r="BI398" i="3"/>
  <c r="BH398" i="3"/>
  <c r="BG398" i="3"/>
  <c r="BF398" i="3"/>
  <c r="BE398" i="3"/>
  <c r="BD398" i="3"/>
  <c r="BC398" i="3"/>
  <c r="BB398" i="3"/>
  <c r="BA398" i="3"/>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c r="H396" i="3"/>
  <c r="BT395" i="3"/>
  <c r="BS395" i="3"/>
  <c r="BR395" i="3"/>
  <c r="BQ395" i="3"/>
  <c r="BP395" i="3"/>
  <c r="BO395" i="3"/>
  <c r="BN395" i="3"/>
  <c r="BL395" i="3" s="1"/>
  <c r="BM395" i="3"/>
  <c r="BK395" i="3"/>
  <c r="BJ395" i="3"/>
  <c r="BA395" i="3" s="1"/>
  <c r="AZ395" i="3" s="1"/>
  <c r="BI395" i="3"/>
  <c r="BH395" i="3"/>
  <c r="BG395" i="3"/>
  <c r="BF395" i="3"/>
  <c r="BE395" i="3"/>
  <c r="BD395" i="3"/>
  <c r="BC395" i="3"/>
  <c r="BB395" i="3"/>
  <c r="AX395" i="3"/>
  <c r="AW395" i="3"/>
  <c r="AV395" i="3"/>
  <c r="AC395" i="3"/>
  <c r="H395" i="3"/>
  <c r="G395" i="3" s="1"/>
  <c r="BT394" i="3"/>
  <c r="BS394" i="3"/>
  <c r="BR394" i="3"/>
  <c r="BQ394" i="3"/>
  <c r="BP394" i="3"/>
  <c r="BO394" i="3"/>
  <c r="BN394" i="3"/>
  <c r="BL394" i="3"/>
  <c r="BM394" i="3"/>
  <c r="BK394" i="3"/>
  <c r="BJ394" i="3"/>
  <c r="BI394" i="3"/>
  <c r="BH394" i="3"/>
  <c r="BG394" i="3"/>
  <c r="BF394" i="3"/>
  <c r="BE394" i="3"/>
  <c r="BD394" i="3"/>
  <c r="BC394" i="3"/>
  <c r="BB394" i="3"/>
  <c r="BA394" i="3"/>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L391" i="3" s="1"/>
  <c r="BM391" i="3"/>
  <c r="BK391" i="3"/>
  <c r="BJ391" i="3"/>
  <c r="BA391" i="3" s="1"/>
  <c r="AZ391" i="3" s="1"/>
  <c r="BI391" i="3"/>
  <c r="BH391" i="3"/>
  <c r="BG391" i="3"/>
  <c r="BF391" i="3"/>
  <c r="BE391" i="3"/>
  <c r="BD391" i="3"/>
  <c r="BC391" i="3"/>
  <c r="BB391" i="3"/>
  <c r="AX391" i="3"/>
  <c r="AW391" i="3"/>
  <c r="AV391" i="3"/>
  <c r="AC391" i="3"/>
  <c r="H391" i="3"/>
  <c r="G391" i="3" s="1"/>
  <c r="BT390" i="3"/>
  <c r="BS390" i="3"/>
  <c r="BR390" i="3"/>
  <c r="BQ390" i="3"/>
  <c r="BP390" i="3"/>
  <c r="BO390" i="3"/>
  <c r="BN390" i="3"/>
  <c r="BL390" i="3"/>
  <c r="BM390" i="3"/>
  <c r="BK390" i="3"/>
  <c r="BJ390" i="3"/>
  <c r="BI390" i="3"/>
  <c r="BH390" i="3"/>
  <c r="BG390" i="3"/>
  <c r="BF390" i="3"/>
  <c r="BE390" i="3"/>
  <c r="BD390" i="3"/>
  <c r="BC390" i="3"/>
  <c r="BB390" i="3"/>
  <c r="BA390" i="3"/>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A382" i="3" s="1"/>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G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G376" i="3"/>
  <c r="H376" i="3"/>
  <c r="BT375" i="3"/>
  <c r="BS375" i="3"/>
  <c r="BR375" i="3"/>
  <c r="BQ375" i="3"/>
  <c r="BP375" i="3"/>
  <c r="BL375" i="3" s="1"/>
  <c r="BO375" i="3"/>
  <c r="BN375" i="3"/>
  <c r="BM375" i="3"/>
  <c r="BK375" i="3"/>
  <c r="BJ375" i="3"/>
  <c r="BI375" i="3"/>
  <c r="BH375" i="3"/>
  <c r="BG375" i="3"/>
  <c r="BF375" i="3"/>
  <c r="BE375" i="3"/>
  <c r="BD375" i="3"/>
  <c r="BA375" i="3" s="1"/>
  <c r="BC375" i="3"/>
  <c r="BB375" i="3"/>
  <c r="AX375" i="3"/>
  <c r="AW375" i="3"/>
  <c r="AV375" i="3"/>
  <c r="AC375" i="3"/>
  <c r="H375" i="3"/>
  <c r="BT374" i="3"/>
  <c r="BS374" i="3"/>
  <c r="BR374" i="3"/>
  <c r="BQ374" i="3"/>
  <c r="BP374" i="3"/>
  <c r="BO374" i="3"/>
  <c r="BN374" i="3"/>
  <c r="BL374" i="3"/>
  <c r="BM374" i="3"/>
  <c r="BK374" i="3"/>
  <c r="BJ374" i="3"/>
  <c r="BI374" i="3"/>
  <c r="BH374" i="3"/>
  <c r="BG374" i="3"/>
  <c r="BF374" i="3"/>
  <c r="BE374" i="3"/>
  <c r="BD374" i="3"/>
  <c r="BC374" i="3"/>
  <c r="BB374" i="3"/>
  <c r="BA374" i="3"/>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L367" i="3" s="1"/>
  <c r="BM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A363" i="3" s="1"/>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L359" i="3" s="1"/>
  <c r="BM359" i="3"/>
  <c r="BK359" i="3"/>
  <c r="BJ359" i="3"/>
  <c r="BI359" i="3"/>
  <c r="BH359" i="3"/>
  <c r="BG359" i="3"/>
  <c r="BF359" i="3"/>
  <c r="BE359" i="3"/>
  <c r="BD359" i="3"/>
  <c r="BA359" i="3" s="1"/>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c r="BC356" i="3"/>
  <c r="BB356" i="3"/>
  <c r="AX356" i="3"/>
  <c r="AW356" i="3"/>
  <c r="AV356" i="3"/>
  <c r="AC356" i="3"/>
  <c r="G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A351" i="3" s="1"/>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G348" i="3"/>
  <c r="H348" i="3"/>
  <c r="BT347" i="3"/>
  <c r="BS347" i="3"/>
  <c r="BR347" i="3"/>
  <c r="BQ347" i="3"/>
  <c r="BP347" i="3"/>
  <c r="BO347" i="3"/>
  <c r="BN347" i="3"/>
  <c r="BL347" i="3" s="1"/>
  <c r="BM347" i="3"/>
  <c r="BK347" i="3"/>
  <c r="BJ347" i="3"/>
  <c r="BI347" i="3"/>
  <c r="BH347" i="3"/>
  <c r="BG347" i="3"/>
  <c r="BF347" i="3"/>
  <c r="BE347" i="3"/>
  <c r="BD347" i="3"/>
  <c r="BA347" i="3" s="1"/>
  <c r="AZ347" i="3" s="1"/>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G344" i="3"/>
  <c r="H344" i="3"/>
  <c r="BT343" i="3"/>
  <c r="BS343" i="3"/>
  <c r="BR343" i="3"/>
  <c r="BQ343" i="3"/>
  <c r="BP343" i="3"/>
  <c r="BO343" i="3"/>
  <c r="BN343" i="3"/>
  <c r="BL343" i="3" s="1"/>
  <c r="BM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G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A337" i="3" s="1"/>
  <c r="AZ337" i="3" s="1"/>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G336" i="3"/>
  <c r="H336" i="3"/>
  <c r="BT335" i="3"/>
  <c r="BS335" i="3"/>
  <c r="BR335" i="3"/>
  <c r="BQ335" i="3"/>
  <c r="BP335" i="3"/>
  <c r="BO335" i="3"/>
  <c r="BN335" i="3"/>
  <c r="BL335" i="3" s="1"/>
  <c r="BM335" i="3"/>
  <c r="BK335" i="3"/>
  <c r="BJ335" i="3"/>
  <c r="BI335" i="3"/>
  <c r="BH335" i="3"/>
  <c r="BG335" i="3"/>
  <c r="BF335" i="3"/>
  <c r="BE335" i="3"/>
  <c r="BD335" i="3"/>
  <c r="BA335" i="3" s="1"/>
  <c r="AZ335" i="3" s="1"/>
  <c r="BC335" i="3"/>
  <c r="BB335" i="3"/>
  <c r="AX335" i="3"/>
  <c r="AW335" i="3"/>
  <c r="AV335" i="3"/>
  <c r="AC335" i="3"/>
  <c r="H335" i="3"/>
  <c r="G335" i="3" s="1"/>
  <c r="BT334" i="3"/>
  <c r="BS334" i="3"/>
  <c r="BR334" i="3"/>
  <c r="BQ334" i="3"/>
  <c r="BP334" i="3"/>
  <c r="BO334" i="3"/>
  <c r="BN334" i="3"/>
  <c r="BL334" i="3"/>
  <c r="BM334" i="3"/>
  <c r="BK334" i="3"/>
  <c r="BJ334" i="3"/>
  <c r="BI334" i="3"/>
  <c r="BH334" i="3"/>
  <c r="BG334" i="3"/>
  <c r="BF334" i="3"/>
  <c r="BE334" i="3"/>
  <c r="BD334" i="3"/>
  <c r="BC334" i="3"/>
  <c r="BB334" i="3"/>
  <c r="BA334" i="3"/>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A332" i="3" s="1"/>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A329" i="3" s="1"/>
  <c r="AZ329" i="3" s="1"/>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G328" i="3"/>
  <c r="H328" i="3"/>
  <c r="BT327" i="3"/>
  <c r="BS327" i="3"/>
  <c r="BR327" i="3"/>
  <c r="BQ327" i="3"/>
  <c r="BP327" i="3"/>
  <c r="BO327" i="3"/>
  <c r="BN327" i="3"/>
  <c r="BL327" i="3" s="1"/>
  <c r="BM327" i="3"/>
  <c r="BK327" i="3"/>
  <c r="BJ327" i="3"/>
  <c r="BI327" i="3"/>
  <c r="BH327" i="3"/>
  <c r="BG327" i="3"/>
  <c r="BF327" i="3"/>
  <c r="BA327" i="3" s="1"/>
  <c r="AZ327" i="3" s="1"/>
  <c r="BE327" i="3"/>
  <c r="BD327" i="3"/>
  <c r="BC327" i="3"/>
  <c r="BB327" i="3"/>
  <c r="AX327" i="3"/>
  <c r="AW327" i="3"/>
  <c r="AV327" i="3"/>
  <c r="AC327" i="3"/>
  <c r="H327" i="3"/>
  <c r="G327" i="3" s="1"/>
  <c r="BT326" i="3"/>
  <c r="BS326" i="3"/>
  <c r="BR326" i="3"/>
  <c r="BQ326" i="3"/>
  <c r="BP326" i="3"/>
  <c r="BL326" i="3" s="1"/>
  <c r="BO326" i="3"/>
  <c r="BN326" i="3"/>
  <c r="BM326" i="3"/>
  <c r="BK326" i="3"/>
  <c r="BJ326" i="3"/>
  <c r="BI326" i="3"/>
  <c r="BH326" i="3"/>
  <c r="BG326" i="3"/>
  <c r="BF326" i="3"/>
  <c r="BE326" i="3"/>
  <c r="BD326" i="3"/>
  <c r="BA326" i="3" s="1"/>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L318" i="3" s="1"/>
  <c r="BQ318" i="3"/>
  <c r="BP318" i="3"/>
  <c r="BO318" i="3"/>
  <c r="BN318" i="3"/>
  <c r="BM318" i="3"/>
  <c r="BK318" i="3"/>
  <c r="BJ318" i="3"/>
  <c r="BI318" i="3"/>
  <c r="BH318" i="3"/>
  <c r="BG318" i="3"/>
  <c r="BF318" i="3"/>
  <c r="BA318" i="3" s="1"/>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A317" i="3" s="1"/>
  <c r="AZ317" i="3" s="1"/>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A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A312" i="3"/>
  <c r="AZ312" i="3" s="1"/>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AZ298" i="3" s="1"/>
  <c r="BK298" i="3"/>
  <c r="BJ298" i="3"/>
  <c r="BI298" i="3"/>
  <c r="BH298" i="3"/>
  <c r="BG298" i="3"/>
  <c r="BF298" i="3"/>
  <c r="BE298" i="3"/>
  <c r="BD298" i="3"/>
  <c r="BC298" i="3"/>
  <c r="BA298" i="3" s="1"/>
  <c r="BB298" i="3"/>
  <c r="AX298" i="3"/>
  <c r="AW298" i="3"/>
  <c r="AV298" i="3"/>
  <c r="AC298" i="3"/>
  <c r="G298" i="3" s="1"/>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L294" i="3" s="1"/>
  <c r="BP294" i="3"/>
  <c r="BO294" i="3"/>
  <c r="BN294" i="3"/>
  <c r="BM294" i="3"/>
  <c r="BK294" i="3"/>
  <c r="BJ294" i="3"/>
  <c r="BI294" i="3"/>
  <c r="BH294" i="3"/>
  <c r="BG294" i="3"/>
  <c r="BF294" i="3"/>
  <c r="BE294" i="3"/>
  <c r="BA294" i="3" s="1"/>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L288" i="3" s="1"/>
  <c r="BQ288" i="3"/>
  <c r="BP288" i="3"/>
  <c r="BO288" i="3"/>
  <c r="BN288" i="3"/>
  <c r="BM288" i="3"/>
  <c r="BK288" i="3"/>
  <c r="BJ288" i="3"/>
  <c r="BI288" i="3"/>
  <c r="BH288" i="3"/>
  <c r="BG288" i="3"/>
  <c r="BF288" i="3"/>
  <c r="BE288" i="3"/>
  <c r="BD288" i="3"/>
  <c r="BC288" i="3"/>
  <c r="BB288" i="3"/>
  <c r="BA288" i="3" s="1"/>
  <c r="AZ288" i="3" s="1"/>
  <c r="AX288" i="3"/>
  <c r="AW288" i="3"/>
  <c r="AV288" i="3"/>
  <c r="AC288" i="3"/>
  <c r="H288" i="3"/>
  <c r="BT287" i="3"/>
  <c r="BL287" i="3" s="1"/>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A284" i="3" s="1"/>
  <c r="BD284" i="3"/>
  <c r="AZ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G283" i="3" s="1"/>
  <c r="H283" i="3"/>
  <c r="BT282" i="3"/>
  <c r="BS282" i="3"/>
  <c r="BR282" i="3"/>
  <c r="BQ282" i="3"/>
  <c r="BP282" i="3"/>
  <c r="BO282" i="3"/>
  <c r="BN282" i="3"/>
  <c r="BM282" i="3"/>
  <c r="BK282" i="3"/>
  <c r="BJ282" i="3"/>
  <c r="BI282" i="3"/>
  <c r="BH282" i="3"/>
  <c r="BG282" i="3"/>
  <c r="BA282" i="3" s="1"/>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A280" i="3"/>
  <c r="AZ280" i="3" s="1"/>
  <c r="BC280" i="3"/>
  <c r="BB280" i="3"/>
  <c r="AX280" i="3"/>
  <c r="AW280" i="3"/>
  <c r="AV280" i="3"/>
  <c r="AC280" i="3"/>
  <c r="H280" i="3"/>
  <c r="BT279" i="3"/>
  <c r="BS279" i="3"/>
  <c r="BR279" i="3"/>
  <c r="BQ279" i="3"/>
  <c r="BL279" i="3" s="1"/>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L277" i="3" s="1"/>
  <c r="BP277" i="3"/>
  <c r="BO277" i="3"/>
  <c r="BN277" i="3"/>
  <c r="BM277" i="3"/>
  <c r="BK277" i="3"/>
  <c r="BJ277" i="3"/>
  <c r="BI277" i="3"/>
  <c r="BH277" i="3"/>
  <c r="BG277" i="3"/>
  <c r="BF277" i="3"/>
  <c r="BE277" i="3"/>
  <c r="BA277" i="3" s="1"/>
  <c r="AZ277" i="3" s="1"/>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Z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L271" i="3" s="1"/>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L256" i="3" s="1"/>
  <c r="BQ256" i="3"/>
  <c r="BP256" i="3"/>
  <c r="BO256" i="3"/>
  <c r="BN256" i="3"/>
  <c r="BM256" i="3"/>
  <c r="BK256" i="3"/>
  <c r="BJ256" i="3"/>
  <c r="BI256" i="3"/>
  <c r="BH256" i="3"/>
  <c r="BG256" i="3"/>
  <c r="BF256" i="3"/>
  <c r="BE256" i="3"/>
  <c r="BD256" i="3"/>
  <c r="BC256" i="3"/>
  <c r="BB256" i="3"/>
  <c r="BA256" i="3" s="1"/>
  <c r="AZ256" i="3" s="1"/>
  <c r="AX256" i="3"/>
  <c r="AW256" i="3"/>
  <c r="AV256" i="3"/>
  <c r="AC256" i="3"/>
  <c r="H256" i="3"/>
  <c r="BT255" i="3"/>
  <c r="BL255" i="3" s="1"/>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L253" i="3" s="1"/>
  <c r="AZ253" i="3" s="1"/>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A252" i="3" s="1"/>
  <c r="BD252" i="3"/>
  <c r="AZ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L250" i="3" s="1"/>
  <c r="BR250" i="3"/>
  <c r="BQ250" i="3"/>
  <c r="BP250" i="3"/>
  <c r="BO250" i="3"/>
  <c r="BN250" i="3"/>
  <c r="BM250" i="3"/>
  <c r="BK250" i="3"/>
  <c r="BJ250" i="3"/>
  <c r="BI250" i="3"/>
  <c r="BH250" i="3"/>
  <c r="BG250" i="3"/>
  <c r="BA250" i="3" s="1"/>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A248" i="3"/>
  <c r="BC248" i="3"/>
  <c r="BB248" i="3"/>
  <c r="AX248" i="3"/>
  <c r="AW248" i="3"/>
  <c r="AV248" i="3"/>
  <c r="AC248" i="3"/>
  <c r="H248" i="3"/>
  <c r="BT247" i="3"/>
  <c r="BS247" i="3"/>
  <c r="BR247" i="3"/>
  <c r="BQ247" i="3"/>
  <c r="BL247" i="3" s="1"/>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A238" i="3" s="1"/>
  <c r="AZ238" i="3" s="1"/>
  <c r="BF238" i="3"/>
  <c r="BE238" i="3"/>
  <c r="BD238" i="3"/>
  <c r="BC238" i="3"/>
  <c r="BB238" i="3"/>
  <c r="AX238" i="3"/>
  <c r="AW238" i="3"/>
  <c r="AV238" i="3"/>
  <c r="AC238" i="3"/>
  <c r="H238" i="3"/>
  <c r="G238" i="3" s="1"/>
  <c r="BT237" i="3"/>
  <c r="BS237" i="3"/>
  <c r="BR237" i="3"/>
  <c r="BQ237" i="3"/>
  <c r="BP237" i="3"/>
  <c r="BO237" i="3"/>
  <c r="BN237" i="3"/>
  <c r="BM237" i="3"/>
  <c r="BL237" i="3" s="1"/>
  <c r="BK237" i="3"/>
  <c r="BJ237" i="3"/>
  <c r="BA237" i="3" s="1"/>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A230" i="3" s="1"/>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M212" i="3"/>
  <c r="BK212" i="3"/>
  <c r="BJ212" i="3"/>
  <c r="BI212" i="3"/>
  <c r="BH212" i="3"/>
  <c r="BG212" i="3"/>
  <c r="BF212" i="3"/>
  <c r="BA212" i="3" s="1"/>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A211" i="3" s="1"/>
  <c r="BD211" i="3"/>
  <c r="BC211" i="3"/>
  <c r="BB211" i="3"/>
  <c r="AX211" i="3"/>
  <c r="AW211" i="3"/>
  <c r="AV211" i="3"/>
  <c r="AC211" i="3"/>
  <c r="G211" i="3" s="1"/>
  <c r="H211" i="3"/>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G204" i="3" s="1"/>
  <c r="H204" i="3"/>
  <c r="BT203" i="3"/>
  <c r="BS203" i="3"/>
  <c r="BR203" i="3"/>
  <c r="BQ203" i="3"/>
  <c r="BP203" i="3"/>
  <c r="BO203" i="3"/>
  <c r="BL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A188" i="3" s="1"/>
  <c r="AZ188" i="3" s="1"/>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A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L168" i="3" s="1"/>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A160" i="3" s="1"/>
  <c r="AZ160" i="3" s="1"/>
  <c r="BD160" i="3"/>
  <c r="BC160" i="3"/>
  <c r="BB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A154" i="3" s="1"/>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A152" i="3" s="1"/>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L147" i="3" s="1"/>
  <c r="BO147" i="3"/>
  <c r="BN147" i="3"/>
  <c r="BM147" i="3"/>
  <c r="BK147" i="3"/>
  <c r="BJ147" i="3"/>
  <c r="BI147" i="3"/>
  <c r="BH147" i="3"/>
  <c r="BG147" i="3"/>
  <c r="BF147" i="3"/>
  <c r="BE147" i="3"/>
  <c r="BD147" i="3"/>
  <c r="BC147" i="3"/>
  <c r="BB147" i="3"/>
  <c r="BA147" i="3" s="1"/>
  <c r="AZ147" i="3" s="1"/>
  <c r="AX147" i="3"/>
  <c r="AW147" i="3"/>
  <c r="AV147" i="3"/>
  <c r="AC147" i="3"/>
  <c r="H147" i="3"/>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s="1"/>
  <c r="BK145" i="3"/>
  <c r="BJ145" i="3"/>
  <c r="BI145" i="3"/>
  <c r="BH145" i="3"/>
  <c r="BG145" i="3"/>
  <c r="BF145" i="3"/>
  <c r="BE145" i="3"/>
  <c r="BA145" i="3" s="1"/>
  <c r="BD145" i="3"/>
  <c r="BC145" i="3"/>
  <c r="BB145" i="3"/>
  <c r="AX145" i="3"/>
  <c r="AW145" i="3"/>
  <c r="AV145" i="3"/>
  <c r="AC145" i="3"/>
  <c r="G145" i="3" s="1"/>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L142" i="3" s="1"/>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L140" i="3" s="1"/>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L139" i="3" s="1"/>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L136" i="3" s="1"/>
  <c r="BM136" i="3"/>
  <c r="BK136" i="3"/>
  <c r="BJ136" i="3"/>
  <c r="BI136" i="3"/>
  <c r="BH136" i="3"/>
  <c r="BA136" i="3" s="1"/>
  <c r="AZ136" i="3" s="1"/>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G133" i="3" s="1"/>
  <c r="BT132" i="3"/>
  <c r="BS132" i="3"/>
  <c r="BR132" i="3"/>
  <c r="BQ132" i="3"/>
  <c r="BP132" i="3"/>
  <c r="BO132" i="3"/>
  <c r="BL132" i="3" s="1"/>
  <c r="BN132" i="3"/>
  <c r="BM132" i="3"/>
  <c r="BK132" i="3"/>
  <c r="BJ132" i="3"/>
  <c r="BA132" i="3" s="1"/>
  <c r="AZ132" i="3" s="1"/>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A128" i="3" s="1"/>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AZ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L117" i="3" s="1"/>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L116" i="3" s="1"/>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AZ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A102" i="3" s="1"/>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G100" i="3" s="1"/>
  <c r="H100" i="3"/>
  <c r="BT99" i="3"/>
  <c r="BS99" i="3"/>
  <c r="BL99" i="3" s="1"/>
  <c r="BR99" i="3"/>
  <c r="BQ99" i="3"/>
  <c r="BP99" i="3"/>
  <c r="BO99" i="3"/>
  <c r="BN99" i="3"/>
  <c r="BM99" i="3"/>
  <c r="BK99" i="3"/>
  <c r="BJ99" i="3"/>
  <c r="BI99" i="3"/>
  <c r="BH99" i="3"/>
  <c r="BG99" i="3"/>
  <c r="BF99" i="3"/>
  <c r="BE99" i="3"/>
  <c r="BD99" i="3"/>
  <c r="BC99" i="3"/>
  <c r="BA99" i="3" s="1"/>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L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L91" i="3" s="1"/>
  <c r="BO91" i="3"/>
  <c r="BN91" i="3"/>
  <c r="BM91" i="3"/>
  <c r="BK91" i="3"/>
  <c r="BJ91" i="3"/>
  <c r="BI91" i="3"/>
  <c r="BH91" i="3"/>
  <c r="BG91" i="3"/>
  <c r="BF91" i="3"/>
  <c r="BE91" i="3"/>
  <c r="BD91" i="3"/>
  <c r="BC91" i="3"/>
  <c r="BB91" i="3"/>
  <c r="BA91" i="3" s="1"/>
  <c r="AZ91" i="3" s="1"/>
  <c r="AX91" i="3"/>
  <c r="AW91" i="3"/>
  <c r="AV91" i="3"/>
  <c r="AC91" i="3"/>
  <c r="H91" i="3"/>
  <c r="BT90" i="3"/>
  <c r="BS90" i="3"/>
  <c r="BR90" i="3"/>
  <c r="BL90" i="3" s="1"/>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A84" i="3" s="1"/>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L82" i="3" s="1"/>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L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A77" i="3" s="1"/>
  <c r="AZ77" i="3" s="1"/>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L74" i="3" s="1"/>
  <c r="BR74" i="3"/>
  <c r="BQ74" i="3"/>
  <c r="BP74" i="3"/>
  <c r="BO74" i="3"/>
  <c r="BN74" i="3"/>
  <c r="BM74" i="3"/>
  <c r="BK74" i="3"/>
  <c r="BJ74" i="3"/>
  <c r="BI74" i="3"/>
  <c r="BH74" i="3"/>
  <c r="BG74" i="3"/>
  <c r="BF74" i="3"/>
  <c r="BA74" i="3" s="1"/>
  <c r="AZ74" i="3" s="1"/>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A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L70" i="3" s="1"/>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A67" i="3" s="1"/>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A64" i="3" s="1"/>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L61" i="3" s="1"/>
  <c r="BN61" i="3"/>
  <c r="BM61" i="3"/>
  <c r="BK61" i="3"/>
  <c r="BJ61" i="3"/>
  <c r="BI61" i="3"/>
  <c r="BH61" i="3"/>
  <c r="BG61" i="3"/>
  <c r="BF61" i="3"/>
  <c r="BE61" i="3"/>
  <c r="BD61" i="3"/>
  <c r="BA61" i="3" s="1"/>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c r="BK58" i="3"/>
  <c r="BJ58" i="3"/>
  <c r="BI58" i="3"/>
  <c r="BA58" i="3" s="1"/>
  <c r="AZ58" i="3" s="1"/>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A57" i="3" s="1"/>
  <c r="BC57" i="3"/>
  <c r="BB57" i="3"/>
  <c r="AX57" i="3"/>
  <c r="AW57" i="3"/>
  <c r="AV57" i="3"/>
  <c r="AC57" i="3"/>
  <c r="H57" i="3"/>
  <c r="G57" i="3" s="1"/>
  <c r="BT56" i="3"/>
  <c r="BS56" i="3"/>
  <c r="BR56" i="3"/>
  <c r="BL56" i="3" s="1"/>
  <c r="BQ56" i="3"/>
  <c r="BP56" i="3"/>
  <c r="BO56" i="3"/>
  <c r="BN56" i="3"/>
  <c r="BM56" i="3"/>
  <c r="BK56" i="3"/>
  <c r="BJ56" i="3"/>
  <c r="BI56" i="3"/>
  <c r="BH56" i="3"/>
  <c r="BG56" i="3"/>
  <c r="BF56" i="3"/>
  <c r="BA56" i="3" s="1"/>
  <c r="AZ56" i="3" s="1"/>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L52" i="3" s="1"/>
  <c r="AZ52" i="3" s="1"/>
  <c r="BM52" i="3"/>
  <c r="BK52" i="3"/>
  <c r="BJ52" i="3"/>
  <c r="BI52" i="3"/>
  <c r="BH52" i="3"/>
  <c r="BG52" i="3"/>
  <c r="BF52" i="3"/>
  <c r="BE52" i="3"/>
  <c r="BD52" i="3"/>
  <c r="BA52" i="3" s="1"/>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X49" i="3"/>
  <c r="AW49" i="3"/>
  <c r="AV49" i="3"/>
  <c r="AC49" i="3"/>
  <c r="G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G41" i="3"/>
  <c r="H41" i="3"/>
  <c r="BT40" i="3"/>
  <c r="BS40" i="3"/>
  <c r="BR40" i="3"/>
  <c r="BQ40" i="3"/>
  <c r="BP40" i="3"/>
  <c r="BO40" i="3"/>
  <c r="BN40" i="3"/>
  <c r="BL40" i="3" s="1"/>
  <c r="BM40" i="3"/>
  <c r="BK40" i="3"/>
  <c r="BJ40" i="3"/>
  <c r="BI40" i="3"/>
  <c r="BH40" i="3"/>
  <c r="BG40" i="3"/>
  <c r="BF40" i="3"/>
  <c r="BE40" i="3"/>
  <c r="BD40" i="3"/>
  <c r="BC40" i="3"/>
  <c r="BA40" i="3"/>
  <c r="AZ40" i="3"/>
  <c r="BB40" i="3"/>
  <c r="AX40" i="3"/>
  <c r="AW40" i="3"/>
  <c r="AV40" i="3"/>
  <c r="AC40" i="3"/>
  <c r="H40" i="3"/>
  <c r="G40" i="3" s="1"/>
  <c r="BT39" i="3"/>
  <c r="BS39" i="3"/>
  <c r="BR39" i="3"/>
  <c r="BQ39" i="3"/>
  <c r="BP39" i="3"/>
  <c r="BO39" i="3"/>
  <c r="BN39" i="3"/>
  <c r="BL39" i="3"/>
  <c r="BM39" i="3"/>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A37" i="3" s="1"/>
  <c r="BC37" i="3"/>
  <c r="BB37" i="3"/>
  <c r="AX37" i="3"/>
  <c r="AW37" i="3"/>
  <c r="AV37" i="3"/>
  <c r="AC37" i="3"/>
  <c r="H37" i="3"/>
  <c r="G37" i="3" s="1"/>
  <c r="BT36" i="3"/>
  <c r="BS36" i="3"/>
  <c r="BR36" i="3"/>
  <c r="BQ36" i="3"/>
  <c r="BP36" i="3"/>
  <c r="BO36" i="3"/>
  <c r="BL36" i="3"/>
  <c r="BN36" i="3"/>
  <c r="BM36" i="3"/>
  <c r="BK36" i="3"/>
  <c r="BJ36" i="3"/>
  <c r="BI36" i="3"/>
  <c r="BH36" i="3"/>
  <c r="BG36" i="3"/>
  <c r="BF36" i="3"/>
  <c r="BE36" i="3"/>
  <c r="BD36" i="3"/>
  <c r="BC36" i="3"/>
  <c r="BA36" i="3"/>
  <c r="AZ36" i="3" s="1"/>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A29" i="3" s="1"/>
  <c r="BB29" i="3"/>
  <c r="AX29" i="3"/>
  <c r="AW29" i="3"/>
  <c r="AV29" i="3"/>
  <c r="AC29" i="3"/>
  <c r="G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L27" i="3"/>
  <c r="BM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A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L22" i="3" s="1"/>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AC5" i="3" s="1"/>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G16" i="3" s="1"/>
  <c r="H16" i="3"/>
  <c r="BT15" i="3"/>
  <c r="BS15" i="3"/>
  <c r="BR15" i="3"/>
  <c r="BQ15" i="3"/>
  <c r="BP15" i="3"/>
  <c r="BO15" i="3"/>
  <c r="BN15" i="3"/>
  <c r="BM15" i="3"/>
  <c r="BK15" i="3"/>
  <c r="BJ15" i="3"/>
  <c r="BI15" i="3"/>
  <c r="BH15" i="3"/>
  <c r="BG15" i="3"/>
  <c r="BF15" i="3"/>
  <c r="BE15" i="3"/>
  <c r="BD15" i="3"/>
  <c r="BC15" i="3"/>
  <c r="BB15" i="3"/>
  <c r="BA15" i="3"/>
  <c r="AX15" i="3"/>
  <c r="AW15" i="3"/>
  <c r="AV15" i="3"/>
  <c r="AC15" i="3"/>
  <c r="H15" i="3"/>
  <c r="G15" i="3"/>
  <c r="BT14" i="3"/>
  <c r="BS14" i="3"/>
  <c r="BR14" i="3"/>
  <c r="BQ14" i="3"/>
  <c r="BP14" i="3"/>
  <c r="BO14" i="3"/>
  <c r="BO5" i="3" s="1"/>
  <c r="BN14" i="3"/>
  <c r="BM14" i="3"/>
  <c r="BK14" i="3"/>
  <c r="BJ14" i="3"/>
  <c r="BI14" i="3"/>
  <c r="BH14" i="3"/>
  <c r="BG14" i="3"/>
  <c r="BF14" i="3"/>
  <c r="BE14" i="3"/>
  <c r="BD14" i="3"/>
  <c r="BC14" i="3"/>
  <c r="BB14" i="3"/>
  <c r="BA14" i="3" s="1"/>
  <c r="AX14" i="3"/>
  <c r="AW14" i="3"/>
  <c r="AV14" i="3"/>
  <c r="AC14" i="3"/>
  <c r="H14" i="3"/>
  <c r="BT13" i="3"/>
  <c r="BS13" i="3"/>
  <c r="BR13" i="3"/>
  <c r="BQ13" i="3"/>
  <c r="BP13" i="3"/>
  <c r="BO13" i="3"/>
  <c r="BN13" i="3"/>
  <c r="BM13" i="3"/>
  <c r="BK13" i="3"/>
  <c r="BK5" i="3" s="1"/>
  <c r="BJ13" i="3"/>
  <c r="BI13" i="3"/>
  <c r="BH13" i="3"/>
  <c r="BG13" i="3"/>
  <c r="BG5" i="3" s="1"/>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A15" i="62"/>
  <c r="B61" i="72" s="1"/>
  <c r="F19" i="4"/>
  <c r="I15" i="4"/>
  <c r="H15" i="4"/>
  <c r="G15" i="4"/>
  <c r="F15" i="4"/>
  <c r="C15" i="4"/>
  <c r="K6" i="4"/>
  <c r="K56" i="9" s="1"/>
  <c r="I4" i="4"/>
  <c r="G4" i="4"/>
  <c r="E4" i="4"/>
  <c r="B5" i="62"/>
  <c r="B73" i="72" s="1"/>
  <c r="C4" i="4"/>
  <c r="K4" i="4"/>
  <c r="B46" i="48" s="1"/>
  <c r="B4" i="72" s="1"/>
  <c r="S2" i="4"/>
  <c r="A4" i="52"/>
  <c r="B41" i="72" s="1"/>
  <c r="S1" i="4"/>
  <c r="A4" i="51" s="1"/>
  <c r="B6" i="72" s="1"/>
  <c r="B1" i="4"/>
  <c r="X8" i="71" s="1"/>
  <c r="C60" i="78"/>
  <c r="D60" i="78"/>
  <c r="B56" i="78"/>
  <c r="D53" i="78"/>
  <c r="D52" i="78"/>
  <c r="D51" i="78"/>
  <c r="B51" i="78"/>
  <c r="B54" i="78" s="1"/>
  <c r="D54" i="78" s="1"/>
  <c r="B62" i="78"/>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F11" i="78"/>
  <c r="C15" i="78" s="1"/>
  <c r="B18" i="78"/>
  <c r="B3" i="78"/>
  <c r="C6" i="78" s="1"/>
  <c r="D6" i="78" s="1"/>
  <c r="C53" i="10"/>
  <c r="C51" i="10"/>
  <c r="A13" i="51"/>
  <c r="B11" i="72" s="1"/>
  <c r="B51" i="10"/>
  <c r="H16" i="49"/>
  <c r="D16" i="49"/>
  <c r="D15" i="49"/>
  <c r="B2" i="49"/>
  <c r="F12" i="49" s="1"/>
  <c r="H12" i="49" s="1"/>
  <c r="A21" i="62"/>
  <c r="B67" i="72"/>
  <c r="A20" i="62"/>
  <c r="B66" i="72" s="1"/>
  <c r="A19" i="62"/>
  <c r="B65" i="72"/>
  <c r="A14" i="62"/>
  <c r="A13" i="62"/>
  <c r="B59" i="72"/>
  <c r="A12" i="62"/>
  <c r="A5" i="62"/>
  <c r="B4" i="62"/>
  <c r="B71" i="72" s="1"/>
  <c r="A4" i="62"/>
  <c r="B70" i="72" s="1"/>
  <c r="A10" i="52"/>
  <c r="B55" i="72"/>
  <c r="A8" i="52"/>
  <c r="B54" i="72" s="1"/>
  <c r="D6" i="52"/>
  <c r="A6" i="52"/>
  <c r="H2" i="52"/>
  <c r="F2" i="52"/>
  <c r="B50" i="72" s="1"/>
  <c r="D2" i="52"/>
  <c r="A1" i="52"/>
  <c r="D21" i="53"/>
  <c r="B39" i="72" s="1"/>
  <c r="B19" i="53"/>
  <c r="B37" i="72" s="1"/>
  <c r="B16" i="53"/>
  <c r="B13" i="53"/>
  <c r="D12" i="53"/>
  <c r="D11" i="53"/>
  <c r="B27" i="72" s="1"/>
  <c r="D10" i="53"/>
  <c r="B26" i="72" s="1"/>
  <c r="D8" i="53"/>
  <c r="D9" i="53" s="1"/>
  <c r="B25" i="72" s="1"/>
  <c r="B8" i="53"/>
  <c r="A3" i="53"/>
  <c r="A2" i="53"/>
  <c r="A24" i="51"/>
  <c r="B18" i="72" s="1"/>
  <c r="A22" i="51"/>
  <c r="B17" i="72" s="1"/>
  <c r="A21" i="51"/>
  <c r="B16" i="72"/>
  <c r="A20" i="51"/>
  <c r="A18" i="51"/>
  <c r="B13" i="72" s="1"/>
  <c r="A15" i="51"/>
  <c r="B12" i="72" s="1"/>
  <c r="A3" i="51"/>
  <c r="B49" i="48"/>
  <c r="B5" i="72" s="1"/>
  <c r="B40" i="48"/>
  <c r="B37" i="48"/>
  <c r="B2" i="72" s="1"/>
  <c r="B74" i="72"/>
  <c r="B72" i="72"/>
  <c r="B69" i="72"/>
  <c r="B68" i="72"/>
  <c r="B63" i="72"/>
  <c r="B62" i="72"/>
  <c r="B60" i="72"/>
  <c r="B58" i="72"/>
  <c r="B57" i="72"/>
  <c r="B46" i="72"/>
  <c r="B44" i="72"/>
  <c r="B42" i="72"/>
  <c r="B33" i="72"/>
  <c r="B29" i="72"/>
  <c r="B28" i="72"/>
  <c r="B24" i="72"/>
  <c r="B23" i="72"/>
  <c r="B19" i="72"/>
  <c r="B15" i="72"/>
  <c r="B10" i="72"/>
  <c r="B8" i="72"/>
  <c r="B3" i="72"/>
  <c r="W8" i="34"/>
  <c r="D24" i="15"/>
  <c r="AA9" i="34"/>
  <c r="G27" i="12"/>
  <c r="G41" i="68"/>
  <c r="G22" i="69"/>
  <c r="AZ54" i="3"/>
  <c r="T35" i="4"/>
  <c r="A19" i="51"/>
  <c r="B14" i="72" s="1"/>
  <c r="BL78" i="3"/>
  <c r="C18" i="78"/>
  <c r="A118" i="9"/>
  <c r="A2" i="9"/>
  <c r="J55" i="39"/>
  <c r="J50" i="40"/>
  <c r="B15" i="78"/>
  <c r="Y8" i="71"/>
  <c r="Z8" i="71" s="1"/>
  <c r="AB8" i="71"/>
  <c r="N56" i="9"/>
  <c r="M56" i="9"/>
  <c r="J56" i="9"/>
  <c r="BL81" i="3"/>
  <c r="G83" i="3"/>
  <c r="BL85" i="3"/>
  <c r="BL86" i="3"/>
  <c r="AZ86" i="3" s="1"/>
  <c r="G87" i="3"/>
  <c r="BL89" i="3"/>
  <c r="G91" i="3"/>
  <c r="BL93" i="3"/>
  <c r="BL94" i="3"/>
  <c r="G95" i="3"/>
  <c r="BL97" i="3"/>
  <c r="BL98" i="3"/>
  <c r="G99" i="3"/>
  <c r="BL101" i="3"/>
  <c r="BL102" i="3"/>
  <c r="BL106" i="3"/>
  <c r="G107" i="3"/>
  <c r="BL110" i="3"/>
  <c r="AZ110" i="3" s="1"/>
  <c r="G111" i="3"/>
  <c r="BL114" i="3"/>
  <c r="G115" i="3"/>
  <c r="BL118" i="3"/>
  <c r="BL121" i="3"/>
  <c r="BL122" i="3"/>
  <c r="G123" i="3"/>
  <c r="BL125" i="3"/>
  <c r="BL126" i="3"/>
  <c r="G127" i="3"/>
  <c r="G128" i="3"/>
  <c r="BA135" i="3"/>
  <c r="AZ135" i="3" s="1"/>
  <c r="BL138" i="3"/>
  <c r="G144" i="3"/>
  <c r="BA151" i="3"/>
  <c r="BL154" i="3"/>
  <c r="G160" i="3"/>
  <c r="BA167" i="3"/>
  <c r="BL170" i="3"/>
  <c r="AZ170" i="3" s="1"/>
  <c r="G176" i="3"/>
  <c r="AZ181" i="3"/>
  <c r="BA183" i="3"/>
  <c r="BL186" i="3"/>
  <c r="AZ186" i="3" s="1"/>
  <c r="G192" i="3"/>
  <c r="AZ197" i="3"/>
  <c r="BA199" i="3"/>
  <c r="BL202" i="3"/>
  <c r="AZ202" i="3" s="1"/>
  <c r="G208" i="3"/>
  <c r="BA215" i="3"/>
  <c r="AZ215" i="3" s="1"/>
  <c r="BL218" i="3"/>
  <c r="G224" i="3"/>
  <c r="BA231" i="3"/>
  <c r="BL234" i="3"/>
  <c r="AZ234" i="3" s="1"/>
  <c r="G240" i="3"/>
  <c r="BA247" i="3"/>
  <c r="AZ247" i="3" s="1"/>
  <c r="G256" i="3"/>
  <c r="AZ261" i="3"/>
  <c r="BL266" i="3"/>
  <c r="BA279" i="3"/>
  <c r="AZ279" i="3" s="1"/>
  <c r="BL282" i="3"/>
  <c r="G288" i="3"/>
  <c r="BA295" i="3"/>
  <c r="G304" i="3"/>
  <c r="AZ402" i="3"/>
  <c r="AZ421" i="3"/>
  <c r="AZ81" i="3"/>
  <c r="AZ85" i="3"/>
  <c r="AZ105" i="3"/>
  <c r="AZ113" i="3"/>
  <c r="AZ150" i="3"/>
  <c r="G212" i="3"/>
  <c r="AZ214" i="3"/>
  <c r="G228" i="3"/>
  <c r="G244" i="3"/>
  <c r="G260" i="3"/>
  <c r="G276" i="3"/>
  <c r="G292" i="3"/>
  <c r="AZ294" i="3"/>
  <c r="G308" i="3"/>
  <c r="AZ106" i="3"/>
  <c r="BA122" i="3"/>
  <c r="AZ122" i="3" s="1"/>
  <c r="BA123" i="3"/>
  <c r="AZ123" i="3" s="1"/>
  <c r="BA126" i="3"/>
  <c r="AZ126" i="3"/>
  <c r="BA127" i="3"/>
  <c r="AZ127" i="3"/>
  <c r="BL130" i="3"/>
  <c r="G136" i="3"/>
  <c r="BA143" i="3"/>
  <c r="G152" i="3"/>
  <c r="AZ154" i="3"/>
  <c r="BA159" i="3"/>
  <c r="AZ159" i="3" s="1"/>
  <c r="BL162" i="3"/>
  <c r="G168" i="3"/>
  <c r="BA175" i="3"/>
  <c r="AZ175" i="3"/>
  <c r="BL178" i="3"/>
  <c r="G184" i="3"/>
  <c r="BA191" i="3"/>
  <c r="BL194" i="3"/>
  <c r="G200" i="3"/>
  <c r="BA207" i="3"/>
  <c r="AZ207" i="3" s="1"/>
  <c r="BL210" i="3"/>
  <c r="AZ210" i="3"/>
  <c r="G216" i="3"/>
  <c r="BA223" i="3"/>
  <c r="BL226" i="3"/>
  <c r="AZ226" i="3" s="1"/>
  <c r="G232" i="3"/>
  <c r="AZ237" i="3"/>
  <c r="BA239" i="3"/>
  <c r="AZ239" i="3"/>
  <c r="BL242" i="3"/>
  <c r="AZ242" i="3" s="1"/>
  <c r="G248" i="3"/>
  <c r="AZ250" i="3"/>
  <c r="AZ251" i="3"/>
  <c r="BA255" i="3"/>
  <c r="AZ255" i="3" s="1"/>
  <c r="BL258" i="3"/>
  <c r="AZ258" i="3" s="1"/>
  <c r="G264" i="3"/>
  <c r="G280" i="3"/>
  <c r="AZ282" i="3"/>
  <c r="AZ285" i="3"/>
  <c r="BA287" i="3"/>
  <c r="AZ287" i="3" s="1"/>
  <c r="BL290" i="3"/>
  <c r="AZ290" i="3" s="1"/>
  <c r="G296" i="3"/>
  <c r="BA303" i="3"/>
  <c r="AZ303" i="3"/>
  <c r="BL306" i="3"/>
  <c r="AZ306" i="3" s="1"/>
  <c r="AZ482" i="3"/>
  <c r="AZ483" i="3"/>
  <c r="AZ490" i="3"/>
  <c r="AZ498" i="3"/>
  <c r="AZ503" i="3"/>
  <c r="AZ507" i="3"/>
  <c r="AZ510" i="3"/>
  <c r="AZ582" i="3"/>
  <c r="D121" i="9"/>
  <c r="D7" i="52" s="1"/>
  <c r="K120" i="9"/>
  <c r="A18" i="62" s="1"/>
  <c r="B64" i="72" s="1"/>
  <c r="U44" i="34"/>
  <c r="AB44" i="34"/>
  <c r="H15" i="34"/>
  <c r="AB15" i="34" s="1"/>
  <c r="E78" i="34"/>
  <c r="J15" i="34" s="1"/>
  <c r="F15" i="34"/>
  <c r="J28" i="34"/>
  <c r="H28" i="34"/>
  <c r="W15" i="21"/>
  <c r="AC15" i="21"/>
  <c r="W23" i="21"/>
  <c r="AC23" i="21"/>
  <c r="S35" i="21"/>
  <c r="S43" i="21"/>
  <c r="F12" i="33"/>
  <c r="H12" i="33"/>
  <c r="J12" i="33"/>
  <c r="F79" i="33"/>
  <c r="G79" i="33" s="1"/>
  <c r="AC33" i="35"/>
  <c r="W33" i="35"/>
  <c r="U32" i="34"/>
  <c r="AB32" i="34"/>
  <c r="S36" i="34"/>
  <c r="S38" i="34"/>
  <c r="U40" i="34"/>
  <c r="AB40" i="34"/>
  <c r="J23" i="34"/>
  <c r="H23" i="34"/>
  <c r="E86" i="34"/>
  <c r="F86" i="34"/>
  <c r="G86" i="34" s="1"/>
  <c r="F23" i="34"/>
  <c r="J32" i="34"/>
  <c r="F32" i="34"/>
  <c r="H45" i="34"/>
  <c r="J45" i="34"/>
  <c r="U17" i="21"/>
  <c r="AB17" i="21"/>
  <c r="AB12" i="37"/>
  <c r="S14" i="37"/>
  <c r="U15" i="40"/>
  <c r="AB15" i="40"/>
  <c r="BA513" i="3"/>
  <c r="BA517" i="3"/>
  <c r="BA521" i="3"/>
  <c r="AZ521" i="3"/>
  <c r="BA525" i="3"/>
  <c r="BA529" i="3"/>
  <c r="AZ529" i="3" s="1"/>
  <c r="BA533" i="3"/>
  <c r="BA537" i="3"/>
  <c r="BA541" i="3"/>
  <c r="BA545" i="3"/>
  <c r="AZ545" i="3"/>
  <c r="BA549" i="3"/>
  <c r="BA553" i="3"/>
  <c r="AZ553" i="3" s="1"/>
  <c r="BA557" i="3"/>
  <c r="AZ557" i="3"/>
  <c r="BA561" i="3"/>
  <c r="BA565" i="3"/>
  <c r="AZ565" i="3" s="1"/>
  <c r="BA569" i="3"/>
  <c r="AZ569" i="3"/>
  <c r="BA573" i="3"/>
  <c r="BA577" i="3"/>
  <c r="AZ577" i="3" s="1"/>
  <c r="F34" i="11"/>
  <c r="F11" i="12"/>
  <c r="C23" i="12" s="1"/>
  <c r="F34" i="68"/>
  <c r="C15" i="39"/>
  <c r="B72" i="43"/>
  <c r="B61" i="43"/>
  <c r="C19" i="39"/>
  <c r="B79" i="43"/>
  <c r="B58" i="43"/>
  <c r="B69" i="43"/>
  <c r="B101" i="43"/>
  <c r="C25" i="39"/>
  <c r="B65" i="43"/>
  <c r="B97" i="43"/>
  <c r="B54" i="43"/>
  <c r="B75" i="43"/>
  <c r="W10" i="34"/>
  <c r="W21" i="34"/>
  <c r="S29" i="34"/>
  <c r="W31" i="34"/>
  <c r="AC31" i="34"/>
  <c r="S41" i="34"/>
  <c r="S46" i="34"/>
  <c r="AA46" i="34"/>
  <c r="D23" i="77"/>
  <c r="S27" i="21"/>
  <c r="W32" i="21"/>
  <c r="AC32" i="21"/>
  <c r="W40" i="21"/>
  <c r="AC40" i="21"/>
  <c r="U44" i="21"/>
  <c r="AB44" i="21"/>
  <c r="S21" i="37"/>
  <c r="AB23" i="35"/>
  <c r="U23" i="35"/>
  <c r="BL512" i="3"/>
  <c r="BL516" i="3"/>
  <c r="BL520" i="3"/>
  <c r="AZ520" i="3" s="1"/>
  <c r="BL524" i="3"/>
  <c r="BL528" i="3"/>
  <c r="AZ528" i="3"/>
  <c r="BL532" i="3"/>
  <c r="BL536" i="3"/>
  <c r="AZ536" i="3" s="1"/>
  <c r="BL540" i="3"/>
  <c r="BL544" i="3"/>
  <c r="AZ544" i="3" s="1"/>
  <c r="BL548" i="3"/>
  <c r="BL552" i="3"/>
  <c r="AZ552" i="3"/>
  <c r="BL556" i="3"/>
  <c r="BL560" i="3"/>
  <c r="BL564" i="3"/>
  <c r="BL568" i="3"/>
  <c r="BL572" i="3"/>
  <c r="BL576" i="3"/>
  <c r="AZ576" i="3"/>
  <c r="BA581" i="3"/>
  <c r="G586" i="3"/>
  <c r="S7" i="1"/>
  <c r="AQ7" i="1" s="1"/>
  <c r="M7" i="1"/>
  <c r="B7" i="1"/>
  <c r="E7" i="1"/>
  <c r="R7" i="1"/>
  <c r="J57" i="9"/>
  <c r="J59" i="9" s="1"/>
  <c r="J61" i="9" s="1"/>
  <c r="F40" i="69"/>
  <c r="U19" i="34"/>
  <c r="U25" i="34"/>
  <c r="AB25" i="34"/>
  <c r="F28" i="34"/>
  <c r="F45" i="34"/>
  <c r="C29" i="77"/>
  <c r="S46" i="21"/>
  <c r="AB44" i="33"/>
  <c r="F13" i="35"/>
  <c r="H13" i="35"/>
  <c r="J13" i="35"/>
  <c r="BL580" i="3"/>
  <c r="BL584" i="3"/>
  <c r="E19" i="11"/>
  <c r="E19" i="68"/>
  <c r="B83" i="43"/>
  <c r="C15" i="40"/>
  <c r="B51" i="43"/>
  <c r="B62" i="43"/>
  <c r="B94" i="43"/>
  <c r="B73" i="43"/>
  <c r="C21" i="39"/>
  <c r="C8" i="74"/>
  <c r="A126" i="9"/>
  <c r="A12" i="52" s="1"/>
  <c r="B56" i="72" s="1"/>
  <c r="AA10" i="34"/>
  <c r="AB13" i="34"/>
  <c r="H17" i="34"/>
  <c r="AA21" i="34"/>
  <c r="AC29" i="34"/>
  <c r="AC30" i="34"/>
  <c r="AA31" i="34"/>
  <c r="AC36" i="34"/>
  <c r="AB39" i="34"/>
  <c r="AB42" i="34"/>
  <c r="J44" i="34"/>
  <c r="AC44" i="34" s="1"/>
  <c r="AC9" i="34"/>
  <c r="W9" i="34"/>
  <c r="AB12" i="34"/>
  <c r="U12" i="34"/>
  <c r="AC46" i="34"/>
  <c r="W46" i="34"/>
  <c r="R35" i="77"/>
  <c r="U34" i="77" s="1"/>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M11" i="1"/>
  <c r="B11" i="1"/>
  <c r="E11" i="1"/>
  <c r="C94" i="9"/>
  <c r="AB10" i="34"/>
  <c r="AA19" i="34"/>
  <c r="AB21" i="34"/>
  <c r="AA33" i="34"/>
  <c r="AA35" i="34"/>
  <c r="AC39" i="34"/>
  <c r="D22" i="67"/>
  <c r="D23" i="67"/>
  <c r="D7" i="77"/>
  <c r="C26" i="77"/>
  <c r="C32" i="77" s="1"/>
  <c r="C38" i="77" s="1"/>
  <c r="C39" i="77" s="1"/>
  <c r="AB8" i="21"/>
  <c r="U8" i="21"/>
  <c r="F29" i="21"/>
  <c r="H29" i="21"/>
  <c r="AA44" i="21"/>
  <c r="S44" i="21"/>
  <c r="AC13" i="33"/>
  <c r="W13" i="33"/>
  <c r="AC26" i="33"/>
  <c r="W26" i="33"/>
  <c r="AC37" i="33"/>
  <c r="W37" i="33"/>
  <c r="S11" i="37"/>
  <c r="S17" i="37"/>
  <c r="S29" i="37"/>
  <c r="U35" i="37"/>
  <c r="AB35" i="37"/>
  <c r="S36" i="37"/>
  <c r="S37"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s="1"/>
  <c r="H12" i="21"/>
  <c r="J12" i="21"/>
  <c r="H30" i="21"/>
  <c r="AB30" i="21" s="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C11" i="40"/>
  <c r="W11" i="40"/>
  <c r="S10" i="21"/>
  <c r="U11" i="21"/>
  <c r="S15" i="21"/>
  <c r="S17" i="21"/>
  <c r="S19" i="21"/>
  <c r="S21" i="21"/>
  <c r="S23" i="21"/>
  <c r="U25" i="21"/>
  <c r="W26" i="21"/>
  <c r="S28" i="21"/>
  <c r="S32" i="21"/>
  <c r="U33" i="21"/>
  <c r="W34" i="21"/>
  <c r="S36" i="21"/>
  <c r="U37" i="21"/>
  <c r="W38" i="21"/>
  <c r="S40" i="21"/>
  <c r="U41" i="21"/>
  <c r="W42" i="21"/>
  <c r="W46" i="21"/>
  <c r="S14" i="33"/>
  <c r="H19" i="33"/>
  <c r="AB19" i="33"/>
  <c r="E81" i="33"/>
  <c r="F81" i="33"/>
  <c r="G81" i="33" s="1"/>
  <c r="H23" i="33"/>
  <c r="AB23" i="33"/>
  <c r="E85" i="33"/>
  <c r="F85" i="33" s="1"/>
  <c r="G85" i="33" s="1"/>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AB12" i="40" s="1"/>
  <c r="H27" i="37"/>
  <c r="F27" i="37"/>
  <c r="S27" i="37" s="1"/>
  <c r="S28" i="35"/>
  <c r="S29" i="35"/>
  <c r="U34" i="35"/>
  <c r="AB34" i="35"/>
  <c r="F9" i="35"/>
  <c r="H9" i="35"/>
  <c r="AA34" i="35"/>
  <c r="S34" i="35"/>
  <c r="W29" i="36"/>
  <c r="AC29" i="36"/>
  <c r="U31" i="36"/>
  <c r="U14" i="39"/>
  <c r="AB14" i="39"/>
  <c r="U29" i="39"/>
  <c r="AB29" i="39"/>
  <c r="U39" i="39"/>
  <c r="AB39" i="39"/>
  <c r="S42" i="39"/>
  <c r="J37" i="39"/>
  <c r="H37" i="39"/>
  <c r="S9" i="40"/>
  <c r="AB14" i="40"/>
  <c r="AC23" i="40"/>
  <c r="W23" i="40"/>
  <c r="AC31" i="40"/>
  <c r="W31" i="40"/>
  <c r="H38" i="40"/>
  <c r="J38" i="40"/>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J23" i="33"/>
  <c r="AC23" i="33" s="1"/>
  <c r="H30" i="33"/>
  <c r="AB30" i="33" s="1"/>
  <c r="AB13" i="33"/>
  <c r="U13" i="33"/>
  <c r="F43" i="33"/>
  <c r="AA43" i="33" s="1"/>
  <c r="E125" i="33"/>
  <c r="F125" i="33"/>
  <c r="G125" i="33"/>
  <c r="J27" i="37"/>
  <c r="S40" i="37"/>
  <c r="H9" i="37"/>
  <c r="F9" i="37"/>
  <c r="H13" i="37"/>
  <c r="F13" i="37"/>
  <c r="AC28" i="37"/>
  <c r="W28" i="37"/>
  <c r="W8" i="35"/>
  <c r="AC8" i="35"/>
  <c r="S11" i="35"/>
  <c r="W16" i="35"/>
  <c r="AC16" i="35"/>
  <c r="U30" i="35"/>
  <c r="AB30" i="35"/>
  <c r="J34" i="35"/>
  <c r="S35" i="35"/>
  <c r="AA35" i="35"/>
  <c r="S11" i="39"/>
  <c r="U25" i="39"/>
  <c r="AB25" i="39"/>
  <c r="S31" i="39"/>
  <c r="F37" i="39"/>
  <c r="S40" i="39"/>
  <c r="AB45" i="39"/>
  <c r="J12" i="39"/>
  <c r="H12" i="39"/>
  <c r="U9" i="40"/>
  <c r="C21" i="40"/>
  <c r="F31" i="40"/>
  <c r="AB32" i="40"/>
  <c r="S36" i="40"/>
  <c r="F38" i="40"/>
  <c r="AB39" i="40"/>
  <c r="U39" i="40"/>
  <c r="J39" i="40"/>
  <c r="AC39" i="40" s="1"/>
  <c r="F39" i="40"/>
  <c r="R10" i="79"/>
  <c r="AF10" i="79"/>
  <c r="R7" i="79"/>
  <c r="AF7" i="79" s="1"/>
  <c r="R8" i="79"/>
  <c r="AF8" i="79"/>
  <c r="V10" i="79"/>
  <c r="AJ10" i="79"/>
  <c r="V7" i="79"/>
  <c r="AJ7" i="79" s="1"/>
  <c r="V8" i="79"/>
  <c r="AJ8" i="79"/>
  <c r="O3" i="79"/>
  <c r="U19" i="79"/>
  <c r="AI19" i="79" s="1"/>
  <c r="U10" i="79"/>
  <c r="AI10" i="79"/>
  <c r="U11" i="79"/>
  <c r="AI11" i="79" s="1"/>
  <c r="U17" i="79"/>
  <c r="AI17" i="79" s="1"/>
  <c r="W40" i="33"/>
  <c r="S46" i="33"/>
  <c r="U10" i="37"/>
  <c r="W11" i="37"/>
  <c r="U14" i="37"/>
  <c r="U15" i="37"/>
  <c r="U17" i="37"/>
  <c r="U19" i="37"/>
  <c r="U21" i="37"/>
  <c r="U23" i="37"/>
  <c r="W25" i="37"/>
  <c r="U28" i="37"/>
  <c r="W29" i="37"/>
  <c r="AA31" i="37"/>
  <c r="S31" i="37"/>
  <c r="T12" i="79"/>
  <c r="P12" i="79"/>
  <c r="T9" i="79"/>
  <c r="T6" i="79"/>
  <c r="W6" i="79" s="1"/>
  <c r="AK6" i="79" s="1"/>
  <c r="T10" i="79"/>
  <c r="T3" i="79"/>
  <c r="W3" i="79" s="1"/>
  <c r="R17" i="79"/>
  <c r="AF17" i="79" s="1"/>
  <c r="R16" i="79"/>
  <c r="AF16" i="79" s="1"/>
  <c r="R13" i="79"/>
  <c r="AF13" i="79"/>
  <c r="R11" i="79"/>
  <c r="AF11" i="79" s="1"/>
  <c r="R12" i="79"/>
  <c r="AF12" i="79" s="1"/>
  <c r="R15" i="79"/>
  <c r="AF15" i="79" s="1"/>
  <c r="V17" i="79"/>
  <c r="AJ17" i="79" s="1"/>
  <c r="V11" i="79"/>
  <c r="AJ11" i="79" s="1"/>
  <c r="V13" i="79"/>
  <c r="AJ13" i="79"/>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AA39" i="37"/>
  <c r="S39" i="37"/>
  <c r="J25" i="35"/>
  <c r="C79" i="35"/>
  <c r="J26" i="35" s="1"/>
  <c r="AC36" i="35"/>
  <c r="W36" i="35"/>
  <c r="AB13" i="36"/>
  <c r="U13" i="36"/>
  <c r="AA8" i="39"/>
  <c r="J43" i="39"/>
  <c r="F43" i="39"/>
  <c r="AA8" i="40"/>
  <c r="S13" i="40"/>
  <c r="AB19" i="40"/>
  <c r="F32" i="40"/>
  <c r="H27" i="40"/>
  <c r="U27" i="40" s="1"/>
  <c r="J27" i="40"/>
  <c r="V15" i="79"/>
  <c r="AJ15" i="79" s="1"/>
  <c r="Y3" i="79"/>
  <c r="P41" i="79"/>
  <c r="T41" i="79"/>
  <c r="T37" i="79"/>
  <c r="T33" i="79"/>
  <c r="T31" i="79"/>
  <c r="W31" i="79" s="1"/>
  <c r="T36" i="79"/>
  <c r="E44" i="43"/>
  <c r="C44" i="43" s="1"/>
  <c r="I18" i="43"/>
  <c r="G18" i="43"/>
  <c r="N3" i="79"/>
  <c r="R6" i="79"/>
  <c r="AF6" i="79"/>
  <c r="R3" i="79"/>
  <c r="R5" i="79"/>
  <c r="AF5" i="79"/>
  <c r="V6" i="79"/>
  <c r="AJ6" i="79"/>
  <c r="V3" i="79"/>
  <c r="V5" i="79"/>
  <c r="AJ5" i="79"/>
  <c r="U9" i="79"/>
  <c r="AI9" i="79" s="1"/>
  <c r="U6" i="79"/>
  <c r="AI6" i="79"/>
  <c r="U3" i="79"/>
  <c r="S10" i="79"/>
  <c r="AG10" i="79"/>
  <c r="U12" i="79"/>
  <c r="AI12" i="79"/>
  <c r="S13" i="79"/>
  <c r="AG13" i="79" s="1"/>
  <c r="S12" i="79"/>
  <c r="AG12" i="79" s="1"/>
  <c r="U14" i="79"/>
  <c r="AI14" i="79" s="1"/>
  <c r="U16" i="79"/>
  <c r="AI16" i="79" s="1"/>
  <c r="R23" i="79"/>
  <c r="AF23" i="79"/>
  <c r="R21" i="79"/>
  <c r="AF21" i="79"/>
  <c r="V23" i="79"/>
  <c r="AJ23" i="79" s="1"/>
  <c r="V22" i="79"/>
  <c r="AJ22" i="79" s="1"/>
  <c r="V21" i="79"/>
  <c r="AJ21" i="79" s="1"/>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E83" i="43"/>
  <c r="B81" i="43" s="1"/>
  <c r="E93" i="43"/>
  <c r="B91" i="43"/>
  <c r="R9" i="79"/>
  <c r="AF9" i="79"/>
  <c r="V9" i="79"/>
  <c r="AJ9" i="79" s="1"/>
  <c r="S11" i="79"/>
  <c r="AG11" i="79"/>
  <c r="S8" i="79"/>
  <c r="AG8" i="79"/>
  <c r="V12" i="79"/>
  <c r="AJ12" i="79" s="1"/>
  <c r="T18" i="79"/>
  <c r="P18" i="79"/>
  <c r="T38" i="79"/>
  <c r="U39" i="79"/>
  <c r="AI39" i="79"/>
  <c r="U36" i="79"/>
  <c r="AI36" i="79"/>
  <c r="P44" i="79"/>
  <c r="T44" i="79"/>
  <c r="AA28" i="71"/>
  <c r="AA25" i="71"/>
  <c r="E11" i="43"/>
  <c r="E10" i="43"/>
  <c r="S3" i="79"/>
  <c r="S5" i="79"/>
  <c r="AG5" i="79"/>
  <c r="L3" i="79"/>
  <c r="P8" i="79"/>
  <c r="T8" i="79"/>
  <c r="T11" i="79"/>
  <c r="S16" i="79"/>
  <c r="AG16" i="79"/>
  <c r="S15" i="79"/>
  <c r="AG15" i="79" s="1"/>
  <c r="U18" i="79"/>
  <c r="AI18" i="79"/>
  <c r="U37" i="79"/>
  <c r="AI37" i="79"/>
  <c r="U47" i="79"/>
  <c r="AI47" i="79" s="1"/>
  <c r="U46" i="79"/>
  <c r="AI46" i="79"/>
  <c r="U40" i="79"/>
  <c r="AI40" i="79"/>
  <c r="AD46" i="79"/>
  <c r="AD48" i="79"/>
  <c r="S51" i="79"/>
  <c r="AG51" i="79"/>
  <c r="S47" i="79"/>
  <c r="AG47" i="79"/>
  <c r="S37" i="79"/>
  <c r="AG37" i="79" s="1"/>
  <c r="S33" i="79"/>
  <c r="AG33" i="79"/>
  <c r="AA16" i="71"/>
  <c r="AA10" i="71"/>
  <c r="AA9" i="71"/>
  <c r="AA22" i="71"/>
  <c r="AA19" i="71"/>
  <c r="AA21" i="71"/>
  <c r="AA18" i="71"/>
  <c r="AB23" i="71"/>
  <c r="AB22" i="71"/>
  <c r="T16" i="79"/>
  <c r="V19" i="79"/>
  <c r="AJ19" i="79" s="1"/>
  <c r="P22" i="79"/>
  <c r="T22" i="79"/>
  <c r="S36" i="79"/>
  <c r="AG36" i="79" s="1"/>
  <c r="AD37" i="79"/>
  <c r="U38" i="79"/>
  <c r="AI38" i="79" s="1"/>
  <c r="S40" i="79"/>
  <c r="AG40" i="79"/>
  <c r="U41" i="79"/>
  <c r="AI41" i="79"/>
  <c r="S42" i="79"/>
  <c r="AG42" i="79" s="1"/>
  <c r="T43" i="79"/>
  <c r="AD47" i="79"/>
  <c r="S48" i="79"/>
  <c r="AG48" i="79"/>
  <c r="P51" i="79"/>
  <c r="T50" i="79"/>
  <c r="T47" i="79"/>
  <c r="AB11" i="71"/>
  <c r="AB16" i="71"/>
  <c r="AB20" i="71"/>
  <c r="AB21" i="71"/>
  <c r="AB14" i="71"/>
  <c r="Y27" i="71"/>
  <c r="Z27" i="71"/>
  <c r="Y26" i="71"/>
  <c r="Z26" i="71"/>
  <c r="Y25" i="71"/>
  <c r="Z25" i="71" s="1"/>
  <c r="D75" i="71"/>
  <c r="C74" i="71"/>
  <c r="D74" i="71" s="1"/>
  <c r="T80" i="71"/>
  <c r="D80" i="71"/>
  <c r="C79" i="71"/>
  <c r="S41" i="39"/>
  <c r="U42" i="39"/>
  <c r="S45" i="39"/>
  <c r="W9" i="40"/>
  <c r="U11" i="40"/>
  <c r="S15" i="40"/>
  <c r="S17" i="40"/>
  <c r="S19" i="40"/>
  <c r="S21" i="40"/>
  <c r="S23" i="40"/>
  <c r="S25" i="40"/>
  <c r="U28" i="40"/>
  <c r="U34" i="40"/>
  <c r="W35" i="40"/>
  <c r="S37" i="40"/>
  <c r="M3" i="79"/>
  <c r="P3" i="79"/>
  <c r="T14" i="79"/>
  <c r="U15" i="79"/>
  <c r="AI15" i="79" s="1"/>
  <c r="T15" i="79"/>
  <c r="R20" i="79"/>
  <c r="AF20" i="79"/>
  <c r="V20" i="79"/>
  <c r="AJ20" i="79"/>
  <c r="AH20" i="79"/>
  <c r="AH23" i="79"/>
  <c r="S31" i="79"/>
  <c r="L31" i="79"/>
  <c r="T34" i="79"/>
  <c r="S35" i="79"/>
  <c r="AG35" i="79" s="1"/>
  <c r="S39" i="79"/>
  <c r="AG39" i="79" s="1"/>
  <c r="T42" i="79"/>
  <c r="AH45" i="79"/>
  <c r="S46" i="79"/>
  <c r="AG46" i="79"/>
  <c r="T48" i="79"/>
  <c r="AB3" i="71"/>
  <c r="AA11" i="71"/>
  <c r="AA12" i="71"/>
  <c r="AA15" i="71"/>
  <c r="AA17" i="71"/>
  <c r="Y18" i="71"/>
  <c r="Z18" i="71" s="1"/>
  <c r="AB18" i="71"/>
  <c r="C31" i="71"/>
  <c r="D30" i="71"/>
  <c r="X36" i="71"/>
  <c r="X32" i="71"/>
  <c r="X24" i="71"/>
  <c r="X20" i="71"/>
  <c r="F38" i="71"/>
  <c r="F39" i="71"/>
  <c r="F40" i="71" s="1"/>
  <c r="V40" i="71" s="1"/>
  <c r="AB34" i="71"/>
  <c r="AB36" i="71"/>
  <c r="AB37" i="71"/>
  <c r="C44" i="71"/>
  <c r="D43" i="71"/>
  <c r="D42" i="71"/>
  <c r="U13" i="79"/>
  <c r="AI13" i="79"/>
  <c r="R14" i="79"/>
  <c r="AF14" i="79"/>
  <c r="V14" i="79"/>
  <c r="AJ14" i="79" s="1"/>
  <c r="S19" i="79"/>
  <c r="AG19" i="79"/>
  <c r="T21" i="79"/>
  <c r="M31" i="79"/>
  <c r="P31" i="79"/>
  <c r="Z31" i="79"/>
  <c r="U34" i="79"/>
  <c r="AI34" i="79"/>
  <c r="T35" i="79"/>
  <c r="T39" i="79"/>
  <c r="AH39" i="79" s="1"/>
  <c r="U42" i="79"/>
  <c r="AI42" i="79" s="1"/>
  <c r="S44" i="79"/>
  <c r="AG44" i="79"/>
  <c r="U45" i="79"/>
  <c r="AI45" i="79"/>
  <c r="U48" i="79"/>
  <c r="AI48" i="79" s="1"/>
  <c r="T49" i="79"/>
  <c r="W49" i="79" s="1"/>
  <c r="AK49" i="79" s="1"/>
  <c r="U49" i="79"/>
  <c r="AI49" i="79" s="1"/>
  <c r="AD50" i="79"/>
  <c r="T51" i="79"/>
  <c r="AB9" i="71"/>
  <c r="Y11" i="71"/>
  <c r="Z11" i="71"/>
  <c r="Y16" i="71"/>
  <c r="Z16" i="71"/>
  <c r="AA23" i="71"/>
  <c r="AA24" i="71"/>
  <c r="AB30" i="71"/>
  <c r="AB32" i="71"/>
  <c r="AB26" i="71"/>
  <c r="X37" i="71"/>
  <c r="D58" i="71"/>
  <c r="C59" i="71"/>
  <c r="O67" i="71"/>
  <c r="C66" i="71"/>
  <c r="O65" i="71" s="1"/>
  <c r="D67" i="71"/>
  <c r="S50" i="79"/>
  <c r="AG50" i="79"/>
  <c r="AB10" i="71"/>
  <c r="AB12" i="71"/>
  <c r="AA13" i="71"/>
  <c r="AB17" i="71"/>
  <c r="AB19" i="71"/>
  <c r="Y21" i="71"/>
  <c r="Z21" i="71"/>
  <c r="X22" i="71"/>
  <c r="X25" i="71"/>
  <c r="X26" i="71"/>
  <c r="X34" i="71"/>
  <c r="AB39" i="71"/>
  <c r="AB38" i="71"/>
  <c r="C51" i="71"/>
  <c r="D50" i="71"/>
  <c r="AB13" i="71"/>
  <c r="Y15" i="71"/>
  <c r="Z15" i="71" s="1"/>
  <c r="AB15" i="71"/>
  <c r="X17" i="71"/>
  <c r="AA20" i="71"/>
  <c r="Y23" i="71"/>
  <c r="Z23" i="71" s="1"/>
  <c r="Y19" i="71"/>
  <c r="Z19" i="71"/>
  <c r="B30" i="71"/>
  <c r="B31" i="71"/>
  <c r="B32" i="71" s="1"/>
  <c r="S32" i="71" s="1"/>
  <c r="X28" i="71"/>
  <c r="X29" i="71"/>
  <c r="AA29" i="71"/>
  <c r="AA32" i="71"/>
  <c r="AA31" i="71"/>
  <c r="E36" i="71"/>
  <c r="U36" i="71"/>
  <c r="F67" i="71"/>
  <c r="Q68" i="71"/>
  <c r="V68" i="71"/>
  <c r="X33" i="71"/>
  <c r="C39" i="71"/>
  <c r="D38" i="71"/>
  <c r="T72" i="71"/>
  <c r="D72" i="71"/>
  <c r="S76" i="71"/>
  <c r="E79" i="71"/>
  <c r="E78" i="71"/>
  <c r="U80" i="71"/>
  <c r="X12" i="71"/>
  <c r="Y13" i="71"/>
  <c r="Z13" i="71" s="1"/>
  <c r="X16" i="71"/>
  <c r="Y17" i="71"/>
  <c r="Z17" i="71"/>
  <c r="Y22" i="71"/>
  <c r="Z22" i="71"/>
  <c r="AB25" i="71"/>
  <c r="AA26" i="71"/>
  <c r="T28" i="71"/>
  <c r="D28" i="71"/>
  <c r="U28" i="71" s="1"/>
  <c r="C27" i="71"/>
  <c r="D27" i="71" s="1"/>
  <c r="Y28" i="71"/>
  <c r="Z28" i="71" s="1"/>
  <c r="Y38" i="71"/>
  <c r="Z38" i="71"/>
  <c r="C63" i="71"/>
  <c r="C71" i="71"/>
  <c r="T76" i="71"/>
  <c r="D76" i="71"/>
  <c r="X19" i="71"/>
  <c r="B22" i="71"/>
  <c r="B21" i="71" s="1"/>
  <c r="B20" i="71"/>
  <c r="X23" i="71"/>
  <c r="AB27" i="71"/>
  <c r="AA30" i="71"/>
  <c r="E31" i="71"/>
  <c r="E32" i="71" s="1"/>
  <c r="U32" i="71" s="1"/>
  <c r="AA34" i="71"/>
  <c r="X35" i="71"/>
  <c r="Y36" i="71"/>
  <c r="Z36" i="71"/>
  <c r="Y37" i="71"/>
  <c r="Z37" i="71"/>
  <c r="T68" i="71"/>
  <c r="O68" i="71"/>
  <c r="D68" i="71"/>
  <c r="Y20" i="71"/>
  <c r="Z20" i="71" s="1"/>
  <c r="T24" i="71"/>
  <c r="D24" i="71"/>
  <c r="U24" i="71" s="1"/>
  <c r="C23" i="71"/>
  <c r="C22" i="71" s="1"/>
  <c r="Y24" i="71"/>
  <c r="Z24" i="71" s="1"/>
  <c r="B26" i="71"/>
  <c r="X27" i="71"/>
  <c r="AB29" i="71"/>
  <c r="AB31" i="71"/>
  <c r="Y32" i="71"/>
  <c r="Z32" i="71" s="1"/>
  <c r="AA33" i="71"/>
  <c r="E59" i="71"/>
  <c r="E60" i="71" s="1"/>
  <c r="U60" i="71" s="1"/>
  <c r="E67" i="71"/>
  <c r="P67" i="71" s="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F27" i="33"/>
  <c r="S27" i="33" s="1"/>
  <c r="AA27" i="33"/>
  <c r="E91" i="33"/>
  <c r="U43" i="33"/>
  <c r="W43" i="33"/>
  <c r="S43" i="33"/>
  <c r="U23" i="33"/>
  <c r="W23" i="33"/>
  <c r="S23" i="33"/>
  <c r="U21" i="33"/>
  <c r="W21" i="33"/>
  <c r="S21" i="33"/>
  <c r="U19" i="33"/>
  <c r="W19" i="33"/>
  <c r="S42" i="33"/>
  <c r="U42" i="33"/>
  <c r="W42" i="33"/>
  <c r="W39" i="33"/>
  <c r="U35" i="33"/>
  <c r="W35" i="33"/>
  <c r="S35" i="33"/>
  <c r="S34" i="33"/>
  <c r="U34" i="33"/>
  <c r="W34" i="33"/>
  <c r="S32" i="33"/>
  <c r="U32" i="33"/>
  <c r="W32" i="33"/>
  <c r="U11" i="33"/>
  <c r="W11" i="33"/>
  <c r="S11" i="33"/>
  <c r="S38" i="33"/>
  <c r="W30" i="33"/>
  <c r="S30" i="33"/>
  <c r="U30" i="33"/>
  <c r="U29" i="33"/>
  <c r="W29" i="33"/>
  <c r="S29" i="33"/>
  <c r="W27" i="33"/>
  <c r="S9" i="33"/>
  <c r="U9" i="33"/>
  <c r="W9" i="33"/>
  <c r="AB8" i="33"/>
  <c r="D93" i="9"/>
  <c r="G1" i="69"/>
  <c r="B6" i="1"/>
  <c r="E6" i="1" s="1"/>
  <c r="K1" i="12"/>
  <c r="F3" i="35"/>
  <c r="G1" i="68"/>
  <c r="G1" i="15"/>
  <c r="D3" i="34"/>
  <c r="C34" i="34"/>
  <c r="J34" i="34" s="1"/>
  <c r="B14" i="74"/>
  <c r="B1" i="74" s="1"/>
  <c r="Z7" i="43"/>
  <c r="N370" i="46"/>
  <c r="B116" i="43"/>
  <c r="D118" i="43" s="1"/>
  <c r="N94" i="46"/>
  <c r="G12" i="1"/>
  <c r="K1" i="73"/>
  <c r="E66" i="71"/>
  <c r="S20" i="71"/>
  <c r="B19" i="71"/>
  <c r="B18" i="71" s="1"/>
  <c r="B17" i="71" s="1"/>
  <c r="B16" i="71" s="1"/>
  <c r="D71" i="71"/>
  <c r="C70" i="71"/>
  <c r="D70" i="71"/>
  <c r="C26" i="71"/>
  <c r="D26" i="71" s="1"/>
  <c r="C40" i="71"/>
  <c r="D40" i="71" s="1"/>
  <c r="D39" i="71"/>
  <c r="F66" i="71"/>
  <c r="Q65" i="71" s="1"/>
  <c r="Q67" i="71"/>
  <c r="D66" i="71"/>
  <c r="O66" i="71"/>
  <c r="AH35" i="79"/>
  <c r="W35" i="79"/>
  <c r="AK35" i="79"/>
  <c r="AH21" i="79"/>
  <c r="W21" i="79"/>
  <c r="AK21" i="79"/>
  <c r="AH42" i="79"/>
  <c r="W42" i="79"/>
  <c r="AK42" i="79" s="1"/>
  <c r="AH14" i="79"/>
  <c r="W14" i="79"/>
  <c r="AK14" i="79"/>
  <c r="AH22" i="79"/>
  <c r="W22" i="79"/>
  <c r="AK22" i="79" s="1"/>
  <c r="AH8" i="79"/>
  <c r="W8" i="79"/>
  <c r="AK8" i="79"/>
  <c r="E17" i="43"/>
  <c r="AC43" i="39"/>
  <c r="W43" i="39"/>
  <c r="W25" i="35"/>
  <c r="AC25" i="35"/>
  <c r="W10" i="79"/>
  <c r="AK10" i="79" s="1"/>
  <c r="AH10" i="79"/>
  <c r="AH12" i="79"/>
  <c r="W12" i="79"/>
  <c r="AK12" i="79" s="1"/>
  <c r="U12" i="39"/>
  <c r="AB12" i="39"/>
  <c r="AA37" i="39"/>
  <c r="S37" i="39"/>
  <c r="AB13" i="37"/>
  <c r="U13" i="37"/>
  <c r="AC27" i="37"/>
  <c r="W27" i="37"/>
  <c r="AC37" i="39"/>
  <c r="W37" i="39"/>
  <c r="AA27" i="37"/>
  <c r="AA33" i="36"/>
  <c r="S33" i="36"/>
  <c r="W9" i="36"/>
  <c r="AC9" i="36"/>
  <c r="U26" i="37"/>
  <c r="AB26" i="37"/>
  <c r="AB31" i="33"/>
  <c r="U31" i="33"/>
  <c r="AA45" i="21"/>
  <c r="S45" i="21"/>
  <c r="AB12" i="21"/>
  <c r="U12" i="21"/>
  <c r="AB36" i="39"/>
  <c r="U36" i="39"/>
  <c r="AB29" i="21"/>
  <c r="U29" i="21"/>
  <c r="S28" i="34"/>
  <c r="AA28" i="34"/>
  <c r="AC45" i="34"/>
  <c r="W45" i="34"/>
  <c r="AC12" i="33"/>
  <c r="W12" i="33"/>
  <c r="D23" i="71"/>
  <c r="C64" i="71"/>
  <c r="D64" i="71" s="1"/>
  <c r="D63" i="71"/>
  <c r="C52" i="71"/>
  <c r="D52" i="71" s="1"/>
  <c r="D51" i="71"/>
  <c r="C32" i="71"/>
  <c r="D32" i="71" s="1"/>
  <c r="D31" i="71"/>
  <c r="AH48" i="79"/>
  <c r="W48" i="79"/>
  <c r="AK48" i="79" s="1"/>
  <c r="D79" i="71"/>
  <c r="C78" i="71"/>
  <c r="D78" i="71" s="1"/>
  <c r="AH43" i="79"/>
  <c r="W43" i="79"/>
  <c r="AK43" i="79"/>
  <c r="W33" i="79"/>
  <c r="AK33" i="79"/>
  <c r="AH33" i="79"/>
  <c r="AC27" i="40"/>
  <c r="W27" i="40"/>
  <c r="F26" i="35"/>
  <c r="S26" i="35" s="1"/>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s="1"/>
  <c r="C40" i="77" s="1"/>
  <c r="D29" i="77"/>
  <c r="D26" i="77"/>
  <c r="D32" i="77" s="1"/>
  <c r="AB45" i="34"/>
  <c r="U45" i="34"/>
  <c r="S32" i="34"/>
  <c r="AA32" i="34"/>
  <c r="U23" i="34"/>
  <c r="AB23" i="34"/>
  <c r="U12" i="33"/>
  <c r="AB12" i="33"/>
  <c r="AB28" i="34"/>
  <c r="U28" i="34"/>
  <c r="C60" i="71"/>
  <c r="D60" i="71" s="1"/>
  <c r="D59" i="71"/>
  <c r="AH49" i="79"/>
  <c r="AH15" i="79"/>
  <c r="W15" i="79"/>
  <c r="AK15" i="79" s="1"/>
  <c r="W47" i="79"/>
  <c r="AK47" i="79" s="1"/>
  <c r="AH47" i="79"/>
  <c r="W37" i="79"/>
  <c r="AK37" i="79" s="1"/>
  <c r="AH37" i="79"/>
  <c r="AB27" i="40"/>
  <c r="W26" i="35"/>
  <c r="AC26" i="35"/>
  <c r="AH9" i="79"/>
  <c r="W9" i="79"/>
  <c r="AK9" i="79"/>
  <c r="S39" i="40"/>
  <c r="AA39" i="40"/>
  <c r="S38" i="40"/>
  <c r="AA38" i="40"/>
  <c r="AB9" i="37"/>
  <c r="U9" i="37"/>
  <c r="AB38" i="40"/>
  <c r="U38" i="40"/>
  <c r="AA9" i="35"/>
  <c r="S9" i="35"/>
  <c r="U12" i="40"/>
  <c r="AB33" i="36"/>
  <c r="U33" i="36"/>
  <c r="AC11" i="36"/>
  <c r="W11" i="36"/>
  <c r="AC30" i="40"/>
  <c r="W30" i="40"/>
  <c r="S23" i="36"/>
  <c r="AA23" i="36"/>
  <c r="U17" i="34"/>
  <c r="AB17" i="34"/>
  <c r="U13" i="35"/>
  <c r="AB13" i="35"/>
  <c r="S45" i="34"/>
  <c r="AA45" i="34"/>
  <c r="AC32" i="34"/>
  <c r="W32" i="34"/>
  <c r="W23" i="34"/>
  <c r="AC23" i="34"/>
  <c r="AA12" i="33"/>
  <c r="S12" i="33"/>
  <c r="AC28" i="34"/>
  <c r="W28" i="34"/>
  <c r="W15" i="34"/>
  <c r="AC15" i="34"/>
  <c r="W51" i="79"/>
  <c r="AK51" i="79" s="1"/>
  <c r="AH51" i="79"/>
  <c r="W39" i="79"/>
  <c r="AK39" i="79"/>
  <c r="D44" i="71"/>
  <c r="T44" i="71"/>
  <c r="AH34" i="79"/>
  <c r="W34" i="79"/>
  <c r="AK34" i="79"/>
  <c r="W50" i="79"/>
  <c r="AK50" i="79"/>
  <c r="AH50" i="79"/>
  <c r="AH16" i="79"/>
  <c r="W16" i="79"/>
  <c r="AK16" i="79"/>
  <c r="AH11" i="79"/>
  <c r="W11" i="79"/>
  <c r="AK11" i="79"/>
  <c r="W44" i="79"/>
  <c r="AK44" i="79"/>
  <c r="AH44" i="79"/>
  <c r="AH38" i="79"/>
  <c r="W38" i="79"/>
  <c r="AK38" i="79"/>
  <c r="AH18" i="79"/>
  <c r="W18" i="79"/>
  <c r="AK18" i="79" s="1"/>
  <c r="W36" i="79"/>
  <c r="AK36" i="79"/>
  <c r="AH36" i="79"/>
  <c r="W41" i="79"/>
  <c r="AK41" i="79" s="1"/>
  <c r="AH41" i="79"/>
  <c r="S32" i="40"/>
  <c r="AA32" i="40"/>
  <c r="S43" i="39"/>
  <c r="AA43" i="39"/>
  <c r="H26" i="35"/>
  <c r="U26" i="35" s="1"/>
  <c r="AA13" i="37"/>
  <c r="S13" i="37"/>
  <c r="U37" i="39"/>
  <c r="AB37" i="39"/>
  <c r="AC12" i="40"/>
  <c r="W12" i="40"/>
  <c r="AB31" i="40"/>
  <c r="U31" i="40"/>
  <c r="S9" i="36"/>
  <c r="AA9" i="36"/>
  <c r="S11" i="36"/>
  <c r="AA11" i="36"/>
  <c r="AC31" i="33"/>
  <c r="W31" i="33"/>
  <c r="AB45" i="21"/>
  <c r="U45" i="21"/>
  <c r="AC12" i="21"/>
  <c r="W12" i="21"/>
  <c r="AB30" i="40"/>
  <c r="U30" i="40"/>
  <c r="AC36" i="39"/>
  <c r="W36" i="39"/>
  <c r="AA13" i="35"/>
  <c r="S13" i="35"/>
  <c r="S23" i="34"/>
  <c r="AA23" i="34"/>
  <c r="S15" i="34"/>
  <c r="AA15" i="34"/>
  <c r="F91" i="33"/>
  <c r="G91" i="33" s="1"/>
  <c r="H91" i="33" s="1"/>
  <c r="I91" i="33" s="1"/>
  <c r="J91" i="33" s="1"/>
  <c r="K91" i="33" s="1"/>
  <c r="L91" i="33" s="1"/>
  <c r="M91" i="33" s="1"/>
  <c r="H27" i="33"/>
  <c r="AB27" i="33" s="1"/>
  <c r="F28" i="15"/>
  <c r="F30" i="68"/>
  <c r="D68" i="9"/>
  <c r="F48" i="9"/>
  <c r="O52" i="9"/>
  <c r="M18" i="15"/>
  <c r="F31" i="12"/>
  <c r="F30" i="11"/>
  <c r="C48" i="11" s="1"/>
  <c r="F53" i="9"/>
  <c r="F52" i="9"/>
  <c r="M18" i="67"/>
  <c r="F32" i="15"/>
  <c r="F60" i="15" s="1"/>
  <c r="F30" i="69"/>
  <c r="F48" i="69" s="1"/>
  <c r="F54" i="9"/>
  <c r="D122" i="43"/>
  <c r="E122" i="43" s="1"/>
  <c r="F122" i="43" s="1"/>
  <c r="G122" i="43" s="1"/>
  <c r="H122" i="43" s="1"/>
  <c r="D121" i="43"/>
  <c r="E121" i="43" s="1"/>
  <c r="F121" i="43" s="1"/>
  <c r="D120" i="43"/>
  <c r="E120" i="43" s="1"/>
  <c r="F120" i="43" s="1"/>
  <c r="G120" i="43" s="1"/>
  <c r="H120" i="43" s="1"/>
  <c r="D119" i="43"/>
  <c r="E119" i="43" s="1"/>
  <c r="F119" i="43" s="1"/>
  <c r="G119" i="43" s="1"/>
  <c r="H119" i="43" s="1"/>
  <c r="E118" i="43"/>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c r="K118" i="43" s="1"/>
  <c r="L118" i="43" s="1"/>
  <c r="M118" i="43" s="1"/>
  <c r="C7" i="39"/>
  <c r="C67" i="39" s="1"/>
  <c r="D67" i="39" s="1"/>
  <c r="E67" i="39" s="1"/>
  <c r="E69" i="39" s="1"/>
  <c r="C7" i="36"/>
  <c r="C46" i="36" s="1"/>
  <c r="C7" i="40"/>
  <c r="C63" i="40" s="1"/>
  <c r="C7" i="21"/>
  <c r="C58" i="21" s="1"/>
  <c r="D58" i="21" s="1"/>
  <c r="E58" i="21" s="1"/>
  <c r="F58" i="21" s="1"/>
  <c r="G58" i="21" s="1"/>
  <c r="H58" i="21" s="1"/>
  <c r="I58" i="21" s="1"/>
  <c r="J58" i="21" s="1"/>
  <c r="K58" i="21" s="1"/>
  <c r="L58" i="21" s="1"/>
  <c r="M58" i="21" s="1"/>
  <c r="N58" i="21" s="1"/>
  <c r="O58" i="21" s="1"/>
  <c r="C7" i="37"/>
  <c r="C52" i="37" s="1"/>
  <c r="M47" i="9"/>
  <c r="C7" i="35"/>
  <c r="C48" i="35" s="1"/>
  <c r="D48" i="35" s="1"/>
  <c r="C7" i="33"/>
  <c r="C58" i="33" s="1"/>
  <c r="D58" i="33" s="1"/>
  <c r="E58" i="33" s="1"/>
  <c r="C7" i="34"/>
  <c r="C59" i="34" s="1"/>
  <c r="T32" i="71"/>
  <c r="Q66" i="71"/>
  <c r="P66" i="71"/>
  <c r="P65" i="71"/>
  <c r="T60" i="71"/>
  <c r="AA26" i="35"/>
  <c r="T52" i="71"/>
  <c r="T64" i="71"/>
  <c r="T40" i="71"/>
  <c r="E38" i="77"/>
  <c r="E39" i="77"/>
  <c r="C21" i="71"/>
  <c r="D21" i="71" s="1"/>
  <c r="D22" i="71"/>
  <c r="C69" i="39"/>
  <c r="C20" i="71"/>
  <c r="C19" i="71" s="1"/>
  <c r="C19" i="69"/>
  <c r="R26" i="31"/>
  <c r="S26" i="31" s="1"/>
  <c r="R27" i="31"/>
  <c r="S27" i="31" s="1"/>
  <c r="F43" i="15"/>
  <c r="M24" i="67"/>
  <c r="F36" i="67"/>
  <c r="AO8" i="1"/>
  <c r="D2" i="33"/>
  <c r="M6" i="67"/>
  <c r="D2" i="36"/>
  <c r="L48" i="15"/>
  <c r="AO7" i="1"/>
  <c r="F37" i="67"/>
  <c r="M22" i="67"/>
  <c r="F8" i="67"/>
  <c r="F13" i="15"/>
  <c r="B7" i="76"/>
  <c r="E10" i="76"/>
  <c r="AO13" i="1"/>
  <c r="E11" i="76"/>
  <c r="C76" i="15"/>
  <c r="F16" i="67"/>
  <c r="F9" i="67"/>
  <c r="M22" i="15"/>
  <c r="E2" i="69"/>
  <c r="F5" i="73"/>
  <c r="F36" i="15"/>
  <c r="B13" i="76"/>
  <c r="B8" i="76"/>
  <c r="M6" i="15"/>
  <c r="C76" i="67"/>
  <c r="F37" i="15"/>
  <c r="F26" i="67"/>
  <c r="L47" i="67"/>
  <c r="E9" i="76"/>
  <c r="AO10" i="1"/>
  <c r="E2" i="68"/>
  <c r="F20" i="31"/>
  <c r="F6" i="67"/>
  <c r="F7" i="15"/>
  <c r="F40" i="15"/>
  <c r="M8" i="67"/>
  <c r="M23" i="15"/>
  <c r="F6" i="73"/>
  <c r="M27" i="15"/>
  <c r="M9" i="67"/>
  <c r="B10" i="76"/>
  <c r="F6" i="15"/>
  <c r="D34" i="9"/>
  <c r="E12" i="76"/>
  <c r="M21" i="15"/>
  <c r="F16" i="15"/>
  <c r="D2" i="21"/>
  <c r="F38" i="67"/>
  <c r="B11" i="76"/>
  <c r="B12" i="76"/>
  <c r="M8" i="15"/>
  <c r="E7" i="76"/>
  <c r="F8" i="15"/>
  <c r="M26" i="67"/>
  <c r="J15" i="15"/>
  <c r="M29" i="15"/>
  <c r="D2" i="35"/>
  <c r="F41" i="15"/>
  <c r="AO9" i="1"/>
  <c r="E13" i="76"/>
  <c r="B9" i="76"/>
  <c r="AO12" i="1"/>
  <c r="M27" i="67"/>
  <c r="F42" i="15"/>
  <c r="M23" i="67"/>
  <c r="F42" i="67"/>
  <c r="M26" i="15"/>
  <c r="F4" i="73"/>
  <c r="J15" i="67"/>
  <c r="M28" i="67"/>
  <c r="D2" i="37"/>
  <c r="F9" i="15"/>
  <c r="F35" i="15"/>
  <c r="L47" i="15"/>
  <c r="M9" i="15"/>
  <c r="M24" i="15"/>
  <c r="D2" i="34"/>
  <c r="F26" i="15"/>
  <c r="F7" i="73"/>
  <c r="E8" i="76"/>
  <c r="AO11" i="1"/>
  <c r="F3" i="73"/>
  <c r="D35" i="9"/>
  <c r="F40" i="67"/>
  <c r="M28" i="15"/>
  <c r="F38" i="15"/>
  <c r="T7" i="1" l="1"/>
  <c r="B22" i="31"/>
  <c r="W44" i="34"/>
  <c r="H27" i="34"/>
  <c r="U27" i="34" s="1"/>
  <c r="J27" i="34"/>
  <c r="F90" i="34"/>
  <c r="G90" i="34" s="1"/>
  <c r="H90" i="34" s="1"/>
  <c r="I90" i="34" s="1"/>
  <c r="J90" i="34" s="1"/>
  <c r="K90" i="34" s="1"/>
  <c r="L90" i="34" s="1"/>
  <c r="M90" i="34" s="1"/>
  <c r="F27" i="34"/>
  <c r="AA27" i="34" s="1"/>
  <c r="F28" i="67"/>
  <c r="D33" i="43"/>
  <c r="D1" i="43" s="1"/>
  <c r="B3" i="36"/>
  <c r="T11" i="1"/>
  <c r="J1" i="73"/>
  <c r="D69" i="39"/>
  <c r="F67" i="39"/>
  <c r="C5" i="78"/>
  <c r="D5" i="78" s="1"/>
  <c r="C7" i="78"/>
  <c r="D7" i="78" s="1"/>
  <c r="B15" i="71"/>
  <c r="B14" i="71" s="1"/>
  <c r="B13" i="71" s="1"/>
  <c r="B12" i="71" s="1"/>
  <c r="S16" i="71"/>
  <c r="D19" i="71"/>
  <c r="C18" i="71"/>
  <c r="B2" i="77"/>
  <c r="B3" i="77" s="1"/>
  <c r="C41" i="77"/>
  <c r="D59" i="34"/>
  <c r="E59" i="34" s="1"/>
  <c r="F59" i="34" s="1"/>
  <c r="G59" i="34" s="1"/>
  <c r="H59" i="34" s="1"/>
  <c r="I59" i="34" s="1"/>
  <c r="J59" i="34" s="1"/>
  <c r="K59" i="34" s="1"/>
  <c r="L59" i="34" s="1"/>
  <c r="M59" i="34" s="1"/>
  <c r="N59" i="34" s="1"/>
  <c r="O59" i="34" s="1"/>
  <c r="D20" i="71"/>
  <c r="U20" i="71" s="1"/>
  <c r="U27" i="33"/>
  <c r="E26" i="77"/>
  <c r="E32" i="77" s="1"/>
  <c r="AH6" i="79"/>
  <c r="BF5" i="3"/>
  <c r="BR5" i="3"/>
  <c r="G28" i="6" s="1"/>
  <c r="BA19" i="3"/>
  <c r="AZ19" i="3" s="1"/>
  <c r="BA38" i="3"/>
  <c r="AZ38" i="3" s="1"/>
  <c r="C30" i="11"/>
  <c r="T20" i="71"/>
  <c r="F48" i="68"/>
  <c r="BA16" i="3"/>
  <c r="G17" i="3"/>
  <c r="H5" i="3"/>
  <c r="AZ23" i="3"/>
  <c r="G24" i="78"/>
  <c r="F25" i="78"/>
  <c r="G25" i="78" s="1"/>
  <c r="BJ5" i="3"/>
  <c r="AZ25" i="3"/>
  <c r="BL19" i="3"/>
  <c r="W39" i="40"/>
  <c r="BM5" i="3"/>
  <c r="F29" i="6" s="1"/>
  <c r="BL15" i="3"/>
  <c r="AZ15" i="3" s="1"/>
  <c r="BL21" i="3"/>
  <c r="BQ5" i="3"/>
  <c r="AZ64" i="3"/>
  <c r="AZ102" i="3"/>
  <c r="AZ112" i="3"/>
  <c r="E29" i="77"/>
  <c r="AB26" i="35"/>
  <c r="F34" i="34"/>
  <c r="S34" i="34" s="1"/>
  <c r="U30" i="21"/>
  <c r="U15" i="34"/>
  <c r="BL16" i="3"/>
  <c r="AZ59" i="3"/>
  <c r="AZ61" i="3"/>
  <c r="AZ67" i="3"/>
  <c r="AA19" i="33"/>
  <c r="S19" i="33"/>
  <c r="BP5" i="3"/>
  <c r="AZ49" i="3"/>
  <c r="BH5" i="3"/>
  <c r="AZ88" i="3"/>
  <c r="BI5" i="3"/>
  <c r="BA41" i="3"/>
  <c r="AZ41" i="3" s="1"/>
  <c r="BA42" i="3"/>
  <c r="AZ42" i="3" s="1"/>
  <c r="BA43" i="3"/>
  <c r="AZ43" i="3" s="1"/>
  <c r="BA45" i="3"/>
  <c r="AZ45" i="3" s="1"/>
  <c r="BL47" i="3"/>
  <c r="AZ47" i="3" s="1"/>
  <c r="BL51" i="3"/>
  <c r="BL84" i="3"/>
  <c r="AZ84" i="3" s="1"/>
  <c r="AZ87" i="3"/>
  <c r="BL103" i="3"/>
  <c r="AZ103" i="3" s="1"/>
  <c r="BA108" i="3"/>
  <c r="AZ108" i="3" s="1"/>
  <c r="BA111" i="3"/>
  <c r="AZ111" i="3" s="1"/>
  <c r="BL246" i="3"/>
  <c r="AZ246" i="3" s="1"/>
  <c r="K5" i="4"/>
  <c r="B47" i="48" s="1"/>
  <c r="BL18" i="3"/>
  <c r="BA46" i="3"/>
  <c r="AZ46" i="3" s="1"/>
  <c r="BA50" i="3"/>
  <c r="AZ50" i="3" s="1"/>
  <c r="BA51" i="3"/>
  <c r="BL55" i="3"/>
  <c r="BA104" i="3"/>
  <c r="AZ104" i="3" s="1"/>
  <c r="AZ128" i="3"/>
  <c r="C51" i="78"/>
  <c r="C56" i="78" s="1"/>
  <c r="C58" i="78" s="1"/>
  <c r="BA18" i="3"/>
  <c r="AZ101" i="3"/>
  <c r="AZ248" i="3"/>
  <c r="BS5" i="3"/>
  <c r="BE5" i="3"/>
  <c r="BA55" i="3"/>
  <c r="AZ55" i="3" s="1"/>
  <c r="G64" i="3"/>
  <c r="BA79" i="3"/>
  <c r="AZ79" i="3" s="1"/>
  <c r="BA80" i="3"/>
  <c r="AZ80" i="3" s="1"/>
  <c r="BA82" i="3"/>
  <c r="AZ82" i="3" s="1"/>
  <c r="BA100" i="3"/>
  <c r="AZ100" i="3" s="1"/>
  <c r="BA144" i="3"/>
  <c r="AZ144" i="3" s="1"/>
  <c r="AZ145" i="3"/>
  <c r="AZ152" i="3"/>
  <c r="BL163" i="3"/>
  <c r="BA166" i="3"/>
  <c r="AZ166" i="3" s="1"/>
  <c r="BT5" i="3"/>
  <c r="BA17" i="3"/>
  <c r="AZ17" i="3" s="1"/>
  <c r="BA21" i="3"/>
  <c r="BL76" i="3"/>
  <c r="AZ99" i="3"/>
  <c r="BL119" i="3"/>
  <c r="BA121" i="3"/>
  <c r="AZ121" i="3" s="1"/>
  <c r="BA292" i="3"/>
  <c r="AZ292" i="3" s="1"/>
  <c r="AA8" i="71"/>
  <c r="BC5" i="3"/>
  <c r="BL13" i="3"/>
  <c r="G14" i="3"/>
  <c r="BA20" i="3"/>
  <c r="AZ20" i="3" s="1"/>
  <c r="BL34" i="3"/>
  <c r="AZ34" i="3" s="1"/>
  <c r="BL35" i="3"/>
  <c r="AZ35" i="3" s="1"/>
  <c r="BL57" i="3"/>
  <c r="AZ57" i="3" s="1"/>
  <c r="BL60" i="3"/>
  <c r="BL65" i="3"/>
  <c r="BL66" i="3"/>
  <c r="BL72" i="3"/>
  <c r="BL73" i="3"/>
  <c r="AZ73" i="3" s="1"/>
  <c r="BA76" i="3"/>
  <c r="BA78" i="3"/>
  <c r="AZ78" i="3" s="1"/>
  <c r="BA97" i="3"/>
  <c r="AZ97" i="3" s="1"/>
  <c r="BA98" i="3"/>
  <c r="AZ98" i="3" s="1"/>
  <c r="BA119" i="3"/>
  <c r="AZ119" i="3" s="1"/>
  <c r="BA139" i="3"/>
  <c r="AZ139" i="3" s="1"/>
  <c r="F78" i="34"/>
  <c r="G78" i="34" s="1"/>
  <c r="BD5" i="3"/>
  <c r="BA22" i="3"/>
  <c r="AZ22" i="3" s="1"/>
  <c r="BL31" i="3"/>
  <c r="AZ31" i="3" s="1"/>
  <c r="BL32" i="3"/>
  <c r="BL33" i="3"/>
  <c r="AZ33" i="3" s="1"/>
  <c r="BL37" i="3"/>
  <c r="AZ37" i="3" s="1"/>
  <c r="BL38" i="3"/>
  <c r="BA66" i="3"/>
  <c r="BL92" i="3"/>
  <c r="BA95" i="3"/>
  <c r="AZ95" i="3" s="1"/>
  <c r="BA118" i="3"/>
  <c r="AZ118" i="3" s="1"/>
  <c r="BL134" i="3"/>
  <c r="AZ134" i="3" s="1"/>
  <c r="BN5" i="3"/>
  <c r="G29" i="6" s="1"/>
  <c r="BL24" i="3"/>
  <c r="BL25" i="3"/>
  <c r="BL26" i="3"/>
  <c r="AZ26" i="3" s="1"/>
  <c r="BL28" i="3"/>
  <c r="BL29" i="3"/>
  <c r="AZ29" i="3" s="1"/>
  <c r="BA32" i="3"/>
  <c r="G42" i="3"/>
  <c r="G45" i="3"/>
  <c r="BL59" i="3"/>
  <c r="BA60" i="3"/>
  <c r="AZ60" i="3" s="1"/>
  <c r="BL62" i="3"/>
  <c r="AZ62" i="3" s="1"/>
  <c r="BL63" i="3"/>
  <c r="BL68" i="3"/>
  <c r="BA69" i="3"/>
  <c r="BL69" i="3"/>
  <c r="BA71" i="3"/>
  <c r="AZ71" i="3" s="1"/>
  <c r="BA72" i="3"/>
  <c r="AZ72" i="3" s="1"/>
  <c r="BA75" i="3"/>
  <c r="AZ75" i="3" s="1"/>
  <c r="BA93" i="3"/>
  <c r="AZ93" i="3" s="1"/>
  <c r="BA94" i="3"/>
  <c r="AZ94" i="3" s="1"/>
  <c r="BA116" i="3"/>
  <c r="AZ116" i="3" s="1"/>
  <c r="BA117" i="3"/>
  <c r="AZ117" i="3" s="1"/>
  <c r="BA65" i="3"/>
  <c r="AZ65" i="3" s="1"/>
  <c r="BA68" i="3"/>
  <c r="BA70" i="3"/>
  <c r="AZ70" i="3" s="1"/>
  <c r="BA96" i="3"/>
  <c r="AZ96" i="3" s="1"/>
  <c r="BA115" i="3"/>
  <c r="AZ115" i="3" s="1"/>
  <c r="AZ195" i="3"/>
  <c r="B55" i="78"/>
  <c r="D55" i="78" s="1"/>
  <c r="D56" i="78" s="1"/>
  <c r="BL14" i="3"/>
  <c r="AZ14" i="3" s="1"/>
  <c r="G18" i="3"/>
  <c r="BA24" i="3"/>
  <c r="AZ24" i="3" s="1"/>
  <c r="BA28" i="3"/>
  <c r="BA30" i="3"/>
  <c r="AZ30" i="3" s="1"/>
  <c r="BL48" i="3"/>
  <c r="AZ48" i="3" s="1"/>
  <c r="BA63" i="3"/>
  <c r="BL64" i="3"/>
  <c r="BL88" i="3"/>
  <c r="BA90" i="3"/>
  <c r="AZ90" i="3" s="1"/>
  <c r="BA92" i="3"/>
  <c r="BA114" i="3"/>
  <c r="AZ114" i="3" s="1"/>
  <c r="BA131" i="3"/>
  <c r="AZ131" i="3" s="1"/>
  <c r="AZ179" i="3"/>
  <c r="AZ180" i="3"/>
  <c r="AZ359" i="3"/>
  <c r="BA125" i="3"/>
  <c r="AZ125" i="3" s="1"/>
  <c r="BA162" i="3"/>
  <c r="AZ162" i="3" s="1"/>
  <c r="BL191" i="3"/>
  <c r="AZ191" i="3" s="1"/>
  <c r="BA192" i="3"/>
  <c r="AZ192" i="3" s="1"/>
  <c r="BA264" i="3"/>
  <c r="BA297" i="3"/>
  <c r="AZ297" i="3" s="1"/>
  <c r="BA344" i="3"/>
  <c r="AZ344" i="3" s="1"/>
  <c r="BL363" i="3"/>
  <c r="AZ363" i="3" s="1"/>
  <c r="BL133" i="3"/>
  <c r="AZ133" i="3" s="1"/>
  <c r="G147" i="3"/>
  <c r="BA165" i="3"/>
  <c r="AZ165" i="3" s="1"/>
  <c r="BL190" i="3"/>
  <c r="AZ190" i="3" s="1"/>
  <c r="AZ241" i="3"/>
  <c r="AZ276" i="3"/>
  <c r="AZ296" i="3"/>
  <c r="AZ318" i="3"/>
  <c r="AZ342" i="3"/>
  <c r="AZ361" i="3"/>
  <c r="AZ362" i="3"/>
  <c r="AZ375" i="3"/>
  <c r="AZ453" i="3"/>
  <c r="AZ492" i="3"/>
  <c r="I4" i="6"/>
  <c r="G120" i="3"/>
  <c r="BL141" i="3"/>
  <c r="BL143" i="3"/>
  <c r="AZ143" i="3" s="1"/>
  <c r="G153" i="3"/>
  <c r="BL167" i="3"/>
  <c r="AZ167" i="3" s="1"/>
  <c r="BL187" i="3"/>
  <c r="BL206" i="3"/>
  <c r="BL217" i="3"/>
  <c r="BL219" i="3"/>
  <c r="AZ219" i="3" s="1"/>
  <c r="BA221" i="3"/>
  <c r="AZ221" i="3" s="1"/>
  <c r="BL233" i="3"/>
  <c r="BL235" i="3"/>
  <c r="BA240" i="3"/>
  <c r="AZ240" i="3" s="1"/>
  <c r="BL240" i="3"/>
  <c r="BA243" i="3"/>
  <c r="AZ243" i="3" s="1"/>
  <c r="BA245" i="3"/>
  <c r="AZ245" i="3" s="1"/>
  <c r="BL270" i="3"/>
  <c r="BA272" i="3"/>
  <c r="AZ272" i="3" s="1"/>
  <c r="BA299" i="3"/>
  <c r="AZ299" i="3" s="1"/>
  <c r="BL307" i="3"/>
  <c r="AZ307" i="3" s="1"/>
  <c r="BA308" i="3"/>
  <c r="AZ308" i="3" s="1"/>
  <c r="BA340" i="3"/>
  <c r="BA358" i="3"/>
  <c r="AZ358" i="3" s="1"/>
  <c r="BA385" i="3"/>
  <c r="BA137" i="3"/>
  <c r="AZ137" i="3" s="1"/>
  <c r="BA140" i="3"/>
  <c r="AZ140" i="3" s="1"/>
  <c r="BA141" i="3"/>
  <c r="AZ141" i="3" s="1"/>
  <c r="AZ187" i="3"/>
  <c r="BL216" i="3"/>
  <c r="BA220" i="3"/>
  <c r="AZ220" i="3" s="1"/>
  <c r="BA262" i="3"/>
  <c r="AZ262" i="3" s="1"/>
  <c r="BA309" i="3"/>
  <c r="AZ309" i="3" s="1"/>
  <c r="AZ311" i="3"/>
  <c r="BL333" i="3"/>
  <c r="AZ333" i="3" s="1"/>
  <c r="BL340" i="3"/>
  <c r="BA353" i="3"/>
  <c r="AZ448" i="3"/>
  <c r="G124" i="3"/>
  <c r="BA138" i="3"/>
  <c r="AZ138" i="3" s="1"/>
  <c r="BA142" i="3"/>
  <c r="AZ142" i="3" s="1"/>
  <c r="BA185" i="3"/>
  <c r="AZ185" i="3" s="1"/>
  <c r="BL200" i="3"/>
  <c r="BL201" i="3"/>
  <c r="BA205" i="3"/>
  <c r="AZ205" i="3" s="1"/>
  <c r="BL211" i="3"/>
  <c r="AZ211" i="3" s="1"/>
  <c r="BL212" i="3"/>
  <c r="AZ212" i="3" s="1"/>
  <c r="BA218" i="3"/>
  <c r="AZ218" i="3" s="1"/>
  <c r="BA222" i="3"/>
  <c r="AZ222" i="3" s="1"/>
  <c r="BL229" i="3"/>
  <c r="BL230" i="3"/>
  <c r="AZ230" i="3" s="1"/>
  <c r="BL231" i="3"/>
  <c r="AZ231" i="3" s="1"/>
  <c r="BA235" i="3"/>
  <c r="AZ236" i="3"/>
  <c r="BA270" i="3"/>
  <c r="AZ270" i="3" s="1"/>
  <c r="BL304" i="3"/>
  <c r="BL314" i="3"/>
  <c r="BL315" i="3"/>
  <c r="BL331" i="3"/>
  <c r="AZ331" i="3" s="1"/>
  <c r="BL351" i="3"/>
  <c r="AZ351" i="3" s="1"/>
  <c r="AZ356" i="3"/>
  <c r="G122" i="3"/>
  <c r="G130" i="3"/>
  <c r="BL148" i="3"/>
  <c r="BL149" i="3"/>
  <c r="BL179" i="3"/>
  <c r="BL182" i="3"/>
  <c r="BL183" i="3"/>
  <c r="AZ183" i="3" s="1"/>
  <c r="BA184" i="3"/>
  <c r="AZ184" i="3" s="1"/>
  <c r="BA189" i="3"/>
  <c r="AZ189" i="3" s="1"/>
  <c r="BL196" i="3"/>
  <c r="AZ196" i="3" s="1"/>
  <c r="BA203" i="3"/>
  <c r="AZ203" i="3" s="1"/>
  <c r="BA206" i="3"/>
  <c r="BL213" i="3"/>
  <c r="AZ213" i="3" s="1"/>
  <c r="BL228" i="3"/>
  <c r="BA232" i="3"/>
  <c r="AZ232" i="3" s="1"/>
  <c r="BA233" i="3"/>
  <c r="BA244" i="3"/>
  <c r="AZ244" i="3" s="1"/>
  <c r="BA269" i="3"/>
  <c r="AZ269" i="3" s="1"/>
  <c r="BL330" i="3"/>
  <c r="BA336" i="3"/>
  <c r="BL350" i="3"/>
  <c r="BA149" i="3"/>
  <c r="AZ149" i="3" s="1"/>
  <c r="BL151" i="3"/>
  <c r="AZ151" i="3" s="1"/>
  <c r="BL152" i="3"/>
  <c r="BL157" i="3"/>
  <c r="AZ157" i="3" s="1"/>
  <c r="BL177" i="3"/>
  <c r="BL195" i="3"/>
  <c r="BA198" i="3"/>
  <c r="AZ198" i="3" s="1"/>
  <c r="BA200" i="3"/>
  <c r="BA209" i="3"/>
  <c r="AZ209" i="3" s="1"/>
  <c r="BA216" i="3"/>
  <c r="AZ216" i="3" s="1"/>
  <c r="BL267" i="3"/>
  <c r="AZ267" i="3" s="1"/>
  <c r="BA268" i="3"/>
  <c r="AZ268" i="3" s="1"/>
  <c r="BL301" i="3"/>
  <c r="BA304" i="3"/>
  <c r="BL305" i="3"/>
  <c r="BA313" i="3"/>
  <c r="AZ313" i="3" s="1"/>
  <c r="BA315" i="3"/>
  <c r="BA330" i="3"/>
  <c r="BA350" i="3"/>
  <c r="BA383" i="3"/>
  <c r="AZ383" i="3" s="1"/>
  <c r="BA146" i="3"/>
  <c r="AZ146" i="3" s="1"/>
  <c r="BA148" i="3"/>
  <c r="AZ148" i="3" s="1"/>
  <c r="BL156" i="3"/>
  <c r="BA182" i="3"/>
  <c r="AZ182" i="3" s="1"/>
  <c r="BL199" i="3"/>
  <c r="AZ199" i="3" s="1"/>
  <c r="BA201" i="3"/>
  <c r="BA204" i="3"/>
  <c r="AZ204" i="3" s="1"/>
  <c r="BA217" i="3"/>
  <c r="AZ217" i="3" s="1"/>
  <c r="BL227" i="3"/>
  <c r="BA228" i="3"/>
  <c r="BA229" i="3"/>
  <c r="AZ229" i="3" s="1"/>
  <c r="BL268" i="3"/>
  <c r="BL278" i="3"/>
  <c r="BA293" i="3"/>
  <c r="AZ293" i="3" s="1"/>
  <c r="BA301" i="3"/>
  <c r="AZ301" i="3" s="1"/>
  <c r="BA302" i="3"/>
  <c r="AZ302" i="3" s="1"/>
  <c r="BA305" i="3"/>
  <c r="AZ305" i="3" s="1"/>
  <c r="BA310" i="3"/>
  <c r="AZ310" i="3" s="1"/>
  <c r="AZ316" i="3"/>
  <c r="BL319" i="3"/>
  <c r="BL324" i="3"/>
  <c r="BA349" i="3"/>
  <c r="BL378" i="3"/>
  <c r="AZ378" i="3" s="1"/>
  <c r="BL382" i="3"/>
  <c r="AZ382" i="3" s="1"/>
  <c r="AZ467" i="3"/>
  <c r="G135" i="3"/>
  <c r="G139" i="3"/>
  <c r="BA155" i="3"/>
  <c r="AZ155" i="3" s="1"/>
  <c r="BA156" i="3"/>
  <c r="AZ169" i="3"/>
  <c r="BL172" i="3"/>
  <c r="AZ174" i="3"/>
  <c r="BA177" i="3"/>
  <c r="BL193" i="3"/>
  <c r="AZ193" i="3" s="1"/>
  <c r="BA194" i="3"/>
  <c r="AZ194" i="3" s="1"/>
  <c r="BA227" i="3"/>
  <c r="AZ227" i="3" s="1"/>
  <c r="BL245" i="3"/>
  <c r="BL263" i="3"/>
  <c r="AZ263" i="3" s="1"/>
  <c r="BL264" i="3"/>
  <c r="BA265" i="3"/>
  <c r="AZ265" i="3" s="1"/>
  <c r="BA266" i="3"/>
  <c r="AZ266" i="3" s="1"/>
  <c r="BA271" i="3"/>
  <c r="AZ271" i="3" s="1"/>
  <c r="G272" i="3"/>
  <c r="BL276" i="3"/>
  <c r="BL300" i="3"/>
  <c r="AZ300" i="3" s="1"/>
  <c r="BA319" i="3"/>
  <c r="BA325" i="3"/>
  <c r="AZ325" i="3" s="1"/>
  <c r="AZ326" i="3"/>
  <c r="AZ346" i="3"/>
  <c r="BL379" i="3"/>
  <c r="BA381" i="3"/>
  <c r="AZ381" i="3" s="1"/>
  <c r="BL493" i="3"/>
  <c r="BA129" i="3"/>
  <c r="AZ129" i="3" s="1"/>
  <c r="BA130" i="3"/>
  <c r="AZ130" i="3" s="1"/>
  <c r="BL131" i="3"/>
  <c r="G141" i="3"/>
  <c r="BL161" i="3"/>
  <c r="AZ161" i="3" s="1"/>
  <c r="BA163" i="3"/>
  <c r="AZ163" i="3" s="1"/>
  <c r="BA164" i="3"/>
  <c r="AZ164" i="3" s="1"/>
  <c r="BA168" i="3"/>
  <c r="AZ168" i="3" s="1"/>
  <c r="AZ172" i="3"/>
  <c r="BA173" i="3"/>
  <c r="AZ173" i="3" s="1"/>
  <c r="BA178" i="3"/>
  <c r="AZ178" i="3" s="1"/>
  <c r="BL223" i="3"/>
  <c r="AZ223" i="3" s="1"/>
  <c r="BL224" i="3"/>
  <c r="AZ224" i="3" s="1"/>
  <c r="BL257" i="3"/>
  <c r="AZ257" i="3" s="1"/>
  <c r="BL274" i="3"/>
  <c r="AZ274" i="3" s="1"/>
  <c r="BA278" i="3"/>
  <c r="BL289" i="3"/>
  <c r="AZ289" i="3" s="1"/>
  <c r="BL295" i="3"/>
  <c r="AZ295" i="3" s="1"/>
  <c r="BL296" i="3"/>
  <c r="BA314" i="3"/>
  <c r="AZ314" i="3" s="1"/>
  <c r="AZ321" i="3"/>
  <c r="AZ324" i="3"/>
  <c r="BL325" i="3"/>
  <c r="BL364" i="3"/>
  <c r="BL366" i="3"/>
  <c r="BA379" i="3"/>
  <c r="BL409" i="3"/>
  <c r="AZ409" i="3" s="1"/>
  <c r="BL410" i="3"/>
  <c r="BL411" i="3"/>
  <c r="AZ411" i="3" s="1"/>
  <c r="BA423" i="3"/>
  <c r="AZ423" i="3" s="1"/>
  <c r="BL438" i="3"/>
  <c r="BL463" i="3"/>
  <c r="AZ463" i="3" s="1"/>
  <c r="AZ471" i="3"/>
  <c r="AZ475" i="3"/>
  <c r="AZ488" i="3"/>
  <c r="BA322" i="3"/>
  <c r="AZ322" i="3" s="1"/>
  <c r="BA323" i="3"/>
  <c r="AZ323" i="3" s="1"/>
  <c r="BL336" i="3"/>
  <c r="BL348" i="3"/>
  <c r="BL349" i="3"/>
  <c r="BL403" i="3"/>
  <c r="AZ403" i="3" s="1"/>
  <c r="BA410" i="3"/>
  <c r="BA412" i="3"/>
  <c r="AZ412" i="3" s="1"/>
  <c r="G428" i="3"/>
  <c r="AZ438" i="3"/>
  <c r="BA441" i="3"/>
  <c r="BA443" i="3"/>
  <c r="AZ443" i="3" s="1"/>
  <c r="G333" i="3"/>
  <c r="BL338" i="3"/>
  <c r="BL339" i="3"/>
  <c r="G342" i="3"/>
  <c r="BA376" i="3"/>
  <c r="AZ376" i="3" s="1"/>
  <c r="BL435" i="3"/>
  <c r="BA437" i="3"/>
  <c r="AZ437" i="3" s="1"/>
  <c r="BA348" i="3"/>
  <c r="BL354" i="3"/>
  <c r="BL355" i="3"/>
  <c r="G362" i="3"/>
  <c r="BL380" i="3"/>
  <c r="BL381" i="3"/>
  <c r="BL388" i="3"/>
  <c r="BL389" i="3"/>
  <c r="BL393" i="3"/>
  <c r="BL397" i="3"/>
  <c r="BL401" i="3"/>
  <c r="BL405" i="3"/>
  <c r="BL406" i="3"/>
  <c r="BA408" i="3"/>
  <c r="AZ408" i="3" s="1"/>
  <c r="BL432" i="3"/>
  <c r="AZ466" i="3"/>
  <c r="BA338" i="3"/>
  <c r="AZ338" i="3" s="1"/>
  <c r="BA339" i="3"/>
  <c r="AZ339" i="3" s="1"/>
  <c r="BL352" i="3"/>
  <c r="BL353" i="3"/>
  <c r="BL384" i="3"/>
  <c r="BL385" i="3"/>
  <c r="BL392" i="3"/>
  <c r="BL396" i="3"/>
  <c r="BL400" i="3"/>
  <c r="BA404" i="3"/>
  <c r="AZ404" i="3" s="1"/>
  <c r="BA406" i="3"/>
  <c r="AZ406" i="3" s="1"/>
  <c r="BA435" i="3"/>
  <c r="BL455" i="3"/>
  <c r="AZ459" i="3"/>
  <c r="AZ465" i="3"/>
  <c r="G321" i="3"/>
  <c r="G345" i="3"/>
  <c r="G346" i="3"/>
  <c r="BA354" i="3"/>
  <c r="BA355" i="3"/>
  <c r="BA380" i="3"/>
  <c r="AZ380" i="3" s="1"/>
  <c r="BA386" i="3"/>
  <c r="AZ386" i="3" s="1"/>
  <c r="BA387" i="3"/>
  <c r="AZ387" i="3" s="1"/>
  <c r="BA389" i="3"/>
  <c r="BA393" i="3"/>
  <c r="AZ393" i="3" s="1"/>
  <c r="BA397" i="3"/>
  <c r="BA401" i="3"/>
  <c r="BA405" i="3"/>
  <c r="AZ405" i="3" s="1"/>
  <c r="BL418" i="3"/>
  <c r="BL419" i="3"/>
  <c r="BL427" i="3"/>
  <c r="BA429" i="3"/>
  <c r="BA458" i="3"/>
  <c r="AZ458" i="3" s="1"/>
  <c r="BL332" i="3"/>
  <c r="AZ332" i="3" s="1"/>
  <c r="BL341" i="3"/>
  <c r="AZ341" i="3" s="1"/>
  <c r="BA352" i="3"/>
  <c r="BA384" i="3"/>
  <c r="AZ384" i="3" s="1"/>
  <c r="BA392" i="3"/>
  <c r="AZ392" i="3" s="1"/>
  <c r="BA400" i="3"/>
  <c r="AZ400" i="3" s="1"/>
  <c r="BA455" i="3"/>
  <c r="AZ455" i="3" s="1"/>
  <c r="BA457" i="3"/>
  <c r="BL357" i="3"/>
  <c r="AZ357" i="3" s="1"/>
  <c r="BL358" i="3"/>
  <c r="BL360" i="3"/>
  <c r="BL361" i="3"/>
  <c r="BL362" i="3"/>
  <c r="BL370" i="3"/>
  <c r="AZ370" i="3" s="1"/>
  <c r="BL371" i="3"/>
  <c r="G375" i="3"/>
  <c r="BL383" i="3"/>
  <c r="BA388" i="3"/>
  <c r="AZ388" i="3" s="1"/>
  <c r="BA396" i="3"/>
  <c r="AZ396" i="3" s="1"/>
  <c r="BA418" i="3"/>
  <c r="BA419" i="3"/>
  <c r="BL425" i="3"/>
  <c r="AZ425" i="3" s="1"/>
  <c r="BA427" i="3"/>
  <c r="AZ427" i="3" s="1"/>
  <c r="BL449" i="3"/>
  <c r="BA451" i="3"/>
  <c r="AZ451" i="3" s="1"/>
  <c r="BA454" i="3"/>
  <c r="AZ454" i="3" s="1"/>
  <c r="AZ461" i="3"/>
  <c r="BL478" i="3"/>
  <c r="AZ478" i="3" s="1"/>
  <c r="BA360" i="3"/>
  <c r="AZ365" i="3"/>
  <c r="BA366" i="3"/>
  <c r="AZ366" i="3" s="1"/>
  <c r="AZ369" i="3"/>
  <c r="BA371" i="3"/>
  <c r="BL414" i="3"/>
  <c r="BL415" i="3"/>
  <c r="AZ415" i="3" s="1"/>
  <c r="AZ450" i="3"/>
  <c r="AZ493" i="3"/>
  <c r="W25" i="33"/>
  <c r="AC25" i="33"/>
  <c r="U37" i="33"/>
  <c r="AB37" i="33"/>
  <c r="BL328" i="3"/>
  <c r="AZ328" i="3" s="1"/>
  <c r="G351" i="3"/>
  <c r="BA364" i="3"/>
  <c r="AZ364" i="3" s="1"/>
  <c r="BA368" i="3"/>
  <c r="AZ368" i="3" s="1"/>
  <c r="BL373" i="3"/>
  <c r="AZ373" i="3" s="1"/>
  <c r="AZ414" i="3"/>
  <c r="G436" i="3"/>
  <c r="AZ446" i="3"/>
  <c r="BA432" i="3"/>
  <c r="AZ432" i="3" s="1"/>
  <c r="BA440" i="3"/>
  <c r="AZ440" i="3" s="1"/>
  <c r="BA468" i="3"/>
  <c r="BA484" i="3"/>
  <c r="AZ484" i="3" s="1"/>
  <c r="AZ527" i="3"/>
  <c r="BL452" i="3"/>
  <c r="BL453" i="3"/>
  <c r="BL487" i="3"/>
  <c r="BL491" i="3"/>
  <c r="BL492" i="3"/>
  <c r="BA504" i="3"/>
  <c r="AZ504" i="3" s="1"/>
  <c r="BA524" i="3"/>
  <c r="AZ524" i="3" s="1"/>
  <c r="AZ526" i="3"/>
  <c r="AZ531" i="3"/>
  <c r="BL541" i="3"/>
  <c r="AZ541" i="3" s="1"/>
  <c r="K8" i="1"/>
  <c r="M8" i="1" s="1"/>
  <c r="B8" i="1"/>
  <c r="E8" i="1" s="1"/>
  <c r="R8" i="1"/>
  <c r="S8" i="1"/>
  <c r="T8" i="1" s="1"/>
  <c r="J47" i="34"/>
  <c r="H47" i="34"/>
  <c r="F47" i="34"/>
  <c r="W8" i="21"/>
  <c r="AC8" i="21"/>
  <c r="BL428" i="3"/>
  <c r="BA460" i="3"/>
  <c r="AZ460" i="3" s="1"/>
  <c r="BL472" i="3"/>
  <c r="BL473" i="3"/>
  <c r="AZ473" i="3" s="1"/>
  <c r="BA480" i="3"/>
  <c r="AZ480" i="3" s="1"/>
  <c r="BA481" i="3"/>
  <c r="BL486" i="3"/>
  <c r="BA487" i="3"/>
  <c r="AZ487" i="3" s="1"/>
  <c r="BA489" i="3"/>
  <c r="AZ489" i="3" s="1"/>
  <c r="BA523" i="3"/>
  <c r="AZ523" i="3" s="1"/>
  <c r="BA542" i="3"/>
  <c r="BL542" i="3"/>
  <c r="BL547" i="3"/>
  <c r="W9" i="37"/>
  <c r="AC9" i="37"/>
  <c r="BL429" i="3"/>
  <c r="BL436" i="3"/>
  <c r="BL437" i="3"/>
  <c r="BL444" i="3"/>
  <c r="BL445" i="3"/>
  <c r="AZ445" i="3" s="1"/>
  <c r="BA486" i="3"/>
  <c r="BA491" i="3"/>
  <c r="BL494" i="3"/>
  <c r="AZ494" i="3" s="1"/>
  <c r="BL495" i="3"/>
  <c r="BA497" i="3"/>
  <c r="AZ497" i="3" s="1"/>
  <c r="BL502" i="3"/>
  <c r="AZ502" i="3" s="1"/>
  <c r="BL514" i="3"/>
  <c r="AZ514" i="3" s="1"/>
  <c r="BL519" i="3"/>
  <c r="AZ519" i="3" s="1"/>
  <c r="AZ546" i="3"/>
  <c r="W25" i="21"/>
  <c r="AC25" i="21"/>
  <c r="G426" i="3"/>
  <c r="BA428" i="3"/>
  <c r="BA452" i="3"/>
  <c r="AZ452" i="3" s="1"/>
  <c r="BL464" i="3"/>
  <c r="BL465" i="3"/>
  <c r="BA495" i="3"/>
  <c r="AZ495" i="3" s="1"/>
  <c r="BL496" i="3"/>
  <c r="BA499" i="3"/>
  <c r="AZ499" i="3" s="1"/>
  <c r="BA500" i="3"/>
  <c r="AZ500" i="3" s="1"/>
  <c r="BL501" i="3"/>
  <c r="BL511" i="3"/>
  <c r="AZ511" i="3" s="1"/>
  <c r="BL513" i="3"/>
  <c r="AZ513" i="3" s="1"/>
  <c r="AZ518" i="3"/>
  <c r="BL518" i="3"/>
  <c r="BA540" i="3"/>
  <c r="AZ540" i="3" s="1"/>
  <c r="BA570" i="3"/>
  <c r="AZ570" i="3" s="1"/>
  <c r="P74" i="67"/>
  <c r="P61" i="67"/>
  <c r="BL424" i="3"/>
  <c r="AZ424" i="3" s="1"/>
  <c r="G434" i="3"/>
  <c r="G451" i="3"/>
  <c r="BA472" i="3"/>
  <c r="BA501" i="3"/>
  <c r="AZ501" i="3" s="1"/>
  <c r="BL506" i="3"/>
  <c r="BL517" i="3"/>
  <c r="AZ517" i="3" s="1"/>
  <c r="BL535" i="3"/>
  <c r="BA568" i="3"/>
  <c r="AZ568" i="3" s="1"/>
  <c r="BA436" i="3"/>
  <c r="AZ436" i="3" s="1"/>
  <c r="BA444" i="3"/>
  <c r="BL456" i="3"/>
  <c r="AZ456" i="3" s="1"/>
  <c r="BL457" i="3"/>
  <c r="BL477" i="3"/>
  <c r="BL508" i="3"/>
  <c r="AZ508" i="3" s="1"/>
  <c r="BA539" i="3"/>
  <c r="BL563" i="3"/>
  <c r="AZ587" i="3"/>
  <c r="G422" i="3"/>
  <c r="G435" i="3"/>
  <c r="G443" i="3"/>
  <c r="BA464" i="3"/>
  <c r="AZ464" i="3" s="1"/>
  <c r="BL476" i="3"/>
  <c r="BA496" i="3"/>
  <c r="AZ496" i="3" s="1"/>
  <c r="BA506" i="3"/>
  <c r="AZ506" i="3" s="1"/>
  <c r="BA512" i="3"/>
  <c r="AZ512" i="3" s="1"/>
  <c r="BA516" i="3"/>
  <c r="AZ516" i="3" s="1"/>
  <c r="BL534" i="3"/>
  <c r="BA535" i="3"/>
  <c r="AZ535" i="3" s="1"/>
  <c r="BA558" i="3"/>
  <c r="AZ558" i="3" s="1"/>
  <c r="BA564" i="3"/>
  <c r="AZ564" i="3" s="1"/>
  <c r="BL433" i="3"/>
  <c r="AZ433" i="3" s="1"/>
  <c r="BL440" i="3"/>
  <c r="BL441" i="3"/>
  <c r="AZ449" i="3"/>
  <c r="BL468" i="3"/>
  <c r="BL505" i="3"/>
  <c r="BL533" i="3"/>
  <c r="AZ533" i="3" s="1"/>
  <c r="AZ534" i="3"/>
  <c r="AZ563" i="3"/>
  <c r="W31" i="35"/>
  <c r="AC31" i="35"/>
  <c r="U30" i="36"/>
  <c r="AB30" i="36"/>
  <c r="AC23" i="39"/>
  <c r="W23" i="39"/>
  <c r="G455" i="3"/>
  <c r="BA476" i="3"/>
  <c r="AZ476" i="3" s="1"/>
  <c r="BA477" i="3"/>
  <c r="AZ477" i="3" s="1"/>
  <c r="BL481" i="3"/>
  <c r="BA505" i="3"/>
  <c r="BA530" i="3"/>
  <c r="AZ530" i="3" s="1"/>
  <c r="BL531" i="3"/>
  <c r="BA532" i="3"/>
  <c r="AZ532" i="3" s="1"/>
  <c r="BL550" i="3"/>
  <c r="AZ550" i="3" s="1"/>
  <c r="BA551" i="3"/>
  <c r="BA556" i="3"/>
  <c r="AZ556" i="3" s="1"/>
  <c r="BL575" i="3"/>
  <c r="AZ575" i="3" s="1"/>
  <c r="BA583" i="3"/>
  <c r="AZ583" i="3" s="1"/>
  <c r="BA566" i="3"/>
  <c r="BL567" i="3"/>
  <c r="AZ567" i="3" s="1"/>
  <c r="BA580" i="3"/>
  <c r="AZ580" i="3" s="1"/>
  <c r="BA584" i="3"/>
  <c r="AZ584" i="3" s="1"/>
  <c r="BL585" i="3"/>
  <c r="AC29" i="21"/>
  <c r="AA12" i="21"/>
  <c r="S12" i="21"/>
  <c r="J45" i="33"/>
  <c r="F45" i="33"/>
  <c r="H45" i="33"/>
  <c r="U22" i="36"/>
  <c r="AB22" i="36"/>
  <c r="BA585" i="3"/>
  <c r="AZ585" i="3" s="1"/>
  <c r="BL586" i="3"/>
  <c r="AZ586" i="3" s="1"/>
  <c r="U29" i="34"/>
  <c r="AB29" i="34"/>
  <c r="AB19" i="21"/>
  <c r="U19" i="21"/>
  <c r="BL525" i="3"/>
  <c r="AZ525" i="3" s="1"/>
  <c r="BL539" i="3"/>
  <c r="BL549" i="3"/>
  <c r="AZ549" i="3" s="1"/>
  <c r="AA12" i="34"/>
  <c r="S12" i="34"/>
  <c r="W14" i="34"/>
  <c r="W19" i="34"/>
  <c r="U38" i="34"/>
  <c r="AB38" i="34"/>
  <c r="BA547" i="3"/>
  <c r="BL561" i="3"/>
  <c r="AZ561" i="3" s="1"/>
  <c r="AA32" i="37"/>
  <c r="S32" i="37"/>
  <c r="BA559" i="3"/>
  <c r="AZ559" i="3" s="1"/>
  <c r="BL573" i="3"/>
  <c r="AZ573" i="3" s="1"/>
  <c r="BA548" i="3"/>
  <c r="AZ548" i="3" s="1"/>
  <c r="BA571" i="3"/>
  <c r="AZ571" i="3" s="1"/>
  <c r="R14" i="77"/>
  <c r="K145" i="21"/>
  <c r="W30" i="37"/>
  <c r="AC30" i="37"/>
  <c r="BA560" i="3"/>
  <c r="AZ560" i="3" s="1"/>
  <c r="AC33" i="34"/>
  <c r="W33" i="34"/>
  <c r="BL527" i="3"/>
  <c r="BL551" i="3"/>
  <c r="BA572" i="3"/>
  <c r="AZ572" i="3" s="1"/>
  <c r="G584" i="3"/>
  <c r="K9" i="1"/>
  <c r="M9" i="1" s="1"/>
  <c r="S9" i="1"/>
  <c r="R9" i="1"/>
  <c r="H109" i="9"/>
  <c r="G26" i="12"/>
  <c r="G41" i="69"/>
  <c r="AB46" i="34"/>
  <c r="U46" i="34"/>
  <c r="R19" i="77"/>
  <c r="AB28" i="21"/>
  <c r="U28" i="21"/>
  <c r="BL537" i="3"/>
  <c r="AZ537" i="3" s="1"/>
  <c r="BL554" i="3"/>
  <c r="AZ554" i="3" s="1"/>
  <c r="BL578" i="3"/>
  <c r="AZ578" i="3" s="1"/>
  <c r="BL581" i="3"/>
  <c r="AZ581" i="3" s="1"/>
  <c r="AC25" i="34"/>
  <c r="U21" i="21"/>
  <c r="AB21" i="21"/>
  <c r="J9" i="21"/>
  <c r="H9" i="21"/>
  <c r="F9" i="21"/>
  <c r="BL566" i="3"/>
  <c r="BL579" i="3"/>
  <c r="AZ579" i="3" s="1"/>
  <c r="D8" i="74"/>
  <c r="H14" i="34"/>
  <c r="F14" i="34"/>
  <c r="U33" i="37"/>
  <c r="AB33" i="37"/>
  <c r="F28" i="33"/>
  <c r="H28" i="33"/>
  <c r="J28" i="33"/>
  <c r="AC28" i="33" s="1"/>
  <c r="W8" i="36"/>
  <c r="AC8" i="36"/>
  <c r="S29" i="36"/>
  <c r="AA29" i="36"/>
  <c r="AC13" i="40"/>
  <c r="W13" i="40"/>
  <c r="G7" i="1"/>
  <c r="H9" i="34"/>
  <c r="J17" i="34"/>
  <c r="U32" i="21"/>
  <c r="W36" i="21"/>
  <c r="S39" i="21"/>
  <c r="AC41" i="21"/>
  <c r="U43" i="21"/>
  <c r="W10" i="33"/>
  <c r="S16" i="36"/>
  <c r="AA16" i="36"/>
  <c r="J51" i="67"/>
  <c r="M59" i="67" s="1"/>
  <c r="S10" i="1"/>
  <c r="B13" i="1"/>
  <c r="E13" i="1" s="1"/>
  <c r="H111" i="9"/>
  <c r="W11" i="34"/>
  <c r="F30" i="34"/>
  <c r="AB10" i="21"/>
  <c r="AC28" i="21"/>
  <c r="U35" i="21"/>
  <c r="AB8" i="37"/>
  <c r="H12" i="35"/>
  <c r="AA32" i="35"/>
  <c r="S32" i="35"/>
  <c r="AA26" i="36"/>
  <c r="S26" i="36"/>
  <c r="AC36" i="37"/>
  <c r="W36" i="37"/>
  <c r="H24" i="35"/>
  <c r="J24" i="35"/>
  <c r="F17" i="34"/>
  <c r="H30" i="34"/>
  <c r="W40" i="34"/>
  <c r="F14" i="21"/>
  <c r="U36" i="21"/>
  <c r="U10" i="33"/>
  <c r="AC13" i="37"/>
  <c r="H39" i="37"/>
  <c r="F12" i="37"/>
  <c r="J12" i="37"/>
  <c r="J12" i="35"/>
  <c r="W17" i="21"/>
  <c r="AC39" i="37"/>
  <c r="W39" i="37"/>
  <c r="U10" i="36"/>
  <c r="AB10" i="36"/>
  <c r="S9" i="39"/>
  <c r="AA9" i="39"/>
  <c r="W25" i="39"/>
  <c r="AC25" i="39"/>
  <c r="F13" i="34"/>
  <c r="H14" i="21"/>
  <c r="K141" i="21"/>
  <c r="AB34" i="37"/>
  <c r="AA12" i="35"/>
  <c r="AB20" i="35"/>
  <c r="U20" i="35"/>
  <c r="R13" i="1"/>
  <c r="AA13" i="33"/>
  <c r="AA34" i="36"/>
  <c r="S34" i="36"/>
  <c r="S8" i="36"/>
  <c r="AA8" i="36"/>
  <c r="W18" i="36"/>
  <c r="AC18" i="36"/>
  <c r="J32" i="36"/>
  <c r="H32" i="36"/>
  <c r="F32" i="36"/>
  <c r="U21" i="40"/>
  <c r="AB21" i="40"/>
  <c r="F25" i="35"/>
  <c r="H25" i="35"/>
  <c r="H35" i="35"/>
  <c r="W16" i="36"/>
  <c r="AC14" i="39"/>
  <c r="AB19" i="39"/>
  <c r="S34" i="40"/>
  <c r="U28" i="35"/>
  <c r="AB28" i="35"/>
  <c r="U34" i="36"/>
  <c r="AB34" i="36"/>
  <c r="H40" i="40"/>
  <c r="F40" i="40"/>
  <c r="J40" i="40"/>
  <c r="AB11" i="35"/>
  <c r="W18" i="35"/>
  <c r="J35" i="35"/>
  <c r="U35" i="39"/>
  <c r="AB35" i="39"/>
  <c r="H44" i="39"/>
  <c r="F44" i="39"/>
  <c r="Y31" i="71"/>
  <c r="Z31" i="71" s="1"/>
  <c r="Y9" i="71"/>
  <c r="Z9" i="71" s="1"/>
  <c r="Y33" i="71"/>
  <c r="Z33" i="71" s="1"/>
  <c r="C34" i="71"/>
  <c r="Y29" i="71"/>
  <c r="Z29" i="71" s="1"/>
  <c r="AA14" i="36"/>
  <c r="J24" i="36"/>
  <c r="H24" i="36"/>
  <c r="H25" i="36"/>
  <c r="J25" i="36"/>
  <c r="W8" i="39"/>
  <c r="AC31" i="39"/>
  <c r="W31" i="39"/>
  <c r="AC41" i="39"/>
  <c r="W13" i="39"/>
  <c r="AC13" i="39"/>
  <c r="U34" i="39"/>
  <c r="J33" i="40"/>
  <c r="F33" i="40"/>
  <c r="H33" i="40"/>
  <c r="AC32" i="40"/>
  <c r="G13" i="3"/>
  <c r="W30" i="35"/>
  <c r="J23" i="35"/>
  <c r="AC27" i="36"/>
  <c r="AB35" i="40"/>
  <c r="U35" i="40"/>
  <c r="U37" i="40"/>
  <c r="AB37" i="40"/>
  <c r="AC11" i="39"/>
  <c r="AB15" i="39"/>
  <c r="AB23" i="39"/>
  <c r="U23" i="39"/>
  <c r="AA11" i="40"/>
  <c r="E5" i="6"/>
  <c r="U8" i="79"/>
  <c r="AI8" i="79" s="1"/>
  <c r="U7" i="79"/>
  <c r="AI7" i="79" s="1"/>
  <c r="X14" i="71"/>
  <c r="X21" i="71"/>
  <c r="X13" i="71"/>
  <c r="G23" i="43"/>
  <c r="A1" i="79" s="1"/>
  <c r="C42" i="1"/>
  <c r="C36" i="11" s="1"/>
  <c r="AR11" i="79"/>
  <c r="AR12" i="79" s="1"/>
  <c r="AR13" i="79" s="1"/>
  <c r="AR14" i="79" s="1"/>
  <c r="AR15" i="79" s="1"/>
  <c r="AR16" i="79" s="1"/>
  <c r="AR17" i="79" s="1"/>
  <c r="AR18" i="79" s="1"/>
  <c r="AR19" i="79" s="1"/>
  <c r="AR20" i="79" s="1"/>
  <c r="AR21" i="79" s="1"/>
  <c r="AR22" i="79" s="1"/>
  <c r="AR23" i="79" s="1"/>
  <c r="AR24" i="79" s="1"/>
  <c r="Z3" i="79"/>
  <c r="Y14" i="71"/>
  <c r="Z14" i="71" s="1"/>
  <c r="C47" i="71"/>
  <c r="D47" i="71" s="1"/>
  <c r="D46" i="71"/>
  <c r="X10" i="71"/>
  <c r="T7" i="79"/>
  <c r="T5" i="79"/>
  <c r="AB31" i="79"/>
  <c r="C82" i="71"/>
  <c r="D82" i="71" s="1"/>
  <c r="D83" i="71"/>
  <c r="AB36" i="40"/>
  <c r="U5" i="79"/>
  <c r="AI5" i="79" s="1"/>
  <c r="X15" i="71"/>
  <c r="Y30" i="71"/>
  <c r="Z30" i="71" s="1"/>
  <c r="N67" i="71"/>
  <c r="B66" i="71"/>
  <c r="AA31" i="79"/>
  <c r="AD31" i="79" s="1"/>
  <c r="T40" i="79"/>
  <c r="T46" i="79"/>
  <c r="P46" i="79"/>
  <c r="D54" i="71"/>
  <c r="C55" i="71"/>
  <c r="AD39" i="79"/>
  <c r="X3" i="71"/>
  <c r="Y10" i="71"/>
  <c r="Z10" i="71" s="1"/>
  <c r="E23" i="71"/>
  <c r="E22" i="71" s="1"/>
  <c r="E21" i="71" s="1"/>
  <c r="E20" i="71" s="1"/>
  <c r="V24" i="71"/>
  <c r="P21" i="79"/>
  <c r="T17" i="79"/>
  <c r="U33" i="79"/>
  <c r="AI33" i="79" s="1"/>
  <c r="Y3" i="71"/>
  <c r="Z3" i="71" s="1"/>
  <c r="AA3" i="71"/>
  <c r="F22" i="71"/>
  <c r="F21" i="71" s="1"/>
  <c r="F20" i="71" s="1"/>
  <c r="F19" i="71" s="1"/>
  <c r="F18" i="71" s="1"/>
  <c r="F17" i="71" s="1"/>
  <c r="F16" i="71" s="1"/>
  <c r="F15" i="71" s="1"/>
  <c r="F14" i="71" s="1"/>
  <c r="F13" i="71" s="1"/>
  <c r="F12" i="71" s="1"/>
  <c r="F11" i="71" s="1"/>
  <c r="F10" i="71" s="1"/>
  <c r="F9" i="71" s="1"/>
  <c r="F8" i="71" s="1"/>
  <c r="F7" i="71" s="1"/>
  <c r="F6" i="71" s="1"/>
  <c r="F5" i="71" s="1"/>
  <c r="V80" i="71"/>
  <c r="F79" i="71"/>
  <c r="F78" i="71" s="1"/>
  <c r="AD33" i="79"/>
  <c r="Y12" i="71"/>
  <c r="Z12" i="71" s="1"/>
  <c r="V18" i="79"/>
  <c r="AJ18" i="79" s="1"/>
  <c r="U76" i="71"/>
  <c r="T19" i="79"/>
  <c r="E28" i="71"/>
  <c r="F28" i="71"/>
  <c r="F27" i="71" s="1"/>
  <c r="F26" i="71" s="1"/>
  <c r="C87" i="71"/>
  <c r="H26" i="43"/>
  <c r="E21" i="43"/>
  <c r="E15" i="4"/>
  <c r="F6" i="1" s="1"/>
  <c r="T13" i="79"/>
  <c r="J26" i="43"/>
  <c r="O21" i="43"/>
  <c r="X11" i="71"/>
  <c r="X18" i="71"/>
  <c r="X30" i="71"/>
  <c r="BA13" i="3"/>
  <c r="AZ13" i="3" s="1"/>
  <c r="C5" i="11"/>
  <c r="X9" i="71"/>
  <c r="N6" i="43"/>
  <c r="C118" i="43"/>
  <c r="D116" i="43" s="1"/>
  <c r="B3" i="35"/>
  <c r="C18" i="9"/>
  <c r="D18" i="9" s="1"/>
  <c r="S44" i="34"/>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AQ12" i="1"/>
  <c r="H34" i="34"/>
  <c r="AQ13" i="1"/>
  <c r="T13" i="1"/>
  <c r="T12" i="1"/>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W33" i="33"/>
  <c r="AC33" i="33"/>
  <c r="K6" i="1"/>
  <c r="D3" i="33"/>
  <c r="F33" i="33"/>
  <c r="AQ11" i="1"/>
  <c r="T18" i="1"/>
  <c r="H33" i="33"/>
  <c r="H66" i="43"/>
  <c r="G66" i="43" s="1"/>
  <c r="M66" i="43" s="1"/>
  <c r="N66" i="43" s="1"/>
  <c r="H69" i="43"/>
  <c r="G69" i="43" s="1"/>
  <c r="K52" i="43"/>
  <c r="J52" i="43" s="1"/>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K67" i="43" s="1"/>
  <c r="H63" i="43"/>
  <c r="G63" i="43" s="1"/>
  <c r="M63" i="43" s="1"/>
  <c r="N63" i="43" s="1"/>
  <c r="C21" i="43"/>
  <c r="M21" i="43"/>
  <c r="I21" i="43"/>
  <c r="H50" i="43"/>
  <c r="G50" i="43" s="1"/>
  <c r="H58" i="43"/>
  <c r="G58" i="43" s="1"/>
  <c r="M58" i="43" s="1"/>
  <c r="N58" i="43" s="1"/>
  <c r="H56" i="43"/>
  <c r="G56" i="43" s="1"/>
  <c r="H54" i="43"/>
  <c r="G54" i="43" s="1"/>
  <c r="H21" i="43"/>
  <c r="F26" i="43"/>
  <c r="D26" i="43" s="1"/>
  <c r="N53" i="43"/>
  <c r="D53" i="43"/>
  <c r="K69" i="43"/>
  <c r="M69" i="43"/>
  <c r="N69" i="43" s="1"/>
  <c r="K65" i="43"/>
  <c r="M65" i="43"/>
  <c r="N65" i="43" s="1"/>
  <c r="K51" i="43"/>
  <c r="M51" i="43"/>
  <c r="N51" i="43" s="1"/>
  <c r="M64" i="43"/>
  <c r="N64" i="43" s="1"/>
  <c r="K64" i="43"/>
  <c r="D52" i="43"/>
  <c r="M67" i="43"/>
  <c r="N67" i="43" s="1"/>
  <c r="K61" i="43"/>
  <c r="M61" i="43"/>
  <c r="N61" i="43" s="1"/>
  <c r="C6" i="43"/>
  <c r="K53" i="43"/>
  <c r="J53" i="43" s="1"/>
  <c r="H62" i="43"/>
  <c r="G62" i="43" s="1"/>
  <c r="D46" i="36"/>
  <c r="E46" i="36" s="1"/>
  <c r="F46" i="36" s="1"/>
  <c r="G46" i="36" s="1"/>
  <c r="H46" i="36" s="1"/>
  <c r="I46" i="36" s="1"/>
  <c r="J46" i="36" s="1"/>
  <c r="K46" i="36" s="1"/>
  <c r="L46" i="36" s="1"/>
  <c r="M46" i="36" s="1"/>
  <c r="N46" i="36" s="1"/>
  <c r="O46" i="36" s="1"/>
  <c r="E48" i="35"/>
  <c r="F48" i="35" s="1"/>
  <c r="G48" i="35" s="1"/>
  <c r="H48" i="35" s="1"/>
  <c r="I48" i="35" s="1"/>
  <c r="J48" i="35" s="1"/>
  <c r="K48" i="35" s="1"/>
  <c r="L48" i="35" s="1"/>
  <c r="M48" i="35" s="1"/>
  <c r="N48" i="35" s="1"/>
  <c r="O48" i="35" s="1"/>
  <c r="D52" i="37"/>
  <c r="I24" i="43"/>
  <c r="C24" i="43" s="1"/>
  <c r="F58" i="33"/>
  <c r="F7" i="21"/>
  <c r="J7" i="21"/>
  <c r="H7" i="21"/>
  <c r="C65" i="40"/>
  <c r="D63" i="40"/>
  <c r="O23" i="43"/>
  <c r="P27" i="43"/>
  <c r="B70" i="39" s="1"/>
  <c r="N59" i="15"/>
  <c r="L59" i="15"/>
  <c r="L58" i="15"/>
  <c r="M59" i="15"/>
  <c r="C6" i="15"/>
  <c r="Q71" i="15"/>
  <c r="F64" i="15"/>
  <c r="C27" i="15"/>
  <c r="F63" i="15"/>
  <c r="C62" i="15" s="1"/>
  <c r="C34" i="15"/>
  <c r="M7" i="15"/>
  <c r="J6" i="15" s="1"/>
  <c r="F50" i="15"/>
  <c r="B12" i="70"/>
  <c r="B9" i="70"/>
  <c r="B10" i="70"/>
  <c r="B11" i="70"/>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L59" i="67"/>
  <c r="Q71" i="67"/>
  <c r="C14" i="15"/>
  <c r="D6" i="73"/>
  <c r="F7" i="67"/>
  <c r="D4" i="73"/>
  <c r="F43" i="67"/>
  <c r="D5" i="73"/>
  <c r="D3" i="73"/>
  <c r="L48" i="67"/>
  <c r="C17" i="15"/>
  <c r="C16" i="15"/>
  <c r="D7" i="73"/>
  <c r="M29" i="67"/>
  <c r="C15" i="15" l="1"/>
  <c r="C18" i="15"/>
  <c r="AA34" i="34"/>
  <c r="AC27" i="34"/>
  <c r="W27" i="34"/>
  <c r="G5" i="3"/>
  <c r="B3" i="3" s="1"/>
  <c r="E534" i="3" s="1"/>
  <c r="BA5" i="3"/>
  <c r="E27" i="6" s="1"/>
  <c r="G1" i="73"/>
  <c r="B40" i="1" s="1"/>
  <c r="F22" i="11" s="1"/>
  <c r="H7" i="34"/>
  <c r="J7" i="35"/>
  <c r="W7" i="35" s="1"/>
  <c r="J7" i="34"/>
  <c r="W7" i="34" s="1"/>
  <c r="F7" i="34"/>
  <c r="S7" i="34" s="1"/>
  <c r="N59" i="67"/>
  <c r="P29" i="43"/>
  <c r="P26" i="43"/>
  <c r="P28" i="43"/>
  <c r="B66" i="40" s="1"/>
  <c r="P25" i="43"/>
  <c r="G67" i="39"/>
  <c r="F69" i="39"/>
  <c r="J57" i="67"/>
  <c r="J55" i="67" s="1"/>
  <c r="J58" i="67" s="1"/>
  <c r="Q50" i="67" s="1"/>
  <c r="L58" i="67"/>
  <c r="Q73" i="67" s="1"/>
  <c r="L60" i="67"/>
  <c r="Q66" i="67" s="1"/>
  <c r="L56" i="67"/>
  <c r="L57" i="67"/>
  <c r="I54" i="67"/>
  <c r="J53" i="67"/>
  <c r="Q52" i="67" s="1"/>
  <c r="G6" i="1"/>
  <c r="G16" i="1" s="1"/>
  <c r="F10" i="39" s="1"/>
  <c r="D58" i="78"/>
  <c r="D62" i="78" s="1"/>
  <c r="C62" i="78" s="1"/>
  <c r="D87" i="71"/>
  <c r="C86" i="71"/>
  <c r="D86" i="71" s="1"/>
  <c r="AA40" i="40"/>
  <c r="S40" i="40"/>
  <c r="AA25" i="35"/>
  <c r="S25" i="35"/>
  <c r="U45" i="33"/>
  <c r="AB45" i="33"/>
  <c r="AZ472" i="3"/>
  <c r="AZ418" i="3"/>
  <c r="AZ156" i="3"/>
  <c r="AZ304" i="3"/>
  <c r="AZ63" i="3"/>
  <c r="BL5" i="3"/>
  <c r="F7" i="36"/>
  <c r="S7" i="36" s="1"/>
  <c r="AH46" i="79"/>
  <c r="W46" i="79"/>
  <c r="AK46" i="79" s="1"/>
  <c r="AH5" i="79"/>
  <c r="W5" i="79"/>
  <c r="AB40" i="40"/>
  <c r="U40" i="40"/>
  <c r="AA14" i="21"/>
  <c r="S14" i="21"/>
  <c r="U12" i="35"/>
  <c r="AB12" i="35"/>
  <c r="AA45" i="33"/>
  <c r="S45" i="33"/>
  <c r="AZ457" i="3"/>
  <c r="AZ353" i="3"/>
  <c r="AZ385" i="3"/>
  <c r="AZ76" i="3"/>
  <c r="AZ51" i="3"/>
  <c r="F7" i="35"/>
  <c r="AA7" i="35" s="1"/>
  <c r="R38" i="35" s="1"/>
  <c r="M68" i="43"/>
  <c r="N68" i="43" s="1"/>
  <c r="AH19" i="79"/>
  <c r="W19" i="79"/>
  <c r="AK19" i="79" s="1"/>
  <c r="W17" i="79"/>
  <c r="AK17" i="79" s="1"/>
  <c r="AH17" i="79"/>
  <c r="AC23" i="35"/>
  <c r="W23" i="35"/>
  <c r="C28" i="67"/>
  <c r="S32" i="36"/>
  <c r="AA32" i="36"/>
  <c r="U30" i="34"/>
  <c r="AB30" i="34"/>
  <c r="AA9" i="21"/>
  <c r="S9" i="21"/>
  <c r="AZ444" i="3"/>
  <c r="AZ468" i="3"/>
  <c r="AZ360" i="3"/>
  <c r="AZ401" i="3"/>
  <c r="AZ410" i="3"/>
  <c r="AZ336" i="3"/>
  <c r="AZ340" i="3"/>
  <c r="AZ28" i="3"/>
  <c r="AZ68" i="3"/>
  <c r="AZ69" i="3"/>
  <c r="AZ16" i="3"/>
  <c r="AZ5" i="3" s="1"/>
  <c r="V28" i="71"/>
  <c r="E27" i="71"/>
  <c r="E26" i="71" s="1"/>
  <c r="AC45" i="33"/>
  <c r="W45" i="33"/>
  <c r="N65" i="71"/>
  <c r="N66" i="71"/>
  <c r="D9" i="69"/>
  <c r="C9" i="69" s="1"/>
  <c r="D19" i="12"/>
  <c r="C19" i="12" s="1"/>
  <c r="D9" i="11"/>
  <c r="C9" i="11" s="1"/>
  <c r="D9" i="68"/>
  <c r="C9" i="68" s="1"/>
  <c r="AA44" i="39"/>
  <c r="S44" i="39"/>
  <c r="AB32" i="36"/>
  <c r="U32" i="36"/>
  <c r="AA17" i="34"/>
  <c r="S17" i="34"/>
  <c r="AB9" i="21"/>
  <c r="U9" i="21"/>
  <c r="AZ551" i="3"/>
  <c r="AZ397" i="3"/>
  <c r="F28" i="6"/>
  <c r="C48" i="68"/>
  <c r="G30" i="6"/>
  <c r="G31" i="6" s="1"/>
  <c r="K66" i="43"/>
  <c r="J51" i="43"/>
  <c r="D51" i="43"/>
  <c r="W25" i="36"/>
  <c r="AC25" i="36"/>
  <c r="AB44" i="39"/>
  <c r="U44" i="39"/>
  <c r="AC32" i="36"/>
  <c r="W32" i="36"/>
  <c r="W24" i="35"/>
  <c r="AC24" i="35"/>
  <c r="AC9" i="21"/>
  <c r="W9" i="21"/>
  <c r="W40" i="79"/>
  <c r="AK40" i="79" s="1"/>
  <c r="AH40" i="79"/>
  <c r="K58" i="43"/>
  <c r="G21" i="43"/>
  <c r="C20" i="43" s="1"/>
  <c r="V20" i="71"/>
  <c r="E19" i="71"/>
  <c r="E18" i="71" s="1"/>
  <c r="E17" i="71" s="1"/>
  <c r="E16" i="71" s="1"/>
  <c r="AB25" i="36"/>
  <c r="U25" i="36"/>
  <c r="AC12" i="35"/>
  <c r="W12" i="35"/>
  <c r="AB24" i="35"/>
  <c r="U24" i="35"/>
  <c r="AA30" i="34"/>
  <c r="S30" i="34"/>
  <c r="AB28" i="33"/>
  <c r="U28" i="33"/>
  <c r="AZ547" i="3"/>
  <c r="AZ542" i="3"/>
  <c r="AZ352" i="3"/>
  <c r="AZ389" i="3"/>
  <c r="AZ278" i="3"/>
  <c r="AZ319" i="3"/>
  <c r="AZ350" i="3"/>
  <c r="AZ200" i="3"/>
  <c r="C36" i="68"/>
  <c r="AZ18" i="3"/>
  <c r="AB33" i="40"/>
  <c r="U33" i="40"/>
  <c r="AB24" i="36"/>
  <c r="U24" i="36"/>
  <c r="U14" i="21"/>
  <c r="AB14" i="21"/>
  <c r="W12" i="37"/>
  <c r="AC12" i="37"/>
  <c r="AA28" i="33"/>
  <c r="S28" i="33"/>
  <c r="AZ491" i="3"/>
  <c r="AA47" i="34"/>
  <c r="S47" i="34"/>
  <c r="AZ435" i="3"/>
  <c r="AZ349" i="3"/>
  <c r="AZ228" i="3"/>
  <c r="AZ330" i="3"/>
  <c r="AZ233" i="3"/>
  <c r="AZ235" i="3"/>
  <c r="E29" i="6"/>
  <c r="K15" i="1" s="1"/>
  <c r="C30" i="68"/>
  <c r="AH7" i="79"/>
  <c r="W7" i="79"/>
  <c r="AK7" i="79" s="1"/>
  <c r="K63" i="43"/>
  <c r="W13" i="79"/>
  <c r="AK13" i="79" s="1"/>
  <c r="AH13" i="79"/>
  <c r="AA33" i="40"/>
  <c r="S33" i="40"/>
  <c r="AC24" i="36"/>
  <c r="W24" i="36"/>
  <c r="W35" i="35"/>
  <c r="AC35" i="35"/>
  <c r="S13" i="34"/>
  <c r="AA13" i="34"/>
  <c r="AA12" i="37"/>
  <c r="S12" i="37"/>
  <c r="D126" i="9"/>
  <c r="D19" i="53"/>
  <c r="W17" i="34"/>
  <c r="AC17" i="34"/>
  <c r="H110" i="9"/>
  <c r="D124" i="9"/>
  <c r="D16" i="53"/>
  <c r="AZ428" i="3"/>
  <c r="AZ486" i="3"/>
  <c r="AB47" i="34"/>
  <c r="U47" i="34"/>
  <c r="AZ379" i="3"/>
  <c r="AZ177" i="3"/>
  <c r="AZ92" i="3"/>
  <c r="C17" i="71"/>
  <c r="D18" i="71"/>
  <c r="J7" i="36"/>
  <c r="AC7" i="36" s="1"/>
  <c r="V36" i="36" s="1"/>
  <c r="I36" i="36" s="1"/>
  <c r="C77" i="9"/>
  <c r="C74" i="9" s="1"/>
  <c r="C24" i="12"/>
  <c r="C13" i="12"/>
  <c r="C48" i="69"/>
  <c r="C30" i="69"/>
  <c r="C28" i="15"/>
  <c r="C31" i="12"/>
  <c r="W33" i="40"/>
  <c r="AC33" i="40"/>
  <c r="U39" i="37"/>
  <c r="AB39" i="37"/>
  <c r="U9" i="34"/>
  <c r="AB9" i="34"/>
  <c r="AZ505" i="3"/>
  <c r="W47" i="34"/>
  <c r="AC47" i="34"/>
  <c r="AZ315" i="3"/>
  <c r="AZ264" i="3"/>
  <c r="H7" i="36"/>
  <c r="AB7" i="36" s="1"/>
  <c r="T36" i="36" s="1"/>
  <c r="G36" i="36" s="1"/>
  <c r="D55" i="71"/>
  <c r="C56" i="71"/>
  <c r="AB35" i="35"/>
  <c r="U35" i="35"/>
  <c r="AR10" i="1"/>
  <c r="AQ10" i="1"/>
  <c r="T10" i="1"/>
  <c r="S14" i="34"/>
  <c r="AA14" i="34"/>
  <c r="AR9" i="1"/>
  <c r="T9" i="1"/>
  <c r="AQ9" i="1"/>
  <c r="R25" i="77"/>
  <c r="R5" i="77"/>
  <c r="U5" i="77" s="1"/>
  <c r="AZ566" i="3"/>
  <c r="AZ539" i="3"/>
  <c r="AR8" i="1"/>
  <c r="AQ8" i="1"/>
  <c r="AZ429" i="3"/>
  <c r="AZ355" i="3"/>
  <c r="AZ21" i="3"/>
  <c r="D34" i="71"/>
  <c r="C35" i="71"/>
  <c r="W40" i="40"/>
  <c r="AC40" i="40"/>
  <c r="AB25" i="35"/>
  <c r="U25" i="35"/>
  <c r="U14" i="34"/>
  <c r="AB14" i="34"/>
  <c r="AZ481" i="3"/>
  <c r="AZ371" i="3"/>
  <c r="AZ419" i="3"/>
  <c r="AZ354" i="3"/>
  <c r="AZ348" i="3"/>
  <c r="AZ441" i="3"/>
  <c r="AZ201" i="3"/>
  <c r="AZ206" i="3"/>
  <c r="AZ32" i="3"/>
  <c r="AZ66" i="3"/>
  <c r="S12" i="71"/>
  <c r="B11" i="71"/>
  <c r="B10" i="71" s="1"/>
  <c r="B9" i="71" s="1"/>
  <c r="B8" i="71" s="1"/>
  <c r="B7" i="71" s="1"/>
  <c r="B6" i="71" s="1"/>
  <c r="B5" i="71" s="1"/>
  <c r="E12" i="6"/>
  <c r="E11" i="6"/>
  <c r="E60" i="39" s="1"/>
  <c r="E8" i="6"/>
  <c r="F27" i="6" s="1"/>
  <c r="E10" i="6"/>
  <c r="E13" i="6"/>
  <c r="S43" i="34"/>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E582" i="3"/>
  <c r="E566" i="3"/>
  <c r="E550"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AB33" i="33"/>
  <c r="U33" i="33"/>
  <c r="E64" i="39"/>
  <c r="E60" i="40"/>
  <c r="E63" i="39"/>
  <c r="E59" i="40"/>
  <c r="AA33" i="33"/>
  <c r="S33" i="33"/>
  <c r="H16" i="1"/>
  <c r="M6" i="1"/>
  <c r="Q16" i="1"/>
  <c r="E13" i="3"/>
  <c r="E57" i="40"/>
  <c r="E61" i="39"/>
  <c r="E58" i="40"/>
  <c r="E62" i="39"/>
  <c r="K55" i="43"/>
  <c r="M55" i="43"/>
  <c r="N55" i="43" s="1"/>
  <c r="K50" i="43"/>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E63" i="40"/>
  <c r="D65" i="40"/>
  <c r="S7" i="35"/>
  <c r="AA7" i="21"/>
  <c r="R48" i="21" s="1"/>
  <c r="S7" i="21"/>
  <c r="E52" i="37"/>
  <c r="AB7" i="21"/>
  <c r="T48" i="21" s="1"/>
  <c r="G48" i="21" s="1"/>
  <c r="U7" i="21"/>
  <c r="AC7" i="21"/>
  <c r="V48" i="21" s="1"/>
  <c r="I48" i="21" s="1"/>
  <c r="W7" i="21"/>
  <c r="G58" i="33"/>
  <c r="AA7" i="36"/>
  <c r="R36" i="36" s="1"/>
  <c r="U7" i="34"/>
  <c r="AB7" i="34"/>
  <c r="H7" i="35"/>
  <c r="C19" i="15"/>
  <c r="J19" i="15"/>
  <c r="J18" i="15"/>
  <c r="Q61" i="67"/>
  <c r="Q74" i="67"/>
  <c r="F1" i="15"/>
  <c r="Q52" i="15"/>
  <c r="F11" i="67"/>
  <c r="C53" i="67" s="1"/>
  <c r="M11" i="67"/>
  <c r="J10" i="67" s="1"/>
  <c r="F11" i="15"/>
  <c r="M11" i="15"/>
  <c r="J10" i="15" s="1"/>
  <c r="J5" i="15" s="1"/>
  <c r="Q60" i="15"/>
  <c r="Q73" i="15"/>
  <c r="Q74" i="15"/>
  <c r="Q61" i="15"/>
  <c r="C32" i="15"/>
  <c r="C33" i="15"/>
  <c r="C16" i="67"/>
  <c r="F13" i="67"/>
  <c r="E56" i="40" l="1"/>
  <c r="F22" i="68"/>
  <c r="F41" i="68" s="1"/>
  <c r="F22" i="69"/>
  <c r="F41" i="69" s="1"/>
  <c r="F25" i="12"/>
  <c r="C26" i="12" s="1"/>
  <c r="D25" i="12" s="1"/>
  <c r="F24" i="67"/>
  <c r="C24" i="67" s="1"/>
  <c r="L36" i="43"/>
  <c r="P36" i="43" s="1"/>
  <c r="AA7" i="34"/>
  <c r="Q57" i="67"/>
  <c r="F1" i="67"/>
  <c r="Q60" i="67"/>
  <c r="E51" i="40"/>
  <c r="F24" i="15"/>
  <c r="C24" i="15" s="1"/>
  <c r="W7" i="36"/>
  <c r="AC7" i="35"/>
  <c r="V38" i="35" s="1"/>
  <c r="I38" i="35" s="1"/>
  <c r="AC7" i="34"/>
  <c r="U7" i="36"/>
  <c r="J10" i="40"/>
  <c r="AC10" i="40" s="1"/>
  <c r="G69" i="39"/>
  <c r="H67" i="39"/>
  <c r="J10" i="39"/>
  <c r="AC10" i="39" s="1"/>
  <c r="E3" i="6"/>
  <c r="E6" i="6" s="1"/>
  <c r="AY6" i="3"/>
  <c r="D17" i="53"/>
  <c r="B36" i="72" s="1"/>
  <c r="B34" i="72"/>
  <c r="F30" i="6"/>
  <c r="F31" i="6" s="1"/>
  <c r="E28" i="6"/>
  <c r="D125" i="9"/>
  <c r="D11" i="52" s="1"/>
  <c r="D10" i="52"/>
  <c r="D18" i="53"/>
  <c r="B35" i="72" s="1"/>
  <c r="C7" i="74"/>
  <c r="V16" i="71"/>
  <c r="E15" i="71"/>
  <c r="E14" i="71" s="1"/>
  <c r="E13" i="71" s="1"/>
  <c r="E12" i="71" s="1"/>
  <c r="C16" i="71"/>
  <c r="D17" i="71"/>
  <c r="D56" i="71"/>
  <c r="T56" i="71"/>
  <c r="B38" i="72"/>
  <c r="D20" i="53"/>
  <c r="B40" i="72" s="1"/>
  <c r="D12" i="52"/>
  <c r="D127" i="9"/>
  <c r="D13" i="52" s="1"/>
  <c r="AK5" i="79"/>
  <c r="C23" i="43"/>
  <c r="C36" i="71"/>
  <c r="D35" i="71"/>
  <c r="E16" i="6"/>
  <c r="J50" i="43"/>
  <c r="D50" i="43"/>
  <c r="E56" i="39"/>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AY502" i="3"/>
  <c r="AY403" i="3"/>
  <c r="AY282" i="3"/>
  <c r="AY525" i="3"/>
  <c r="AY327" i="3"/>
  <c r="AY134" i="3"/>
  <c r="BR6" i="3"/>
  <c r="AY494" i="3"/>
  <c r="AY259" i="3"/>
  <c r="AY77" i="3"/>
  <c r="AY104" i="3"/>
  <c r="AY300" i="3"/>
  <c r="AY83" i="3"/>
  <c r="AY306" i="3"/>
  <c r="AY277" i="3"/>
  <c r="AY193" i="3"/>
  <c r="AY216" i="3"/>
  <c r="AY56" i="3"/>
  <c r="AY478" i="3"/>
  <c r="AY528" i="3"/>
  <c r="AY351" i="3"/>
  <c r="AY255" i="3"/>
  <c r="AY286" i="3"/>
  <c r="AY254" i="3"/>
  <c r="AY325" i="3"/>
  <c r="AY305" i="3"/>
  <c r="AY157" i="3"/>
  <c r="AY133" i="3"/>
  <c r="AY16" i="3"/>
  <c r="BA6" i="3"/>
  <c r="AY224" i="3"/>
  <c r="AY192" i="3"/>
  <c r="BT6" i="3"/>
  <c r="BD6" i="3"/>
  <c r="AY25" i="3"/>
  <c r="AY370" i="3"/>
  <c r="AY147" i="3"/>
  <c r="AY70" i="3"/>
  <c r="AY184" i="3"/>
  <c r="AY88" i="3"/>
  <c r="AY340" i="3"/>
  <c r="AY204" i="3"/>
  <c r="D14" i="12"/>
  <c r="D19" i="11"/>
  <c r="C19" i="11" s="1"/>
  <c r="C24" i="11" s="1"/>
  <c r="D3" i="37"/>
  <c r="B3" i="37" s="1"/>
  <c r="M18" i="9"/>
  <c r="B118" i="9" s="1"/>
  <c r="E65" i="39"/>
  <c r="AC6" i="3"/>
  <c r="H6" i="3"/>
  <c r="J55" i="43"/>
  <c r="D55" i="43"/>
  <c r="N54" i="43"/>
  <c r="D54" i="43"/>
  <c r="J56" i="43"/>
  <c r="D56" i="43"/>
  <c r="I42" i="35"/>
  <c r="J42" i="35" s="1"/>
  <c r="I43" i="35"/>
  <c r="J43" i="35" s="1"/>
  <c r="R39" i="35"/>
  <c r="E38" i="35"/>
  <c r="J17" i="15"/>
  <c r="AB7" i="35"/>
  <c r="T38" i="35" s="1"/>
  <c r="G38" i="35" s="1"/>
  <c r="U7" i="35"/>
  <c r="E36" i="36"/>
  <c r="I41" i="36" s="1"/>
  <c r="J41" i="36" s="1"/>
  <c r="R37" i="36"/>
  <c r="I52" i="21"/>
  <c r="J52" i="21" s="1"/>
  <c r="S10" i="39"/>
  <c r="AA10" i="39"/>
  <c r="G52" i="21"/>
  <c r="H52" i="21" s="1"/>
  <c r="G53" i="21"/>
  <c r="H53" i="21" s="1"/>
  <c r="F52" i="37"/>
  <c r="F63" i="40"/>
  <c r="E65" i="40"/>
  <c r="G40" i="36"/>
  <c r="H40" i="36" s="1"/>
  <c r="G41" i="36"/>
  <c r="H41" i="36" s="1"/>
  <c r="H58" i="33"/>
  <c r="R49" i="21"/>
  <c r="E48" i="21"/>
  <c r="I40" i="36"/>
  <c r="J40" i="36" s="1"/>
  <c r="J26" i="15"/>
  <c r="J29" i="15" s="1"/>
  <c r="J24" i="15"/>
  <c r="C20" i="15"/>
  <c r="C44" i="11"/>
  <c r="D41" i="11" s="1"/>
  <c r="C26" i="11"/>
  <c r="D22" i="11" s="1"/>
  <c r="C23" i="11"/>
  <c r="C31" i="15"/>
  <c r="C10" i="67"/>
  <c r="C5" i="67" s="1"/>
  <c r="C53" i="15"/>
  <c r="C48" i="15" s="1"/>
  <c r="C10" i="15"/>
  <c r="C5" i="15" s="1"/>
  <c r="AE6" i="1"/>
  <c r="AY565" i="3" l="1"/>
  <c r="AY497" i="3"/>
  <c r="AY299" i="3"/>
  <c r="AY106" i="3"/>
  <c r="AY563" i="3"/>
  <c r="AY457" i="3"/>
  <c r="AY151" i="3"/>
  <c r="AY377" i="3"/>
  <c r="AY464" i="3"/>
  <c r="AY35" i="3"/>
  <c r="AY408" i="3"/>
  <c r="AY99" i="3"/>
  <c r="AY309" i="3"/>
  <c r="BE6" i="3"/>
  <c r="BH6" i="3"/>
  <c r="AY463" i="3"/>
  <c r="AY429" i="3"/>
  <c r="AY146" i="3"/>
  <c r="AY65" i="3"/>
  <c r="AY132" i="3"/>
  <c r="AY404" i="3"/>
  <c r="AY127" i="3"/>
  <c r="AY126" i="3"/>
  <c r="AY241" i="3"/>
  <c r="AY69" i="3"/>
  <c r="AY352" i="3"/>
  <c r="AY96" i="3"/>
  <c r="AY268" i="3"/>
  <c r="AY292" i="3"/>
  <c r="AY362" i="3"/>
  <c r="AY332" i="3"/>
  <c r="AY584" i="3"/>
  <c r="AY427" i="3"/>
  <c r="AY219" i="3"/>
  <c r="AY465" i="3"/>
  <c r="AY483" i="3"/>
  <c r="AY380" i="3"/>
  <c r="AY71" i="3"/>
  <c r="AY524" i="3"/>
  <c r="AY253" i="3"/>
  <c r="AY316" i="3"/>
  <c r="AY500" i="3"/>
  <c r="AY322" i="3"/>
  <c r="AY245" i="3"/>
  <c r="BF6" i="3"/>
  <c r="AY308" i="3"/>
  <c r="AY569" i="3"/>
  <c r="AY275" i="3"/>
  <c r="AY50" i="3"/>
  <c r="AY148" i="3"/>
  <c r="AY284" i="3"/>
  <c r="AY492" i="3"/>
  <c r="AY95" i="3"/>
  <c r="AY78" i="3"/>
  <c r="AY221" i="3"/>
  <c r="AY378" i="3"/>
  <c r="AY320" i="3"/>
  <c r="AY57" i="3"/>
  <c r="AY228" i="3"/>
  <c r="AY220" i="3"/>
  <c r="BQ6" i="3"/>
  <c r="AY212" i="3"/>
  <c r="AY523" i="3"/>
  <c r="AY582" i="3"/>
  <c r="AY580" i="3"/>
  <c r="AY366" i="3"/>
  <c r="AY185" i="3"/>
  <c r="AY434" i="3"/>
  <c r="AY468" i="3"/>
  <c r="AY214" i="3"/>
  <c r="AY175" i="3"/>
  <c r="AY51" i="3"/>
  <c r="AY45" i="3"/>
  <c r="AY355" i="3"/>
  <c r="AY162" i="3"/>
  <c r="AY141" i="3"/>
  <c r="AY200" i="3"/>
  <c r="AY386" i="3"/>
  <c r="AY456" i="3"/>
  <c r="AY360" i="3"/>
  <c r="AY82" i="3"/>
  <c r="AY334" i="3"/>
  <c r="AY105" i="3"/>
  <c r="AY570" i="3"/>
  <c r="W10" i="40"/>
  <c r="C17" i="4"/>
  <c r="B4" i="52" s="1"/>
  <c r="B43" i="72" s="1"/>
  <c r="D37" i="11"/>
  <c r="C37" i="11" s="1"/>
  <c r="L18" i="9"/>
  <c r="D3" i="21"/>
  <c r="B3" i="21" s="1"/>
  <c r="C26" i="68"/>
  <c r="D22" i="68" s="1"/>
  <c r="C44" i="68"/>
  <c r="D41" i="68" s="1"/>
  <c r="C26" i="69"/>
  <c r="D22" i="69" s="1"/>
  <c r="C44" i="69"/>
  <c r="D41" i="69" s="1"/>
  <c r="C24" i="69"/>
  <c r="N36" i="43"/>
  <c r="M36" i="43"/>
  <c r="Q36" i="43"/>
  <c r="O36" i="43"/>
  <c r="L37" i="43"/>
  <c r="Q37" i="43" s="1"/>
  <c r="AY555" i="3"/>
  <c r="AY491" i="3"/>
  <c r="AY554" i="3"/>
  <c r="AY490" i="3"/>
  <c r="AY426" i="3"/>
  <c r="AY533" i="3"/>
  <c r="AY552" i="3"/>
  <c r="AY551" i="3"/>
  <c r="AY487" i="3"/>
  <c r="AY550" i="3"/>
  <c r="AY486" i="3"/>
  <c r="AY422" i="3"/>
  <c r="AY529" i="3"/>
  <c r="AY544" i="3"/>
  <c r="AY405" i="3"/>
  <c r="AY448" i="3"/>
  <c r="AY384" i="3"/>
  <c r="AY516" i="3"/>
  <c r="AY387" i="3"/>
  <c r="AY453" i="3"/>
  <c r="AY331" i="3"/>
  <c r="AY267" i="3"/>
  <c r="AY203" i="3"/>
  <c r="AY139" i="3"/>
  <c r="AY75" i="3"/>
  <c r="AY330" i="3"/>
  <c r="AY266" i="3"/>
  <c r="AY202" i="3"/>
  <c r="AY138" i="3"/>
  <c r="AY74" i="3"/>
  <c r="AY345" i="3"/>
  <c r="AY281" i="3"/>
  <c r="AY217" i="3"/>
  <c r="AY153" i="3"/>
  <c r="AY89" i="3"/>
  <c r="AY60" i="3"/>
  <c r="AY196" i="3"/>
  <c r="AY531" i="3"/>
  <c r="AY467" i="3"/>
  <c r="AY530" i="3"/>
  <c r="AY466" i="3"/>
  <c r="AY573" i="3"/>
  <c r="AY509" i="3"/>
  <c r="AY504" i="3"/>
  <c r="AY385" i="3"/>
  <c r="AY425" i="3"/>
  <c r="AY364" i="3"/>
  <c r="AY447" i="3"/>
  <c r="AY367" i="3"/>
  <c r="AY436" i="3"/>
  <c r="AY311" i="3"/>
  <c r="AY247" i="3"/>
  <c r="AY183" i="3"/>
  <c r="AY119" i="3"/>
  <c r="AY390" i="3"/>
  <c r="AY310" i="3"/>
  <c r="AY246" i="3"/>
  <c r="AY182" i="3"/>
  <c r="AY118" i="3"/>
  <c r="AY510" i="3"/>
  <c r="AY488" i="3"/>
  <c r="AY417" i="3"/>
  <c r="AY431" i="3"/>
  <c r="AY428" i="3"/>
  <c r="AY239" i="3"/>
  <c r="AY111" i="3"/>
  <c r="AY302" i="3"/>
  <c r="AY174" i="3"/>
  <c r="AY66" i="3"/>
  <c r="AY317" i="3"/>
  <c r="AY229" i="3"/>
  <c r="AY145" i="3"/>
  <c r="AY61" i="3"/>
  <c r="BI6" i="3"/>
  <c r="AY336" i="3"/>
  <c r="AY208" i="3"/>
  <c r="AY80" i="3"/>
  <c r="BL6" i="3"/>
  <c r="AY244" i="3"/>
  <c r="AY402" i="3"/>
  <c r="AY276" i="3"/>
  <c r="AY559" i="3"/>
  <c r="AY430" i="3"/>
  <c r="AY397" i="3"/>
  <c r="D3" i="6"/>
  <c r="M19" i="9" s="1"/>
  <c r="C118" i="9" s="1"/>
  <c r="AY539" i="3"/>
  <c r="AY475" i="3"/>
  <c r="AY538" i="3"/>
  <c r="AY474" i="3"/>
  <c r="AY581" i="3"/>
  <c r="AY517" i="3"/>
  <c r="AY520" i="3"/>
  <c r="AY535" i="3"/>
  <c r="AY471" i="3"/>
  <c r="AY534" i="3"/>
  <c r="AY470" i="3"/>
  <c r="AY577" i="3"/>
  <c r="AY513" i="3"/>
  <c r="AY512" i="3"/>
  <c r="AY389" i="3"/>
  <c r="AY432" i="3"/>
  <c r="AY368" i="3"/>
  <c r="AY455" i="3"/>
  <c r="AY371" i="3"/>
  <c r="AY437" i="3"/>
  <c r="AY315" i="3"/>
  <c r="AY251" i="3"/>
  <c r="AY187" i="3"/>
  <c r="AY123" i="3"/>
  <c r="AY398" i="3"/>
  <c r="AY314" i="3"/>
  <c r="AY250" i="3"/>
  <c r="AY186" i="3"/>
  <c r="AY122" i="3"/>
  <c r="AY58" i="3"/>
  <c r="AY329" i="3"/>
  <c r="AY265" i="3"/>
  <c r="AY201" i="3"/>
  <c r="AY137" i="3"/>
  <c r="AY73" i="3"/>
  <c r="AY40" i="3"/>
  <c r="AY579" i="3"/>
  <c r="AY515" i="3"/>
  <c r="AY578" i="3"/>
  <c r="AY514" i="3"/>
  <c r="AY450" i="3"/>
  <c r="AY557" i="3"/>
  <c r="AY493" i="3"/>
  <c r="AY451" i="3"/>
  <c r="AY369" i="3"/>
  <c r="AY412" i="3"/>
  <c r="AY572" i="3"/>
  <c r="AY415" i="3"/>
  <c r="AY484" i="3"/>
  <c r="AY420" i="3"/>
  <c r="AY295" i="3"/>
  <c r="AY231" i="3"/>
  <c r="AY167" i="3"/>
  <c r="AY103" i="3"/>
  <c r="AY358" i="3"/>
  <c r="AY294" i="3"/>
  <c r="AY230" i="3"/>
  <c r="AY166" i="3"/>
  <c r="AY575" i="3"/>
  <c r="AY446" i="3"/>
  <c r="AY409" i="3"/>
  <c r="AY388" i="3"/>
  <c r="AY391" i="3"/>
  <c r="AY335" i="3"/>
  <c r="AY207" i="3"/>
  <c r="AY79" i="3"/>
  <c r="AY270" i="3"/>
  <c r="AY142" i="3"/>
  <c r="AY46" i="3"/>
  <c r="AY293" i="3"/>
  <c r="AY209" i="3"/>
  <c r="AY125" i="3"/>
  <c r="AY67" i="3"/>
  <c r="AY140" i="3"/>
  <c r="AY304" i="3"/>
  <c r="AY176" i="3"/>
  <c r="AY49" i="3"/>
  <c r="AY34" i="3"/>
  <c r="AY180" i="3"/>
  <c r="AY47" i="3"/>
  <c r="AY188" i="3"/>
  <c r="AY495" i="3"/>
  <c r="AY537" i="3"/>
  <c r="AY507" i="3"/>
  <c r="AY506" i="3"/>
  <c r="AY549" i="3"/>
  <c r="AY567" i="3"/>
  <c r="AY566" i="3"/>
  <c r="AY438" i="3"/>
  <c r="AY576" i="3"/>
  <c r="AY357" i="3"/>
  <c r="AY548" i="3"/>
  <c r="AY469" i="3"/>
  <c r="AY283" i="3"/>
  <c r="AY155" i="3"/>
  <c r="AY346" i="3"/>
  <c r="AY218" i="3"/>
  <c r="AY90" i="3"/>
  <c r="AY297" i="3"/>
  <c r="AY169" i="3"/>
  <c r="AY68" i="3"/>
  <c r="AY547" i="3"/>
  <c r="AY546" i="3"/>
  <c r="AY418" i="3"/>
  <c r="AY536" i="3"/>
  <c r="AY441" i="3"/>
  <c r="AY508" i="3"/>
  <c r="AY452" i="3"/>
  <c r="AY263" i="3"/>
  <c r="AY135" i="3"/>
  <c r="AY326" i="3"/>
  <c r="AY198" i="3"/>
  <c r="AY574" i="3"/>
  <c r="AY449" i="3"/>
  <c r="AY460" i="3"/>
  <c r="AY143" i="3"/>
  <c r="AY206" i="3"/>
  <c r="AY337" i="3"/>
  <c r="AY165" i="3"/>
  <c r="AY28" i="3"/>
  <c r="AY240" i="3"/>
  <c r="AY19" i="3"/>
  <c r="AY33" i="3"/>
  <c r="AY461" i="3"/>
  <c r="AY443" i="3"/>
  <c r="AY376" i="3"/>
  <c r="AY379" i="3"/>
  <c r="AY323" i="3"/>
  <c r="AY195" i="3"/>
  <c r="AY414" i="3"/>
  <c r="AY258" i="3"/>
  <c r="AY130" i="3"/>
  <c r="AY480" i="3"/>
  <c r="AY289" i="3"/>
  <c r="AY205" i="3"/>
  <c r="AY117" i="3"/>
  <c r="AY64" i="3"/>
  <c r="AY124" i="3"/>
  <c r="AY296" i="3"/>
  <c r="AY168" i="3"/>
  <c r="AY48" i="3"/>
  <c r="AY22" i="3"/>
  <c r="AY172" i="3"/>
  <c r="AY42" i="3"/>
  <c r="AY156" i="3"/>
  <c r="AY526" i="3"/>
  <c r="AY496" i="3"/>
  <c r="AY424" i="3"/>
  <c r="AY439" i="3"/>
  <c r="AY339" i="3"/>
  <c r="AY211" i="3"/>
  <c r="AY382" i="3"/>
  <c r="AY242" i="3"/>
  <c r="AY114" i="3"/>
  <c r="AY341" i="3"/>
  <c r="AY257" i="3"/>
  <c r="AY149" i="3"/>
  <c r="AY59" i="3"/>
  <c r="AY344" i="3"/>
  <c r="AY152" i="3"/>
  <c r="BP6" i="3"/>
  <c r="BJ6" i="3"/>
  <c r="AY543" i="3"/>
  <c r="AY585" i="3"/>
  <c r="AY393" i="3"/>
  <c r="AY372" i="3"/>
  <c r="AY375" i="3"/>
  <c r="AY319" i="3"/>
  <c r="AY587" i="3"/>
  <c r="AY586" i="3"/>
  <c r="AY458" i="3"/>
  <c r="AY501" i="3"/>
  <c r="AY519" i="3"/>
  <c r="AY518" i="3"/>
  <c r="AY561" i="3"/>
  <c r="AY459" i="3"/>
  <c r="AY416" i="3"/>
  <c r="AY423" i="3"/>
  <c r="AY421" i="3"/>
  <c r="AY235" i="3"/>
  <c r="AY107" i="3"/>
  <c r="AY298" i="3"/>
  <c r="AY170" i="3"/>
  <c r="AY481" i="3"/>
  <c r="AY249" i="3"/>
  <c r="AY121" i="3"/>
  <c r="AY24" i="3"/>
  <c r="AY499" i="3"/>
  <c r="AY498" i="3"/>
  <c r="AY541" i="3"/>
  <c r="AY419" i="3"/>
  <c r="AY396" i="3"/>
  <c r="AY399" i="3"/>
  <c r="AY343" i="3"/>
  <c r="AY215" i="3"/>
  <c r="AY87" i="3"/>
  <c r="AY278" i="3"/>
  <c r="AY150" i="3"/>
  <c r="AY553" i="3"/>
  <c r="AY356" i="3"/>
  <c r="AY303" i="3"/>
  <c r="AY374" i="3"/>
  <c r="AY110" i="3"/>
  <c r="AY273" i="3"/>
  <c r="AY101" i="3"/>
  <c r="AY52" i="3"/>
  <c r="AY144" i="3"/>
  <c r="BK6" i="3"/>
  <c r="AY18" i="3"/>
  <c r="AY558" i="3"/>
  <c r="AY365" i="3"/>
  <c r="AY564" i="3"/>
  <c r="AY477" i="3"/>
  <c r="AY291" i="3"/>
  <c r="AY163" i="3"/>
  <c r="AY354" i="3"/>
  <c r="AY226" i="3"/>
  <c r="AY102" i="3"/>
  <c r="AY353" i="3"/>
  <c r="AY269" i="3"/>
  <c r="AY181" i="3"/>
  <c r="AY97" i="3"/>
  <c r="AY44" i="3"/>
  <c r="AY37" i="3"/>
  <c r="AY264" i="3"/>
  <c r="AY136" i="3"/>
  <c r="AY31" i="3"/>
  <c r="BC6" i="3"/>
  <c r="AY100" i="3"/>
  <c r="AY14" i="3"/>
  <c r="AY13" i="3"/>
  <c r="AY462" i="3"/>
  <c r="AY413" i="3"/>
  <c r="AY392" i="3"/>
  <c r="AY395" i="3"/>
  <c r="AY307" i="3"/>
  <c r="AY179" i="3"/>
  <c r="AY338" i="3"/>
  <c r="AY210" i="3"/>
  <c r="AY94" i="3"/>
  <c r="AY321" i="3"/>
  <c r="AY213" i="3"/>
  <c r="AY109" i="3"/>
  <c r="AY32" i="3"/>
  <c r="AY312" i="3"/>
  <c r="AY120" i="3"/>
  <c r="BO6" i="3"/>
  <c r="AY26" i="3"/>
  <c r="AY479" i="3"/>
  <c r="AY521" i="3"/>
  <c r="AY361" i="3"/>
  <c r="AY556" i="3"/>
  <c r="AY476" i="3"/>
  <c r="AY287" i="3"/>
  <c r="AY159" i="3"/>
  <c r="AY350" i="3"/>
  <c r="AY222" i="3"/>
  <c r="AY98" i="3"/>
  <c r="AY349" i="3"/>
  <c r="AY55" i="3"/>
  <c r="AY38" i="3"/>
  <c r="AY280" i="3"/>
  <c r="AY129" i="3"/>
  <c r="BN6" i="3"/>
  <c r="BG6" i="3"/>
  <c r="AY84" i="3"/>
  <c r="AY348" i="3"/>
  <c r="AY27" i="3"/>
  <c r="AY128" i="3"/>
  <c r="AY256" i="3"/>
  <c r="AY21" i="3"/>
  <c r="AY36" i="3"/>
  <c r="AY93" i="3"/>
  <c r="AY177" i="3"/>
  <c r="AY261" i="3"/>
  <c r="AY473" i="3"/>
  <c r="AY158" i="3"/>
  <c r="AY318" i="3"/>
  <c r="AY191" i="3"/>
  <c r="AY444" i="3"/>
  <c r="AY433" i="3"/>
  <c r="AY542" i="3"/>
  <c r="AY260" i="3"/>
  <c r="AY248" i="3"/>
  <c r="AY85" i="3"/>
  <c r="AY301" i="3"/>
  <c r="AY178" i="3"/>
  <c r="AY115" i="3"/>
  <c r="AY363" i="3"/>
  <c r="AY381" i="3"/>
  <c r="AY527" i="3"/>
  <c r="AY29" i="3"/>
  <c r="AY15" i="3"/>
  <c r="AY232" i="3"/>
  <c r="AY20" i="3"/>
  <c r="AY161" i="3"/>
  <c r="AY333" i="3"/>
  <c r="AY194" i="3"/>
  <c r="AY131" i="3"/>
  <c r="AY445" i="3"/>
  <c r="AY440" i="3"/>
  <c r="AY324" i="3"/>
  <c r="AY112" i="3"/>
  <c r="AY81" i="3"/>
  <c r="AY86" i="3"/>
  <c r="AY271" i="3"/>
  <c r="AY489" i="3"/>
  <c r="AY262" i="3"/>
  <c r="AY199" i="3"/>
  <c r="AY383" i="3"/>
  <c r="AY401" i="3"/>
  <c r="AY482" i="3"/>
  <c r="BM6" i="3"/>
  <c r="AY233" i="3"/>
  <c r="AY154" i="3"/>
  <c r="AY91" i="3"/>
  <c r="AY347" i="3"/>
  <c r="AY400" i="3"/>
  <c r="AY545" i="3"/>
  <c r="AY503" i="3"/>
  <c r="AY442" i="3"/>
  <c r="AY571" i="3"/>
  <c r="S10" i="40"/>
  <c r="BB6" i="3"/>
  <c r="AY41" i="3"/>
  <c r="AY23" i="3"/>
  <c r="AY17" i="3"/>
  <c r="AY237" i="3"/>
  <c r="AY76" i="3"/>
  <c r="AY30" i="3"/>
  <c r="AY164" i="3"/>
  <c r="BS6" i="3"/>
  <c r="AY43" i="3"/>
  <c r="AY160" i="3"/>
  <c r="AY288" i="3"/>
  <c r="AY116" i="3"/>
  <c r="AY63" i="3"/>
  <c r="AY113" i="3"/>
  <c r="AY197" i="3"/>
  <c r="AY285" i="3"/>
  <c r="AY54" i="3"/>
  <c r="AY190" i="3"/>
  <c r="AY406" i="3"/>
  <c r="AY223" i="3"/>
  <c r="AY407" i="3"/>
  <c r="AY435" i="3"/>
  <c r="AY53" i="3"/>
  <c r="AY39" i="3"/>
  <c r="AY92" i="3"/>
  <c r="AY173" i="3"/>
  <c r="AY472" i="3"/>
  <c r="AY274" i="3"/>
  <c r="AY243" i="3"/>
  <c r="AY532" i="3"/>
  <c r="AY505" i="3"/>
  <c r="AY252" i="3"/>
  <c r="AY236" i="3"/>
  <c r="AY72" i="3"/>
  <c r="AY328" i="3"/>
  <c r="AY394" i="3"/>
  <c r="AY225" i="3"/>
  <c r="AY62" i="3"/>
  <c r="AY290" i="3"/>
  <c r="AY227" i="3"/>
  <c r="AY411" i="3"/>
  <c r="AY560" i="3"/>
  <c r="AY108" i="3"/>
  <c r="AY272" i="3"/>
  <c r="AY189" i="3"/>
  <c r="AY238" i="3"/>
  <c r="AY359" i="3"/>
  <c r="AY511" i="3"/>
  <c r="AY342" i="3"/>
  <c r="AY279" i="3"/>
  <c r="AY540" i="3"/>
  <c r="AY568" i="3"/>
  <c r="AY562" i="3"/>
  <c r="AY410" i="3"/>
  <c r="AY313" i="3"/>
  <c r="AY234" i="3"/>
  <c r="AY171" i="3"/>
  <c r="AY485" i="3"/>
  <c r="AY373" i="3"/>
  <c r="AY454" i="3"/>
  <c r="AY583" i="3"/>
  <c r="AY522" i="3"/>
  <c r="U10" i="39"/>
  <c r="H69" i="39"/>
  <c r="I67" i="39"/>
  <c r="W10" i="39"/>
  <c r="E11" i="71"/>
  <c r="E10" i="71" s="1"/>
  <c r="E9" i="71" s="1"/>
  <c r="E8" i="71" s="1"/>
  <c r="E7" i="71" s="1"/>
  <c r="E6" i="71" s="1"/>
  <c r="E5" i="71" s="1"/>
  <c r="V12" i="71"/>
  <c r="K14" i="1"/>
  <c r="E30" i="6"/>
  <c r="E31" i="6" s="1"/>
  <c r="K20" i="6"/>
  <c r="M20" i="6" s="1"/>
  <c r="I20" i="6" s="1"/>
  <c r="S20" i="6" s="1"/>
  <c r="K25" i="6"/>
  <c r="M25" i="6" s="1"/>
  <c r="I25" i="6" s="1"/>
  <c r="S25" i="6" s="1"/>
  <c r="K26" i="6"/>
  <c r="M26" i="6" s="1"/>
  <c r="I26" i="6" s="1"/>
  <c r="S26" i="6" s="1"/>
  <c r="K21" i="6"/>
  <c r="M21" i="6" s="1"/>
  <c r="I21" i="6" s="1"/>
  <c r="S21" i="6" s="1"/>
  <c r="K24" i="6"/>
  <c r="M24" i="6" s="1"/>
  <c r="I24" i="6" s="1"/>
  <c r="S24" i="6" s="1"/>
  <c r="K19" i="6"/>
  <c r="K22" i="6"/>
  <c r="M22" i="6" s="1"/>
  <c r="I22" i="6" s="1"/>
  <c r="S22" i="6" s="1"/>
  <c r="K23" i="6"/>
  <c r="M23" i="6" s="1"/>
  <c r="I23" i="6" s="1"/>
  <c r="S23" i="6" s="1"/>
  <c r="T16" i="71"/>
  <c r="C15" i="71"/>
  <c r="M23" i="43"/>
  <c r="D16" i="71"/>
  <c r="U16" i="71" s="1"/>
  <c r="D36" i="71"/>
  <c r="T36" i="71"/>
  <c r="U10" i="40"/>
  <c r="E6" i="3"/>
  <c r="C61" i="67"/>
  <c r="J18" i="67"/>
  <c r="J5" i="67"/>
  <c r="S36" i="33"/>
  <c r="AA36" i="33"/>
  <c r="S37" i="34"/>
  <c r="AA37" i="34"/>
  <c r="R49" i="34" s="1"/>
  <c r="H36" i="33"/>
  <c r="I36" i="33"/>
  <c r="J36" i="33" s="1"/>
  <c r="H37" i="34"/>
  <c r="I37" i="34"/>
  <c r="J37" i="34" s="1"/>
  <c r="C20" i="11"/>
  <c r="C25" i="11" s="1"/>
  <c r="C22" i="11" s="1"/>
  <c r="C47" i="69"/>
  <c r="D45" i="69" s="1"/>
  <c r="F45" i="69"/>
  <c r="C29" i="69"/>
  <c r="D27" i="69" s="1"/>
  <c r="D10" i="69"/>
  <c r="D10" i="68"/>
  <c r="D10" i="11"/>
  <c r="C10" i="11" s="1"/>
  <c r="D20" i="12"/>
  <c r="C20" i="12" s="1"/>
  <c r="C29" i="68"/>
  <c r="D27" i="68" s="1"/>
  <c r="C47" i="68"/>
  <c r="D45" i="68" s="1"/>
  <c r="F45" i="68"/>
  <c r="C14" i="12"/>
  <c r="C16" i="12" s="1"/>
  <c r="D17" i="12"/>
  <c r="C17" i="12" s="1"/>
  <c r="D24" i="6"/>
  <c r="D5" i="6"/>
  <c r="D22" i="6"/>
  <c r="H26" i="6"/>
  <c r="D20" i="6"/>
  <c r="D6" i="6"/>
  <c r="D13" i="6"/>
  <c r="C47" i="11"/>
  <c r="D45" i="11" s="1"/>
  <c r="C29" i="11"/>
  <c r="D27" i="11" s="1"/>
  <c r="E50" i="43"/>
  <c r="B48" i="43" s="1"/>
  <c r="C28" i="43" s="1"/>
  <c r="I58" i="33"/>
  <c r="G52" i="37"/>
  <c r="H52" i="37" s="1"/>
  <c r="I52" i="37" s="1"/>
  <c r="J52" i="37" s="1"/>
  <c r="K52" i="37" s="1"/>
  <c r="L52" i="37" s="1"/>
  <c r="M52" i="37" s="1"/>
  <c r="N52" i="37" s="1"/>
  <c r="O52" i="37" s="1"/>
  <c r="H7" i="37"/>
  <c r="J7" i="37"/>
  <c r="E40" i="36"/>
  <c r="F40" i="36" s="1"/>
  <c r="E41" i="36"/>
  <c r="F41" i="36" s="1"/>
  <c r="E53" i="21"/>
  <c r="F53" i="21" s="1"/>
  <c r="E52" i="21"/>
  <c r="F52" i="21" s="1"/>
  <c r="C48" i="21"/>
  <c r="C49" i="21"/>
  <c r="F65" i="40"/>
  <c r="G63" i="40"/>
  <c r="I53" i="21"/>
  <c r="J53" i="21" s="1"/>
  <c r="E42" i="35"/>
  <c r="F42" i="35" s="1"/>
  <c r="E43" i="35"/>
  <c r="F43" i="35" s="1"/>
  <c r="F7" i="37"/>
  <c r="C37" i="36"/>
  <c r="C36" i="36"/>
  <c r="G42" i="35"/>
  <c r="H42" i="35" s="1"/>
  <c r="G43" i="35"/>
  <c r="H43" i="35" s="1"/>
  <c r="C38" i="35"/>
  <c r="C39" i="35"/>
  <c r="M3" i="35" s="1"/>
  <c r="C60" i="15"/>
  <c r="C59" i="15" s="1"/>
  <c r="C66" i="15"/>
  <c r="C26" i="15"/>
  <c r="C38" i="67"/>
  <c r="C23" i="15"/>
  <c r="C60" i="67"/>
  <c r="C66" i="67"/>
  <c r="C38" i="15"/>
  <c r="F41" i="67"/>
  <c r="E61" i="40" l="1"/>
  <c r="D12" i="6"/>
  <c r="D28" i="6"/>
  <c r="D21" i="6"/>
  <c r="R21" i="6" s="1"/>
  <c r="D29" i="6"/>
  <c r="D10" i="6"/>
  <c r="D19" i="6"/>
  <c r="D26" i="6"/>
  <c r="D25" i="6"/>
  <c r="D9" i="6"/>
  <c r="D15" i="6"/>
  <c r="H25" i="6"/>
  <c r="R25" i="6" s="1"/>
  <c r="D11" i="6"/>
  <c r="C18" i="4"/>
  <c r="H21" i="6"/>
  <c r="L19" i="9"/>
  <c r="D23" i="6"/>
  <c r="D8" i="6"/>
  <c r="D14" i="6"/>
  <c r="N37" i="43"/>
  <c r="O37" i="43"/>
  <c r="P37" i="43"/>
  <c r="M37" i="43"/>
  <c r="R26" i="6"/>
  <c r="H22" i="6"/>
  <c r="F69" i="67"/>
  <c r="H24" i="6"/>
  <c r="H20" i="6"/>
  <c r="R20" i="6" s="1"/>
  <c r="H23" i="6"/>
  <c r="R23" i="6" s="1"/>
  <c r="I69" i="39"/>
  <c r="J67" i="39"/>
  <c r="C14" i="71"/>
  <c r="D15" i="71"/>
  <c r="K27" i="6"/>
  <c r="M19" i="6"/>
  <c r="S6" i="1"/>
  <c r="R22" i="6"/>
  <c r="M14" i="1"/>
  <c r="M16" i="1" s="1"/>
  <c r="C34" i="69"/>
  <c r="K16" i="1"/>
  <c r="J26" i="67"/>
  <c r="J29" i="67" s="1"/>
  <c r="J24" i="67"/>
  <c r="E49" i="34"/>
  <c r="AB37" i="34"/>
  <c r="T49" i="34" s="1"/>
  <c r="G49" i="34" s="1"/>
  <c r="U37" i="34"/>
  <c r="AC36" i="33"/>
  <c r="W36" i="33"/>
  <c r="AC37" i="34"/>
  <c r="V49" i="34" s="1"/>
  <c r="I49" i="34" s="1"/>
  <c r="W37" i="34"/>
  <c r="U36" i="33"/>
  <c r="AB36" i="33"/>
  <c r="R24" i="6"/>
  <c r="D16" i="6"/>
  <c r="C10" i="69"/>
  <c r="C8" i="69" s="1"/>
  <c r="D19" i="69"/>
  <c r="D37" i="69" s="1"/>
  <c r="C37" i="69" s="1"/>
  <c r="C4" i="52"/>
  <c r="B45" i="72" s="1"/>
  <c r="A7" i="51"/>
  <c r="B7" i="72" s="1"/>
  <c r="A10" i="51"/>
  <c r="B9" i="72" s="1"/>
  <c r="D30" i="6"/>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U7" i="37"/>
  <c r="AB7" i="37"/>
  <c r="T42" i="37" s="1"/>
  <c r="G42" i="37" s="1"/>
  <c r="J58" i="33"/>
  <c r="H63" i="40"/>
  <c r="G65" i="40"/>
  <c r="C14" i="67"/>
  <c r="C17" i="67"/>
  <c r="D27" i="6" l="1"/>
  <c r="J69" i="39"/>
  <c r="K67" i="39"/>
  <c r="C18" i="67"/>
  <c r="C15" i="67"/>
  <c r="B29" i="1"/>
  <c r="V18" i="1"/>
  <c r="C38" i="69"/>
  <c r="C35" i="69"/>
  <c r="D14" i="71"/>
  <c r="C13" i="71"/>
  <c r="L16" i="1"/>
  <c r="C34" i="68"/>
  <c r="C34" i="11"/>
  <c r="N16" i="1"/>
  <c r="E6" i="70"/>
  <c r="E2" i="70" s="1"/>
  <c r="T6" i="1"/>
  <c r="T16" i="1" s="1"/>
  <c r="AR6" i="1"/>
  <c r="S16" i="1"/>
  <c r="AQ6" i="1"/>
  <c r="I19" i="6"/>
  <c r="M27" i="6"/>
  <c r="V6" i="43"/>
  <c r="C34" i="43" s="1"/>
  <c r="C6" i="69"/>
  <c r="C7" i="69" s="1"/>
  <c r="C5" i="69" s="1"/>
  <c r="G53" i="34"/>
  <c r="H53" i="34" s="1"/>
  <c r="G54" i="34"/>
  <c r="H54" i="34" s="1"/>
  <c r="R50" i="34"/>
  <c r="I53" i="34"/>
  <c r="J53" i="34" s="1"/>
  <c r="I54" i="34"/>
  <c r="J54" i="34" s="1"/>
  <c r="E53" i="34"/>
  <c r="F53" i="34" s="1"/>
  <c r="E54" i="34"/>
  <c r="F54" i="34" s="1"/>
  <c r="C19" i="68"/>
  <c r="D37" i="68"/>
  <c r="C37" i="68" s="1"/>
  <c r="D31"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C19" i="67" l="1"/>
  <c r="C20" i="67" s="1"/>
  <c r="C26" i="67" s="1"/>
  <c r="L67" i="39"/>
  <c r="K69" i="39"/>
  <c r="C33" i="69"/>
  <c r="C39" i="69" s="1"/>
  <c r="C46" i="69" s="1"/>
  <c r="C45" i="69" s="1"/>
  <c r="I27" i="6"/>
  <c r="S19" i="6"/>
  <c r="S27" i="6" s="1"/>
  <c r="H19" i="6"/>
  <c r="C35" i="68"/>
  <c r="C38" i="68"/>
  <c r="F50" i="69"/>
  <c r="F50" i="68"/>
  <c r="F50" i="11"/>
  <c r="D13" i="71"/>
  <c r="C12" i="71"/>
  <c r="C38" i="11"/>
  <c r="C35" i="11"/>
  <c r="C8" i="68"/>
  <c r="C5" i="68" s="1"/>
  <c r="C23" i="68" s="1"/>
  <c r="C18" i="12"/>
  <c r="C21" i="12" s="1"/>
  <c r="C22" i="12" s="1"/>
  <c r="C30" i="12" s="1"/>
  <c r="C28" i="12" s="1"/>
  <c r="E34" i="43"/>
  <c r="C31" i="43" s="1"/>
  <c r="C50" i="34"/>
  <c r="C49" i="34"/>
  <c r="I5" i="6"/>
  <c r="I6" i="6"/>
  <c r="C24" i="68"/>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C23" i="67" l="1"/>
  <c r="C29" i="67" s="1"/>
  <c r="C13" i="67" s="1"/>
  <c r="C56" i="67" s="1"/>
  <c r="C65" i="67" s="1"/>
  <c r="C33" i="68"/>
  <c r="C39" i="68" s="1"/>
  <c r="C43" i="68" s="1"/>
  <c r="C33" i="11"/>
  <c r="C39" i="11" s="1"/>
  <c r="C43" i="11" s="1"/>
  <c r="C42" i="69"/>
  <c r="M67" i="39"/>
  <c r="L69" i="39"/>
  <c r="C27" i="12"/>
  <c r="C25" i="12" s="1"/>
  <c r="C32" i="12" s="1"/>
  <c r="B2" i="12" s="1"/>
  <c r="B3" i="12" s="1"/>
  <c r="C20" i="68"/>
  <c r="C25" i="68" s="1"/>
  <c r="C22" i="68" s="1"/>
  <c r="C43" i="69"/>
  <c r="H27" i="6"/>
  <c r="R19" i="6"/>
  <c r="T12" i="71"/>
  <c r="D12" i="71"/>
  <c r="U12" i="71" s="1"/>
  <c r="C11" i="71"/>
  <c r="B3" i="34"/>
  <c r="B2" i="34"/>
  <c r="C28" i="69"/>
  <c r="C27" i="69" s="1"/>
  <c r="E2" i="76"/>
  <c r="B2" i="43"/>
  <c r="B3" i="43" s="1"/>
  <c r="C40" i="15"/>
  <c r="Q56" i="15" s="1"/>
  <c r="C22" i="69"/>
  <c r="C80" i="15"/>
  <c r="C79" i="15" s="1"/>
  <c r="Q68" i="15"/>
  <c r="G53" i="33"/>
  <c r="H53" i="33" s="1"/>
  <c r="G52" i="33"/>
  <c r="H52" i="33" s="1"/>
  <c r="K63" i="40"/>
  <c r="J65" i="40"/>
  <c r="R49" i="33"/>
  <c r="E48" i="33"/>
  <c r="I53" i="33" s="1"/>
  <c r="J53" i="33" s="1"/>
  <c r="I52" i="33"/>
  <c r="J52" i="33" s="1"/>
  <c r="L51" i="15"/>
  <c r="B6" i="76"/>
  <c r="C46" i="68" l="1"/>
  <c r="C45" i="68" s="1"/>
  <c r="C75" i="67"/>
  <c r="J14" i="67"/>
  <c r="J13" i="67" s="1"/>
  <c r="J23" i="67" s="1"/>
  <c r="Q49" i="67"/>
  <c r="C57" i="67"/>
  <c r="C64" i="67" s="1"/>
  <c r="Q70" i="67"/>
  <c r="J59" i="67"/>
  <c r="J60" i="67" s="1"/>
  <c r="Q48" i="67" s="1"/>
  <c r="C37" i="67"/>
  <c r="C36" i="67"/>
  <c r="C42" i="68"/>
  <c r="C41" i="68" s="1"/>
  <c r="C42" i="11"/>
  <c r="C41" i="11" s="1"/>
  <c r="M69" i="39"/>
  <c r="N67" i="39"/>
  <c r="C41" i="69"/>
  <c r="C49" i="69" s="1"/>
  <c r="C51" i="69" s="1"/>
  <c r="C28" i="68"/>
  <c r="C27" i="68" s="1"/>
  <c r="C31" i="68" s="1"/>
  <c r="R27" i="6"/>
  <c r="R6" i="1"/>
  <c r="C10" i="71"/>
  <c r="D11" i="71"/>
  <c r="C46" i="11"/>
  <c r="C45" i="11" s="1"/>
  <c r="Q67" i="15"/>
  <c r="L57" i="15"/>
  <c r="L60" i="15" s="1"/>
  <c r="Q57" i="15" s="1"/>
  <c r="Q62" i="15" s="1"/>
  <c r="Q47" i="15"/>
  <c r="Q53" i="15" s="1"/>
  <c r="B2" i="15"/>
  <c r="B3" i="15" s="1"/>
  <c r="C31" i="69"/>
  <c r="C43" i="15"/>
  <c r="B2" i="76"/>
  <c r="B3" i="76" s="1"/>
  <c r="C83" i="15"/>
  <c r="C82" i="15" s="1"/>
  <c r="Q65" i="15"/>
  <c r="C46" i="15"/>
  <c r="L63" i="40"/>
  <c r="K65" i="40"/>
  <c r="E53" i="33"/>
  <c r="F53" i="33" s="1"/>
  <c r="E52" i="33"/>
  <c r="F52" i="33" s="1"/>
  <c r="C49" i="33"/>
  <c r="C48" i="33"/>
  <c r="M21" i="67"/>
  <c r="F35" i="67"/>
  <c r="C49" i="68" l="1"/>
  <c r="C51" i="68" s="1"/>
  <c r="C52" i="68" s="1"/>
  <c r="C57" i="68" s="1"/>
  <c r="C56" i="68" s="1"/>
  <c r="L46" i="67"/>
  <c r="C52" i="69"/>
  <c r="B2" i="69" s="1"/>
  <c r="B3" i="69" s="1"/>
  <c r="J22" i="67"/>
  <c r="C49" i="11"/>
  <c r="C51" i="11" s="1"/>
  <c r="C52" i="11" s="1"/>
  <c r="B2" i="11" s="1"/>
  <c r="B3" i="11" s="1"/>
  <c r="N69" i="39"/>
  <c r="O67" i="39"/>
  <c r="O69" i="39" s="1"/>
  <c r="J7" i="39" s="1"/>
  <c r="H7" i="39"/>
  <c r="C34" i="67"/>
  <c r="C31" i="67" s="1"/>
  <c r="C30" i="67" s="1"/>
  <c r="C39" i="67" s="1"/>
  <c r="F63" i="67"/>
  <c r="C62" i="67" s="1"/>
  <c r="C59" i="67" s="1"/>
  <c r="C58" i="67" s="1"/>
  <c r="C67" i="67" s="1"/>
  <c r="C68" i="67" s="1"/>
  <c r="C71" i="67" s="1"/>
  <c r="J20" i="67"/>
  <c r="J17" i="67" s="1"/>
  <c r="C9" i="71"/>
  <c r="D10" i="71"/>
  <c r="R16" i="1"/>
  <c r="Q66" i="15"/>
  <c r="Q75" i="15" s="1"/>
  <c r="B2" i="33"/>
  <c r="B3" i="33"/>
  <c r="L65" i="40"/>
  <c r="M63" i="40"/>
  <c r="C56" i="11" l="1"/>
  <c r="C57" i="11" s="1"/>
  <c r="C57" i="69"/>
  <c r="C56" i="69" s="1"/>
  <c r="J16" i="67"/>
  <c r="J25" i="67" s="1"/>
  <c r="F7" i="39"/>
  <c r="AA7" i="39" s="1"/>
  <c r="R47" i="39" s="1"/>
  <c r="U7" i="39"/>
  <c r="AB7" i="39"/>
  <c r="T47" i="39" s="1"/>
  <c r="G47" i="39" s="1"/>
  <c r="AC7" i="39"/>
  <c r="V47" i="39" s="1"/>
  <c r="I47" i="39" s="1"/>
  <c r="I51" i="39" s="1"/>
  <c r="J51" i="39" s="1"/>
  <c r="W7" i="39"/>
  <c r="Q69" i="67"/>
  <c r="Q68" i="67" s="1"/>
  <c r="C40" i="67"/>
  <c r="C45" i="67" s="1"/>
  <c r="C46" i="67" s="1"/>
  <c r="C80" i="67"/>
  <c r="C79" i="67" s="1"/>
  <c r="C8" i="71"/>
  <c r="D9" i="71"/>
  <c r="B2" i="68"/>
  <c r="B3" i="68" s="1"/>
  <c r="N63" i="40"/>
  <c r="M65" i="40"/>
  <c r="C20" i="9"/>
  <c r="L51" i="67"/>
  <c r="C19" i="9"/>
  <c r="S7" i="39" l="1"/>
  <c r="G51" i="39"/>
  <c r="H51" i="39" s="1"/>
  <c r="G52" i="39"/>
  <c r="H52" i="39" s="1"/>
  <c r="R48" i="39"/>
  <c r="E47" i="39"/>
  <c r="Q67" i="67"/>
  <c r="C7" i="71"/>
  <c r="D8" i="71"/>
  <c r="C83" i="67"/>
  <c r="C82" i="67" s="1"/>
  <c r="Q47" i="67"/>
  <c r="Q53" i="67" s="1"/>
  <c r="C43" i="67"/>
  <c r="Q56" i="67"/>
  <c r="Q62" i="67" s="1"/>
  <c r="D2" i="67"/>
  <c r="Q65" i="67"/>
  <c r="Q75" i="67" s="1"/>
  <c r="C102" i="9"/>
  <c r="C21" i="9"/>
  <c r="C103" i="9"/>
  <c r="O63" i="40"/>
  <c r="O65" i="40" s="1"/>
  <c r="N65" i="40"/>
  <c r="C47" i="39" l="1"/>
  <c r="C48" i="39"/>
  <c r="E52" i="39"/>
  <c r="F52" i="39" s="1"/>
  <c r="E51" i="39"/>
  <c r="F51" i="39" s="1"/>
  <c r="I52" i="39"/>
  <c r="J52" i="39" s="1"/>
  <c r="B3" i="67"/>
  <c r="B2" i="67"/>
  <c r="C6" i="71"/>
  <c r="D7" i="71"/>
  <c r="J7" i="40"/>
  <c r="H7" i="40"/>
  <c r="F7" i="40"/>
  <c r="AO6" i="1"/>
  <c r="D20" i="9"/>
  <c r="D19" i="9"/>
  <c r="B60" i="39" l="1"/>
  <c r="F60" i="39" s="1"/>
  <c r="B59" i="39"/>
  <c r="F59" i="39" s="1"/>
  <c r="B64" i="39"/>
  <c r="F64" i="39" s="1"/>
  <c r="B57" i="39"/>
  <c r="F57" i="39" s="1"/>
  <c r="B63" i="39"/>
  <c r="F63" i="39" s="1"/>
  <c r="B58" i="39"/>
  <c r="F58" i="39" s="1"/>
  <c r="B61" i="39"/>
  <c r="F61" i="39" s="1"/>
  <c r="B62" i="39"/>
  <c r="F62" i="39" s="1"/>
  <c r="B56" i="39"/>
  <c r="F56" i="39" s="1"/>
  <c r="F65" i="39" s="1"/>
  <c r="B2" i="39" s="1"/>
  <c r="B3" i="39" s="1"/>
  <c r="D103" i="9"/>
  <c r="G20" i="9"/>
  <c r="G19" i="9"/>
  <c r="D22" i="9"/>
  <c r="D21" i="9"/>
  <c r="D102" i="9"/>
  <c r="B6" i="70"/>
  <c r="B2" i="70" s="1"/>
  <c r="B3" i="70" s="1"/>
  <c r="D6" i="71"/>
  <c r="C5" i="71"/>
  <c r="S7" i="40"/>
  <c r="AA7" i="40"/>
  <c r="R42" i="40" s="1"/>
  <c r="U7" i="40"/>
  <c r="AB7" i="40"/>
  <c r="T42" i="40" s="1"/>
  <c r="G42" i="40" s="1"/>
  <c r="AC7" i="40"/>
  <c r="V42" i="40" s="1"/>
  <c r="I42" i="40" s="1"/>
  <c r="W7" i="40"/>
  <c r="D5" i="71" l="1"/>
  <c r="M24" i="43"/>
  <c r="G21" i="9"/>
  <c r="D14" i="74"/>
  <c r="C32" i="9"/>
  <c r="G26" i="9"/>
  <c r="R43" i="40"/>
  <c r="E42" i="40"/>
  <c r="I46" i="40"/>
  <c r="J46" i="40" s="1"/>
  <c r="G46" i="40"/>
  <c r="H46" i="40" s="1"/>
  <c r="G47" i="40"/>
  <c r="H47" i="40" s="1"/>
  <c r="R24" i="31" l="1"/>
  <c r="T24" i="31" s="1"/>
  <c r="C35" i="9"/>
  <c r="G118" i="9" s="1"/>
  <c r="I118" i="9"/>
  <c r="F14" i="74"/>
  <c r="E14" i="74"/>
  <c r="B5" i="74"/>
  <c r="G14" i="74"/>
  <c r="B6" i="74" s="1"/>
  <c r="D6" i="74" s="1"/>
  <c r="E46" i="40"/>
  <c r="F46" i="40" s="1"/>
  <c r="E47" i="40"/>
  <c r="F47" i="40" s="1"/>
  <c r="C42" i="40"/>
  <c r="C43" i="40"/>
  <c r="I47" i="40"/>
  <c r="J47" i="40" s="1"/>
  <c r="F118" i="9" l="1"/>
  <c r="G4" i="52"/>
  <c r="B52" i="72" s="1"/>
  <c r="D5" i="74"/>
  <c r="S24" i="31"/>
  <c r="R25" i="31"/>
  <c r="H118" i="9"/>
  <c r="I4" i="52"/>
  <c r="C105" i="9"/>
  <c r="H102" i="9"/>
  <c r="D7" i="53" s="1"/>
  <c r="B21" i="72" s="1"/>
  <c r="E118" i="9"/>
  <c r="C34" i="9"/>
  <c r="B54" i="40"/>
  <c r="F54" i="40" s="1"/>
  <c r="B59" i="40"/>
  <c r="F59" i="40" s="1"/>
  <c r="B57" i="40"/>
  <c r="F57" i="40" s="1"/>
  <c r="B52" i="40"/>
  <c r="F52" i="40" s="1"/>
  <c r="B53" i="40"/>
  <c r="F53" i="40" s="1"/>
  <c r="B51" i="40"/>
  <c r="F51" i="40" s="1"/>
  <c r="B60" i="40"/>
  <c r="F60" i="40" s="1"/>
  <c r="B58" i="40"/>
  <c r="F58" i="40" s="1"/>
  <c r="B56" i="40"/>
  <c r="F56" i="40" s="1"/>
  <c r="F61" i="40"/>
  <c r="B2" i="40" s="1"/>
  <c r="B3" i="40" s="1"/>
  <c r="S25" i="31" l="1"/>
  <c r="S22" i="31" s="1"/>
  <c r="T25" i="31"/>
  <c r="T22" i="31" s="1"/>
  <c r="H119" i="9"/>
  <c r="H5" i="52" s="1"/>
  <c r="C104" i="9"/>
  <c r="H4" i="52"/>
  <c r="H101" i="9"/>
  <c r="C5" i="74"/>
  <c r="E4" i="52"/>
  <c r="B48" i="72" s="1"/>
  <c r="D118" i="9"/>
  <c r="F4" i="52"/>
  <c r="B51" i="72" s="1"/>
  <c r="F119" i="9"/>
  <c r="F5" i="52" s="1"/>
  <c r="B53" i="72" s="1"/>
  <c r="R22" i="31" l="1"/>
  <c r="B20" i="31"/>
  <c r="B21" i="31" s="1"/>
  <c r="D5" i="53"/>
  <c r="H107" i="9"/>
  <c r="M48" i="9"/>
  <c r="D45" i="9"/>
  <c r="D4" i="52"/>
  <c r="B47" i="72" s="1"/>
  <c r="D119" i="9"/>
  <c r="D5" i="52" s="1"/>
  <c r="B49" i="72" s="1"/>
  <c r="B20" i="72" l="1"/>
  <c r="D6" i="53"/>
  <c r="B22" i="72" s="1"/>
  <c r="C64" i="9"/>
  <c r="C63" i="9" s="1"/>
  <c r="C67" i="9" s="1"/>
  <c r="C78" i="9"/>
  <c r="C73" i="9" s="1"/>
  <c r="C93" i="9"/>
  <c r="C86" i="9" s="1"/>
  <c r="D55" i="9"/>
  <c r="M53" i="9" s="1"/>
  <c r="C85" i="9"/>
  <c r="D52" i="9"/>
  <c r="C72" i="9"/>
  <c r="D53" i="9"/>
  <c r="M49" i="9"/>
  <c r="D13" i="53"/>
  <c r="H108" i="9"/>
  <c r="D107" i="9" s="1"/>
  <c r="D122" i="9"/>
  <c r="C95" i="9" l="1"/>
  <c r="C79" i="9"/>
  <c r="C80" i="9" s="1"/>
  <c r="E80" i="9" s="1"/>
  <c r="E81" i="9" s="1"/>
  <c r="L66" i="9"/>
  <c r="M66" i="9" s="1"/>
  <c r="L65" i="9"/>
  <c r="M65" i="9" s="1"/>
  <c r="L67" i="9"/>
  <c r="M67" i="9" s="1"/>
  <c r="L63" i="9"/>
  <c r="M63" i="9" s="1"/>
  <c r="L68" i="9"/>
  <c r="M68" i="9" s="1"/>
  <c r="L64" i="9"/>
  <c r="M64" i="9" s="1"/>
  <c r="C96" i="9"/>
  <c r="E96" i="9" s="1"/>
  <c r="E97" i="9" s="1"/>
  <c r="D59" i="9"/>
  <c r="M55" i="9" s="1"/>
  <c r="C68" i="9"/>
  <c r="D54" i="9" s="1"/>
  <c r="D14" i="53"/>
  <c r="B32" i="72" s="1"/>
  <c r="B30" i="72"/>
  <c r="D123" i="9"/>
  <c r="D9" i="52" s="1"/>
  <c r="D8" i="52"/>
  <c r="C6" i="74"/>
  <c r="D15" i="53"/>
  <c r="B31" i="72" s="1"/>
  <c r="C97" i="9" l="1"/>
  <c r="D58" i="9" s="1"/>
  <c r="D56" i="9" s="1"/>
  <c r="M54" i="9" s="1"/>
  <c r="N57" i="9" s="1"/>
  <c r="N59" i="9" s="1"/>
  <c r="N60" i="9" s="1"/>
  <c r="M69" i="9"/>
  <c r="N69" i="9" s="1"/>
  <c r="C81" i="9"/>
  <c r="P57" i="9" l="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<sst xmlns="http://schemas.openxmlformats.org/spreadsheetml/2006/main" count="8128" uniqueCount="2826">
  <si>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</si>
  <si>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</si>
  <si>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</si>
  <si>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</si>
  <si>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</si>
  <si>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</si>
  <si>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</si>
  <si>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</si>
  <si>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</si>
  <si>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</si>
  <si>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</si>
  <si>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</si>
  <si>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</si>
  <si>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</si>
  <si>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</si>
  <si>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</si>
  <si>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</si>
  <si>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</si>
  <si>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</si>
  <si>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</si>
  <si>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</si>
  <si>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</si>
  <si>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</si>
  <si>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</si>
  <si>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</si>
  <si>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</si>
  <si>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</si>
  <si>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</si>
  <si>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</si>
  <si>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</si>
  <si>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</si>
  <si>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</si>
  <si>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</si>
  <si>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</si>
  <si>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</si>
  <si>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</si>
  <si>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</si>
  <si>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</si>
  <si>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</si>
  <si>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</si>
  <si>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</si>
  <si>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</si>
  <si>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</si>
  <si>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</si>
  <si>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</si>
  <si>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</si>
  <si>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</si>
  <si>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</si>
  <si>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</si>
  <si>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</si>
  <si>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</si>
  <si>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</si>
  <si>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</si>
  <si>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</si>
  <si>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</si>
  <si>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</si>
  <si>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</si>
  <si>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</si>
  <si>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</si>
  <si>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</si>
  <si>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</si>
  <si>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</si>
  <si>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</si>
  <si>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</si>
  <si>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</si>
  <si>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</si>
  <si>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</si>
  <si>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</si>
  <si>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</si>
  <si>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</si>
  <si>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</si>
  <si>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</si>
  <si>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</si>
  <si>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</si>
  <si>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</si>
  <si>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</si>
  <si>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</si>
  <si>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</si>
  <si>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</si>
  <si>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</si>
  <si>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</si>
  <si>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</si>
  <si>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</si>
  <si>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</si>
  <si>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</si>
  <si>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</si>
  <si>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</si>
  <si>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</si>
  <si>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</si>
  <si>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</si>
  <si>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</si>
  <si>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</si>
  <si>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</si>
  <si>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</si>
  <si>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</si>
  <si>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</si>
  <si>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</si>
  <si>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</si>
  <si>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</si>
  <si>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</si>
  <si>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</si>
  <si>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</si>
  <si>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</si>
  <si>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</si>
  <si>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</si>
  <si>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</si>
  <si>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</si>
  <si>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</si>
  <si>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</si>
  <si>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</si>
  <si>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</si>
  <si>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</si>
  <si>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</si>
  <si>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</si>
  <si>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</si>
  <si>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</si>
  <si>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</si>
  <si>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</si>
  <si>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</si>
  <si>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</si>
  <si>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</si>
  <si>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</si>
  <si>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</si>
  <si>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</si>
  <si>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</si>
  <si>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</si>
  <si>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</si>
  <si>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</si>
  <si>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</si>
  <si>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</si>
  <si>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</si>
  <si>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</si>
  <si>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</si>
  <si>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</si>
  <si>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</si>
  <si>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</si>
  <si>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</si>
  <si>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</si>
  <si>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</si>
  <si>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</si>
  <si>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</si>
  <si>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</si>
  <si>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</si>
  <si>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</si>
  <si>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</si>
  <si>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</si>
  <si>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</si>
  <si>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</si>
  <si>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</si>
  <si>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</si>
  <si>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</si>
  <si>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</si>
  <si>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</si>
  <si>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</si>
  <si>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</si>
  <si>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</si>
  <si>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</si>
  <si>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</si>
  <si>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</si>
  <si>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</si>
  <si>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</si>
  <si>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</si>
  <si>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</si>
  <si>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</si>
  <si>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</si>
  <si>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</si>
  <si>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</si>
  <si>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</si>
  <si>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</si>
  <si>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</si>
  <si>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</si>
  <si>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</si>
  <si>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</si>
  <si>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</si>
  <si>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</si>
  <si>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</si>
  <si>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</si>
  <si>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</si>
  <si>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</si>
  <si>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</si>
  <si>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</si>
  <si>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</si>
  <si>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</si>
  <si>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</si>
  <si>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</si>
  <si>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</si>
  <si>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</si>
  <si>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</si>
  <si>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</si>
  <si>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</si>
  <si>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</si>
  <si>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</si>
  <si>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</si>
  <si>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</si>
  <si>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</si>
  <si>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</si>
  <si>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</si>
  <si>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</si>
  <si>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</si>
  <si>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</si>
  <si>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</si>
  <si>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</si>
  <si>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</si>
  <si>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</si>
  <si>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</si>
  <si>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</si>
  <si>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</si>
  <si>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</si>
  <si>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</si>
  <si>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</si>
  <si>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</si>
  <si>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</si>
  <si>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</si>
  <si>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</si>
  <si>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</si>
  <si>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</si>
  <si>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</si>
  <si>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</si>
  <si>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</si>
  <si>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</si>
  <si>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</si>
  <si>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</si>
  <si>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</si>
  <si>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</si>
  <si>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</si>
  <si>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</si>
  <si>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</si>
  <si>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</si>
  <si>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</si>
  <si>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</si>
  <si>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</si>
  <si>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</si>
  <si>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</si>
  <si>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</si>
  <si>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</si>
  <si>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</si>
  <si>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</si>
  <si>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</si>
  <si>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</si>
  <si>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</si>
  <si>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</si>
  <si>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</si>
  <si>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</si>
  <si>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</si>
  <si>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</si>
  <si>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</si>
  <si>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</si>
  <si>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</si>
  <si>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</si>
  <si>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</si>
  <si>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</si>
  <si>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</si>
  <si>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</si>
  <si>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</si>
  <si>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</si>
  <si>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</si>
  <si>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</si>
  <si>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</si>
  <si>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</si>
  <si>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</si>
  <si>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</si>
  <si>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</si>
  <si>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</si>
  <si>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</si>
  <si>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</si>
  <si>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</si>
  <si>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</si>
  <si>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</si>
  <si>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</si>
  <si>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</si>
  <si>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</si>
  <si>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</si>
  <si>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</si>
  <si>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</si>
  <si>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</si>
  <si>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</si>
  <si>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</si>
  <si>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</si>
  <si>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</si>
  <si>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</si>
  <si>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</si>
  <si>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</si>
  <si>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</si>
  <si>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</si>
  <si>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</si>
  <si>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</si>
  <si>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</si>
  <si>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</si>
  <si>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</si>
  <si>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</si>
  <si>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</si>
  <si>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</si>
  <si>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</si>
  <si>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</si>
  <si>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</si>
  <si>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</si>
  <si>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</si>
  <si>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</si>
  <si>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</si>
  <si>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</si>
  <si>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</si>
  <si>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</si>
  <si>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</si>
  <si>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</si>
  <si>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</si>
  <si>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</si>
  <si>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</si>
  <si>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</si>
  <si>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</si>
  <si>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</si>
  <si>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</si>
  <si>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</si>
  <si>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</si>
  <si>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</si>
  <si>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</si>
  <si>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</si>
  <si>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</si>
  <si>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</si>
  <si>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</si>
  <si>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</si>
  <si>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</si>
  <si>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</si>
  <si>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</si>
  <si>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</si>
  <si>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</si>
  <si>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</si>
  <si>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</si>
  <si>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</si>
  <si>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</si>
  <si>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</si>
  <si>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</si>
  <si>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</si>
  <si>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</si>
  <si>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</si>
  <si>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</si>
  <si>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</si>
  <si>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</si>
  <si>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</si>
  <si>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</si>
  <si>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</si>
  <si>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</si>
  <si>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</si>
  <si>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</si>
  <si>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</si>
  <si>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</si>
  <si>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</si>
  <si>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</si>
  <si>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</si>
  <si>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</si>
  <si>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</si>
  <si>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</si>
  <si>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</si>
  <si>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</si>
  <si>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</si>
  <si>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</si>
  <si>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</si>
  <si>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</si>
  <si>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</si>
  <si>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</si>
  <si>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</si>
  <si>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</si>
  <si>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</si>
  <si>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</si>
  <si>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</si>
  <si>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</si>
  <si>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</si>
  <si>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</si>
  <si>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</si>
  <si>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</si>
  <si>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</si>
  <si>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</si>
  <si>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</si>
  <si>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</si>
  <si>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</si>
  <si>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</si>
  <si>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</si>
  <si>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</si>
  <si>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</si>
  <si>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</si>
  <si>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</si>
  <si>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</si>
  <si>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</si>
  <si>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</si>
  <si>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</si>
  <si>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</si>
  <si>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</si>
  <si>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</si>
  <si>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</si>
  <si>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</si>
  <si>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</si>
  <si>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</si>
  <si>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</si>
  <si>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</si>
  <si>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</si>
  <si>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</si>
  <si>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</si>
  <si>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</si>
  <si>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</si>
  <si>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</si>
  <si>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</si>
  <si>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</si>
  <si>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</si>
  <si>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</si>
  <si>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</si>
  <si>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</si>
  <si>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</si>
  <si>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</si>
  <si>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</si>
  <si>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</si>
  <si>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</si>
  <si>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</si>
  <si>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</si>
  <si>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</si>
  <si>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</si>
  <si>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</si>
  <si>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</si>
  <si>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</si>
  <si>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</si>
  <si>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</si>
  <si>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</si>
  <si>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</si>
  <si>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</si>
  <si>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</si>
  <si>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</si>
  <si>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</si>
  <si>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</si>
  <si>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</si>
  <si>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</si>
  <si>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</si>
  <si>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</si>
  <si>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</si>
  <si>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</si>
  <si>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</si>
  <si>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</si>
  <si>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</si>
  <si>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</si>
  <si>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</si>
  <si>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</si>
  <si>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</si>
  <si>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</si>
  <si>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</si>
  <si>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</si>
  <si>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</si>
  <si>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</si>
  <si>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</si>
  <si>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</si>
  <si>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</si>
  <si>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</si>
  <si>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</si>
  <si>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</si>
  <si>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</si>
  <si>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</si>
  <si>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</si>
  <si>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</si>
  <si>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</si>
  <si>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</si>
  <si>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</si>
  <si>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</si>
  <si>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</si>
  <si>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</si>
  <si>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</si>
  <si>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</si>
  <si>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</si>
  <si>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</si>
  <si>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</si>
  <si>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</si>
  <si>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</si>
  <si>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</si>
  <si>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</si>
  <si>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</si>
  <si>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</si>
  <si>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</si>
  <si>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</si>
  <si>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</si>
  <si>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</si>
  <si>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</si>
  <si>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</si>
  <si>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</si>
  <si>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</si>
  <si>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</si>
  <si>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</si>
  <si>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</si>
  <si>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</si>
  <si>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</si>
  <si>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</si>
  <si>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</si>
  <si>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</si>
  <si>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</si>
  <si>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</si>
  <si>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</si>
  <si>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</si>
  <si>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</si>
  <si>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</si>
  <si>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</si>
  <si>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</si>
  <si>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</si>
  <si>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</si>
  <si>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</si>
  <si>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</si>
  <si>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</si>
  <si>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</si>
  <si>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</si>
  <si>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</si>
  <si>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</si>
  <si>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</si>
  <si>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</si>
  <si>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</si>
  <si>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</si>
  <si>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</si>
  <si>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</si>
  <si>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</si>
  <si>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</si>
  <si>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</si>
  <si>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</si>
  <si>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</si>
  <si>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</si>
  <si>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</si>
  <si>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</si>
  <si>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</si>
  <si>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</si>
  <si>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</si>
  <si>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</si>
  <si>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</si>
  <si>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</si>
  <si>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</si>
  <si>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</si>
  <si>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</si>
  <si>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</si>
  <si>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</si>
  <si>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</si>
  <si>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</si>
  <si>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</si>
  <si>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</si>
  <si>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</si>
  <si>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</si>
  <si>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</si>
  <si>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</si>
  <si>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</si>
  <si>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</si>
  <si>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</si>
  <si>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</si>
  <si>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</si>
  <si>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</si>
  <si>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</si>
  <si>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</si>
  <si>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</si>
  <si>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</si>
  <si>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</si>
  <si>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</si>
  <si>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</si>
  <si>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</si>
  <si>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</si>
  <si>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</si>
  <si>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</si>
  <si>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</si>
  <si>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</si>
  <si>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</si>
  <si>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</si>
  <si>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</si>
  <si>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</si>
  <si>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</si>
  <si>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</si>
  <si>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</si>
  <si>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</si>
  <si>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</si>
  <si>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</si>
  <si>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</si>
  <si>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</si>
  <si>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</si>
  <si>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</si>
  <si>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</si>
  <si>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</si>
  <si>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</si>
  <si>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</si>
  <si>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</si>
  <si>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</si>
  <si>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</si>
  <si>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</si>
  <si>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</si>
  <si>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</si>
  <si>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</si>
  <si>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</si>
  <si>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</si>
  <si>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</si>
  <si>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</si>
  <si>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</si>
  <si>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</si>
  <si>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</si>
  <si>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</si>
  <si>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</si>
  <si>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</si>
  <si>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</si>
  <si>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</si>
  <si>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</si>
  <si>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</si>
  <si>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</si>
  <si>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</si>
  <si>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</si>
  <si>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</si>
  <si>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</si>
  <si>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</si>
  <si>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</si>
  <si>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</si>
  <si>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</si>
  <si>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</si>
  <si>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</si>
  <si>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</si>
  <si>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</si>
  <si>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</si>
  <si>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</si>
  <si>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</si>
  <si>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</si>
  <si>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</si>
  <si>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</si>
  <si>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</si>
  <si>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</si>
  <si>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</si>
  <si>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</si>
  <si>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</si>
  <si>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</si>
  <si>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</si>
  <si>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</si>
  <si>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</si>
  <si>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</si>
  <si>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</si>
  <si>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</si>
  <si>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</si>
  <si>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</si>
  <si>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</si>
  <si>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</si>
  <si>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</si>
  <si>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</si>
  <si>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</si>
  <si>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</si>
  <si>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</si>
  <si>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</si>
  <si>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</si>
  <si>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</si>
  <si>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</si>
  <si>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</si>
  <si>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</si>
  <si>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</si>
  <si>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</si>
  <si>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</si>
  <si>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</si>
  <si>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</si>
  <si>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</si>
  <si>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</si>
  <si>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</si>
  <si>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</si>
  <si>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</si>
  <si>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</si>
  <si>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</si>
  <si>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</si>
  <si>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</si>
  <si>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</si>
  <si>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</si>
  <si>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</si>
  <si>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</si>
  <si>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</si>
  <si>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</si>
  <si>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</si>
  <si>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</si>
  <si>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</si>
  <si>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</si>
  <si>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</si>
  <si>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</si>
  <si>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</si>
  <si>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</si>
  <si>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</si>
  <si>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</si>
  <si>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</si>
  <si>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</si>
  <si>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</si>
  <si>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</si>
  <si>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</si>
  <si>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</si>
  <si>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</si>
  <si>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</si>
  <si>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</si>
  <si>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</si>
  <si>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</si>
  <si>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</si>
  <si>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</si>
  <si>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</si>
  <si>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</si>
  <si>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</si>
  <si>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</si>
  <si>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</si>
  <si>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</si>
  <si>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</si>
  <si>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</si>
  <si>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</si>
  <si>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</si>
  <si>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</si>
  <si>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</si>
  <si>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</si>
  <si>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</si>
  <si>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</si>
  <si>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</si>
  <si>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</si>
  <si>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</si>
  <si>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</si>
  <si>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</si>
  <si>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</si>
  <si>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</si>
  <si>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</si>
  <si>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</si>
  <si>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</si>
  <si>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</si>
  <si>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</si>
  <si>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</si>
  <si>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</si>
  <si>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</si>
  <si>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</si>
  <si>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</si>
  <si>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</si>
  <si>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</si>
  <si>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</si>
  <si>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</si>
  <si>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</si>
  <si>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</si>
  <si>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</si>
  <si>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</si>
  <si>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</si>
  <si>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</si>
  <si>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</si>
  <si>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</si>
  <si>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</si>
  <si>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</si>
  <si>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</si>
  <si>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</si>
  <si>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</si>
  <si>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</si>
  <si>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</si>
  <si>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</si>
  <si>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</si>
  <si>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</si>
  <si>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</si>
  <si>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</si>
  <si>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</si>
  <si>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</si>
  <si>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</si>
  <si>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</si>
  <si>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</si>
  <si>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</si>
  <si>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</si>
  <si>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</si>
  <si>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</si>
  <si>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</si>
  <si>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</si>
  <si>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</si>
  <si>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</si>
  <si>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</si>
  <si>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</si>
  <si>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</si>
  <si>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</si>
  <si>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</si>
  <si>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</si>
  <si>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</si>
  <si>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</si>
  <si>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</si>
  <si>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</si>
  <si>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</si>
  <si>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</si>
  <si>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</si>
  <si>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</si>
  <si>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</si>
  <si>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</si>
  <si>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</si>
  <si>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</si>
  <si>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</si>
  <si>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</si>
  <si>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</si>
  <si>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</si>
  <si>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</si>
  <si>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</si>
  <si>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</si>
  <si>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</si>
  <si>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</si>
  <si>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</si>
  <si>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</si>
  <si>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</si>
  <si>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</si>
  <si>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</si>
  <si>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</si>
  <si>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</si>
  <si>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</si>
  <si>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</si>
  <si>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</si>
  <si>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</si>
  <si>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</si>
  <si>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</si>
  <si>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</si>
  <si>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</si>
  <si>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</si>
  <si>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</si>
  <si>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</si>
  <si>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</si>
  <si>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</si>
  <si>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</si>
  <si>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</si>
  <si>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</si>
  <si>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</si>
  <si>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</si>
  <si>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</si>
  <si>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</si>
  <si>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</si>
  <si>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</si>
  <si>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</si>
  <si>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</si>
  <si>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</si>
  <si>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</si>
  <si>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</si>
  <si>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</si>
  <si>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</si>
  <si>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</si>
  <si>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</si>
  <si>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</si>
  <si>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</si>
  <si>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</si>
  <si>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</si>
  <si>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</si>
  <si>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</si>
  <si>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</si>
  <si>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</si>
  <si>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</si>
  <si>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</si>
  <si>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</si>
  <si>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</si>
  <si>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</si>
  <si>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</si>
  <si>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</si>
  <si>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</si>
  <si>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</si>
  <si>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</si>
  <si>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</si>
  <si>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</si>
  <si>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</si>
  <si>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</si>
  <si>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</si>
  <si>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</si>
  <si>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</si>
  <si>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</si>
  <si>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</si>
  <si>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</si>
  <si>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</si>
  <si>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</si>
  <si>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</si>
  <si>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</si>
  <si>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</si>
  <si>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</si>
  <si>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</si>
  <si>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</si>
  <si>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</si>
  <si>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</si>
  <si>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</si>
  <si>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</si>
  <si>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</si>
  <si>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</si>
  <si>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</si>
  <si>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</si>
  <si>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</si>
  <si>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</si>
  <si>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</si>
  <si>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</si>
  <si>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</si>
  <si>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</si>
  <si>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</si>
  <si>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</si>
  <si>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</si>
  <si>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</si>
  <si>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</si>
  <si>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</si>
  <si>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</si>
  <si>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</si>
  <si>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</si>
  <si>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</si>
  <si>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</si>
  <si>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</si>
  <si>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</si>
  <si>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</si>
  <si>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</si>
  <si>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</si>
  <si>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</si>
  <si>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</si>
  <si>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</si>
  <si>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</si>
  <si>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</si>
  <si>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</si>
  <si>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</si>
  <si>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</si>
  <si>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</si>
  <si>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</si>
  <si>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</si>
  <si>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</si>
  <si>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</si>
  <si>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</si>
  <si>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</si>
  <si>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</si>
  <si>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</si>
  <si>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</si>
  <si>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</si>
  <si>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</si>
  <si>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</si>
  <si>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</si>
  <si>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</si>
  <si>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</si>
  <si>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</si>
  <si>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</si>
  <si>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</si>
  <si>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</si>
  <si>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</si>
  <si>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</si>
  <si>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</si>
  <si>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</si>
  <si>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</si>
  <si>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</si>
  <si>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</si>
  <si>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</si>
  <si>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</si>
  <si>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</si>
  <si>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</si>
  <si>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</si>
  <si>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</si>
  <si>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</si>
  <si>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</si>
  <si>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</si>
  <si>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</si>
  <si>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</si>
  <si>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</si>
  <si>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</si>
  <si>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</si>
  <si>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</si>
  <si>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</si>
  <si>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</si>
  <si>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</si>
  <si>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</si>
  <si>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</si>
  <si>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</si>
  <si>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</si>
  <si>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</si>
  <si>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</si>
  <si>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</si>
  <si>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</si>
  <si>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</si>
  <si>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</si>
  <si>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</si>
  <si>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</si>
  <si>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</si>
  <si>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</si>
  <si>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</si>
  <si>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</si>
  <si>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</si>
  <si>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</si>
  <si>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</si>
  <si>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</si>
  <si>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</si>
  <si>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</si>
  <si>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</si>
  <si>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</si>
  <si>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</si>
  <si>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</si>
  <si>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</si>
  <si>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</si>
  <si>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</si>
  <si>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</si>
  <si>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</si>
  <si>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</si>
  <si>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</si>
  <si>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</si>
  <si>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</si>
  <si>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</si>
  <si>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</si>
  <si>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</si>
  <si>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</si>
  <si>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</si>
  <si>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</si>
  <si>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</si>
  <si>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</si>
  <si>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</si>
  <si>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</si>
  <si>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</si>
  <si>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</si>
  <si>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</si>
  <si>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</si>
  <si>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</si>
  <si>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</si>
  <si>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</si>
  <si>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</si>
  <si>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</si>
  <si>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</si>
  <si>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</si>
  <si>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</si>
  <si>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</si>
  <si>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</si>
  <si>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</si>
  <si>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</si>
  <si>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</si>
  <si>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</si>
  <si>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</si>
  <si>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</si>
  <si>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</si>
  <si>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</si>
  <si>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</si>
  <si>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</si>
  <si>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</si>
  <si>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</si>
  <si>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</si>
  <si>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</si>
  <si>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</si>
  <si>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</si>
  <si>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</si>
  <si>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</si>
  <si>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</si>
  <si>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</si>
  <si>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</si>
  <si>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</si>
  <si>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</si>
  <si>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</si>
  <si>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</si>
  <si>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</si>
  <si>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</si>
  <si>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</si>
  <si>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</si>
  <si>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</si>
  <si>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</si>
  <si>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</si>
  <si>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</si>
  <si>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</si>
  <si>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</si>
  <si>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</si>
  <si>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</si>
  <si>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</si>
  <si>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</si>
  <si>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</si>
  <si>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</si>
  <si>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</si>
  <si>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</si>
  <si>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</si>
  <si>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</si>
  <si>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</si>
  <si>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</si>
  <si>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</si>
  <si>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</si>
  <si>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</si>
  <si>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</si>
  <si>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</si>
  <si>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</si>
  <si>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</si>
  <si>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</si>
  <si>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</si>
  <si>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</si>
  <si>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</si>
  <si>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</si>
  <si>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</si>
  <si>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</si>
  <si>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</si>
  <si>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</si>
  <si>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</si>
  <si>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</si>
  <si>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</si>
  <si>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</si>
  <si>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</si>
  <si>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</si>
  <si>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</si>
  <si>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</si>
  <si>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</si>
  <si>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</si>
  <si>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</si>
  <si>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</si>
  <si>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</si>
  <si>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</si>
  <si>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</si>
  <si>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</si>
  <si>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</si>
  <si>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</si>
  <si>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</si>
  <si>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</si>
  <si>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</si>
  <si>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</si>
  <si>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</si>
  <si>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</si>
  <si>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</si>
  <si>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</si>
  <si>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</si>
  <si>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</si>
  <si>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</si>
  <si>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</si>
  <si>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</si>
  <si>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</si>
  <si>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</si>
  <si>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</si>
  <si>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</si>
  <si>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</si>
  <si>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</si>
  <si>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</si>
  <si>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</si>
  <si>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</si>
  <si>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</si>
  <si>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</si>
  <si>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</si>
  <si>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</si>
  <si>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</si>
  <si>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</si>
  <si>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</si>
  <si>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</si>
  <si>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</si>
  <si>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</si>
  <si>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</si>
  <si>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</si>
  <si>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</si>
  <si>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</si>
  <si>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</si>
  <si>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</si>
  <si>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</si>
  <si>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</si>
  <si>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</si>
  <si>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</si>
  <si>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</si>
  <si>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</si>
  <si>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</si>
  <si>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</si>
  <si>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</si>
  <si>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</si>
  <si>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</si>
  <si>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</si>
  <si>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</si>
  <si>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</si>
  <si>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</si>
  <si>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</si>
  <si>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</si>
  <si>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</si>
  <si>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</si>
  <si>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</si>
  <si>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</si>
  <si>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</si>
  <si>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</si>
  <si>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</si>
  <si>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</si>
  <si>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</si>
  <si>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</si>
  <si>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</si>
  <si>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</si>
  <si>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</si>
  <si>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</si>
  <si>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</si>
  <si>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</si>
  <si>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</si>
  <si>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</si>
  <si>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</si>
  <si>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</si>
  <si>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</si>
  <si>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</si>
  <si>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</si>
  <si>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</si>
  <si>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</si>
  <si>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</si>
  <si>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</si>
  <si>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</si>
  <si>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</si>
  <si>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</si>
  <si>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</si>
  <si>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</si>
  <si>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</si>
  <si>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</si>
  <si>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</si>
  <si>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</si>
  <si>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</si>
  <si>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</si>
  <si>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</si>
  <si>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</si>
  <si>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</si>
  <si>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</si>
  <si>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</si>
  <si>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</si>
  <si>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</si>
  <si>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</si>
  <si>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</si>
  <si>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</si>
  <si>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</si>
  <si>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</si>
  <si>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</si>
  <si>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</si>
  <si>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</si>
  <si>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</si>
  <si>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</si>
  <si>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</si>
  <si>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</si>
  <si>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</si>
  <si>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</si>
  <si>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</si>
  <si>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</si>
  <si>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</si>
  <si>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</si>
  <si>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</si>
  <si>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</si>
  <si>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</si>
  <si>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</si>
  <si>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</si>
  <si>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</si>
  <si>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</si>
  <si>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</si>
  <si>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</si>
  <si>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</si>
  <si>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</si>
  <si>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</si>
  <si>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</si>
  <si>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</si>
  <si>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</si>
  <si>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</si>
  <si>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</si>
  <si>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</si>
  <si>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</si>
  <si>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</si>
  <si>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</si>
  <si>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</si>
  <si>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</si>
  <si>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</si>
  <si>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</si>
  <si>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</si>
  <si>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</si>
  <si>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</si>
  <si>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</si>
  <si>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</si>
  <si>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</si>
  <si>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</si>
  <si>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</si>
  <si>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</si>
  <si>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</si>
  <si>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</si>
  <si>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</si>
  <si>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</si>
  <si>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</si>
  <si>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</si>
  <si>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</si>
  <si>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</si>
  <si>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</si>
  <si>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</si>
  <si>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</si>
  <si>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</si>
  <si>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</si>
  <si>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</si>
  <si>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</si>
  <si>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</si>
  <si>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</si>
  <si>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</si>
  <si>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</si>
  <si>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</si>
  <si>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</si>
  <si>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</si>
  <si>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</si>
  <si>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</si>
  <si>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</si>
  <si>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</si>
  <si>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</si>
  <si>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</si>
  <si>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</si>
  <si>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</si>
  <si>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</si>
  <si>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</si>
  <si>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</si>
  <si>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</si>
  <si>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</si>
  <si>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</si>
  <si>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</si>
  <si>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</si>
  <si>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</si>
  <si>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</si>
  <si>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</si>
  <si>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</si>
  <si>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</si>
  <si>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</si>
  <si>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</si>
  <si>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</si>
  <si>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</si>
  <si>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</si>
  <si>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</si>
  <si>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</si>
  <si>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</si>
  <si>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</si>
  <si>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</si>
  <si>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</si>
  <si>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</si>
  <si>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</si>
  <si>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</si>
  <si>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</si>
  <si>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</si>
  <si>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</si>
  <si>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</si>
  <si>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</si>
  <si>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</si>
  <si>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</si>
  <si>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</si>
  <si>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</si>
  <si>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</si>
  <si>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</si>
  <si>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</si>
  <si>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</si>
  <si>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</si>
  <si>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</si>
  <si>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</si>
  <si>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</si>
  <si>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</si>
  <si>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</si>
  <si>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</si>
  <si>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</si>
  <si>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</si>
  <si>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</si>
  <si>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</si>
  <si>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</si>
  <si>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</si>
  <si>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</si>
  <si>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</si>
  <si>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</si>
  <si>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</si>
  <si>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</si>
  <si>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</si>
  <si>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</si>
  <si>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</si>
  <si>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</si>
  <si>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</si>
  <si>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</si>
  <si>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</si>
  <si>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</si>
  <si>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</si>
  <si>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</si>
  <si>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</si>
  <si>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</si>
  <si>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</si>
  <si>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</si>
  <si>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</si>
  <si>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</si>
  <si>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</si>
  <si>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</si>
  <si>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</si>
  <si>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</si>
  <si>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</si>
  <si>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</si>
  <si>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</si>
  <si>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</si>
  <si>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</si>
  <si>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</si>
  <si>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</si>
  <si>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</si>
  <si>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</si>
  <si>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</si>
  <si>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</si>
  <si>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</si>
  <si>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</si>
  <si>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</si>
  <si>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</si>
  <si>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</si>
  <si>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</si>
  <si>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</si>
  <si>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</si>
  <si>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</si>
  <si>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</si>
  <si>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</si>
  <si>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</si>
  <si>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</si>
  <si>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</si>
  <si>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</si>
  <si>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</si>
  <si>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</si>
  <si>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</si>
  <si>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</si>
  <si>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</si>
  <si>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</si>
  <si>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</si>
  <si>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</si>
  <si>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</si>
  <si>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</si>
  <si>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</si>
  <si>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</si>
  <si>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</si>
  <si>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</si>
  <si>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</si>
  <si>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</si>
  <si>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</si>
  <si>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</si>
  <si>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</si>
  <si>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</si>
  <si>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</si>
  <si>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</si>
  <si>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</si>
  <si>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</si>
  <si>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</si>
  <si>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</si>
  <si>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</si>
  <si>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</si>
  <si>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</si>
  <si>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</si>
  <si>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</si>
  <si>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</si>
  <si>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</si>
  <si>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</si>
  <si>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</si>
  <si>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</si>
  <si>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</si>
  <si>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</si>
  <si>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</si>
  <si>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</si>
  <si>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</si>
  <si>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</si>
  <si>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</si>
  <si>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</si>
  <si>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</si>
  <si>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</si>
  <si>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</si>
  <si>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</si>
  <si>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</si>
  <si>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</si>
  <si>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</si>
  <si>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</si>
  <si>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</si>
  <si>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</si>
  <si>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</si>
  <si>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</si>
  <si>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</si>
  <si>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</si>
  <si>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</si>
  <si>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</si>
  <si>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</si>
  <si>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</si>
  <si>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</si>
  <si>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</si>
  <si>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</si>
  <si>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</si>
  <si>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</si>
  <si>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</si>
  <si>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</si>
  <si>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</si>
  <si>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</si>
  <si>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</si>
  <si>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</si>
  <si>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</si>
  <si>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</si>
  <si>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</si>
  <si>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</si>
  <si>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</si>
  <si>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</si>
  <si>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</si>
  <si>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</si>
  <si>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</si>
  <si>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</si>
  <si>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</si>
  <si>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</si>
  <si>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</si>
  <si>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</si>
  <si>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</si>
  <si>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</si>
  <si>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</si>
  <si>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</si>
  <si>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</si>
  <si>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</si>
  <si>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</si>
  <si>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</si>
  <si>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</si>
  <si>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</si>
  <si>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</si>
  <si>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</si>
  <si>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</si>
  <si>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</si>
  <si>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</si>
  <si>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</si>
  <si>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</si>
  <si>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</si>
  <si>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</si>
  <si>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</si>
  <si>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</si>
  <si>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</si>
  <si>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</si>
  <si>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</si>
  <si>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</si>
  <si>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</si>
  <si>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</si>
  <si>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</si>
  <si>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</si>
  <si>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</si>
  <si>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</si>
  <si>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</si>
  <si>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</si>
  <si>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</si>
  <si>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</si>
  <si>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</si>
  <si>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</si>
  <si>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</si>
  <si>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</si>
  <si>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</si>
  <si>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</si>
  <si>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</si>
  <si>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</si>
  <si>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</si>
  <si>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</si>
  <si>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</si>
  <si>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</si>
  <si>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</si>
  <si>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</si>
  <si>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</si>
  <si>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</si>
  <si>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</si>
  <si>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</si>
  <si>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</si>
  <si>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</si>
  <si>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</si>
  <si>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</si>
  <si>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</si>
  <si>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</si>
  <si>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</si>
  <si>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</si>
  <si>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</si>
  <si>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</si>
  <si>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</si>
  <si>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</si>
  <si>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</si>
  <si>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</si>
  <si>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</si>
  <si>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</si>
  <si>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</si>
  <si>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</si>
  <si>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</si>
  <si>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</si>
  <si>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</si>
  <si>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</si>
  <si>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</si>
  <si>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</si>
  <si>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</si>
  <si>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</si>
  <si>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</si>
  <si>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</si>
  <si>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</si>
  <si>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</si>
  <si>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</si>
  <si>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</si>
  <si>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</si>
  <si>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</si>
  <si>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</si>
  <si>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</si>
  <si>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</si>
  <si>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</si>
  <si>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</si>
  <si>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</si>
  <si>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</si>
  <si>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</si>
  <si>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</si>
  <si>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</si>
  <si>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</si>
  <si>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</si>
  <si>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</si>
  <si>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</si>
  <si>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</si>
  <si>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</si>
  <si>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</si>
  <si>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</si>
  <si>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</si>
  <si>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</si>
  <si>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</si>
  <si>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</si>
  <si>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</si>
  <si>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</si>
  <si>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</si>
  <si>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</si>
  <si>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</si>
  <si>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</si>
  <si>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</si>
  <si>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</si>
  <si>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</si>
  <si>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</si>
  <si>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</si>
  <si>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</si>
  <si>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</si>
  <si>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</si>
  <si>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</si>
  <si>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</si>
  <si>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</si>
  <si>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</si>
  <si>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</si>
  <si>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</si>
  <si>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</si>
  <si>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</si>
  <si>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</si>
  <si>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</si>
  <si>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</si>
  <si>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</si>
  <si>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</si>
  <si>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</si>
  <si>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</si>
  <si>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</si>
  <si>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</si>
  <si>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</si>
  <si>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</si>
  <si>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</si>
  <si>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</si>
  <si>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</si>
  <si>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</si>
  <si>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</si>
  <si>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</si>
  <si>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</si>
  <si>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</si>
  <si>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</si>
  <si>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</si>
  <si>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</si>
  <si>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</si>
  <si>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</si>
  <si>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</si>
  <si>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</si>
  <si>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</si>
  <si>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</si>
  <si>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</si>
  <si>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</si>
  <si>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</si>
  <si>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</si>
  <si>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</si>
  <si>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</si>
  <si>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</si>
  <si>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</si>
  <si>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</si>
  <si>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</si>
  <si>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</si>
  <si>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</si>
  <si>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</si>
  <si>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</si>
  <si>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</si>
  <si>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</si>
  <si>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</si>
  <si>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</si>
  <si>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</si>
  <si>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</si>
  <si>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</si>
  <si>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</si>
  <si>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</si>
  <si>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</si>
  <si>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</si>
  <si>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</si>
  <si>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</si>
  <si>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</si>
  <si>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</si>
  <si>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</si>
  <si>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</si>
  <si>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</si>
  <si>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</si>
  <si>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</si>
  <si>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</si>
  <si>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</si>
  <si>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</si>
  <si>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</si>
  <si>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</si>
  <si>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</si>
  <si>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</si>
  <si>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</si>
  <si>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</si>
  <si>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</si>
  <si>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</si>
  <si>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</si>
  <si>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</si>
  <si>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</si>
  <si>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</si>
  <si>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</si>
  <si>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</si>
  <si>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</si>
  <si>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</si>
  <si>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</si>
  <si>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</si>
  <si>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</si>
  <si>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</si>
  <si>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</si>
  <si>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</si>
  <si>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</si>
  <si>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</si>
  <si>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</si>
  <si>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</si>
  <si>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</si>
  <si>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</si>
  <si>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</si>
  <si>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</si>
  <si>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</si>
  <si>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</si>
  <si>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</si>
  <si>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</si>
  <si>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</si>
  <si>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</si>
  <si>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</si>
  <si>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</si>
  <si>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</si>
  <si>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</si>
  <si>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</si>
  <si>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</si>
  <si>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</si>
  <si>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</si>
  <si>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</si>
  <si>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</si>
  <si>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</si>
  <si>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</si>
  <si>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</si>
  <si>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</si>
  <si>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</si>
  <si>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</si>
  <si>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</si>
  <si>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</si>
  <si>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</si>
  <si>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</si>
  <si>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</si>
  <si>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</si>
  <si>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</si>
  <si>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</si>
  <si>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</si>
  <si>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</si>
  <si>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</si>
  <si>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</si>
  <si>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</si>
  <si>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</si>
  <si>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</si>
  <si>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</si>
  <si>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</si>
  <si>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</si>
  <si>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</si>
  <si>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</si>
  <si>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</si>
  <si>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</si>
  <si>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</si>
  <si>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</si>
  <si>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</si>
  <si>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</si>
  <si>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</si>
  <si>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</si>
  <si>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</si>
  <si>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</si>
  <si>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</si>
  <si>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</si>
  <si>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</si>
  <si>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</si>
  <si>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</si>
  <si>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</si>
  <si>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</si>
  <si>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</si>
  <si>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</si>
  <si>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</si>
  <si>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</si>
  <si>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</si>
  <si>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</si>
  <si>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</si>
  <si>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</si>
  <si>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</si>
  <si>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</si>
  <si>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</si>
  <si>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</si>
  <si>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</si>
  <si>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</si>
  <si>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</si>
  <si>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</si>
  <si>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</si>
  <si>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</si>
  <si>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</si>
  <si>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</si>
  <si>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</si>
  <si>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</si>
  <si>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</si>
  <si>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</si>
  <si>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</si>
  <si>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</si>
  <si>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</si>
  <si>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</si>
  <si>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</si>
  <si>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</si>
  <si>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</si>
  <si>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</si>
  <si>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</si>
  <si>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</si>
  <si>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</si>
  <si>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</si>
  <si>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</si>
  <si>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</si>
  <si>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</si>
  <si>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</si>
  <si>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</si>
  <si>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</si>
  <si>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</si>
  <si>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</si>
  <si>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</si>
  <si>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</si>
  <si>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</si>
  <si>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</si>
  <si>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</si>
  <si>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</si>
  <si>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</si>
  <si>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</si>
  <si>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</si>
  <si>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</si>
  <si>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</si>
  <si>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</si>
  <si>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</si>
  <si>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</si>
  <si>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</si>
  <si>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</si>
  <si>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</si>
  <si>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</si>
  <si>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</si>
  <si>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</si>
  <si>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</si>
  <si>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</si>
  <si>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</si>
  <si>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</si>
  <si>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</si>
  <si>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</si>
  <si>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</si>
  <si>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</si>
  <si>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</si>
  <si>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</si>
  <si>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</si>
  <si>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</si>
  <si>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</si>
  <si>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</si>
  <si>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</si>
  <si>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</si>
  <si>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</si>
  <si>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</si>
  <si>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</si>
  <si>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</si>
  <si>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</si>
  <si>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</si>
  <si>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</si>
  <si>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</si>
  <si>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</si>
  <si>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</si>
  <si>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</si>
  <si>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</si>
  <si>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</si>
  <si>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</si>
  <si>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</si>
  <si>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</si>
  <si>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</si>
  <si>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</si>
  <si>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</si>
  <si>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</si>
  <si>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</si>
  <si>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</si>
  <si>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</si>
  <si>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</si>
  <si>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</si>
  <si>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</si>
  <si>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</si>
  <si>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</si>
  <si>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</si>
  <si>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</si>
  <si>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</si>
  <si>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</si>
  <si>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</si>
  <si>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</si>
  <si>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</si>
  <si>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</si>
  <si>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</si>
  <si>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</si>
  <si>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</si>
  <si>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</si>
  <si>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</si>
  <si>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</si>
  <si>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</si>
  <si>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</si>
  <si>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</si>
  <si>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</si>
  <si>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</si>
  <si>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</si>
  <si>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</si>
  <si>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</si>
  <si>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</si>
  <si>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</si>
  <si>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</si>
  <si>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</si>
  <si>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</si>
  <si>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</si>
  <si>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</si>
  <si>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</si>
  <si>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</si>
  <si>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</si>
  <si>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</si>
  <si>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</si>
  <si>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</si>
  <si>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</si>
  <si>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</si>
  <si>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</si>
  <si>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</si>
  <si>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</si>
  <si>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</si>
  <si>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</si>
  <si>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</si>
  <si>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</si>
  <si>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</si>
  <si>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</si>
  <si>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</si>
  <si>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</si>
  <si>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</si>
  <si>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</si>
  <si>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</si>
  <si>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</si>
  <si>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</si>
  <si>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</si>
  <si>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</si>
  <si>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</si>
  <si>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</si>
  <si>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</si>
  <si>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</si>
  <si>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</si>
  <si>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</si>
  <si>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</si>
  <si>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</si>
  <si>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</si>
  <si>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</si>
  <si>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</si>
  <si>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</si>
  <si>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</si>
  <si>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</si>
  <si>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</si>
  <si>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</si>
  <si>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</si>
  <si>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</si>
  <si>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</si>
  <si>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</si>
  <si>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</si>
  <si>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</si>
  <si>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</si>
  <si>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</si>
  <si>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</si>
  <si>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</si>
  <si>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</si>
  <si>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</si>
  <si>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</si>
  <si>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</si>
  <si>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</si>
  <si>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</si>
  <si>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</si>
  <si>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</si>
  <si>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</si>
  <si>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</si>
  <si>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</si>
  <si>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</si>
  <si>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</si>
  <si>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</si>
  <si>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</si>
  <si>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</si>
  <si>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</si>
  <si>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</si>
  <si>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</si>
  <si>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</si>
  <si>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</si>
  <si>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</si>
  <si>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</si>
  <si>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</si>
  <si>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</si>
  <si>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</si>
  <si>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</si>
  <si>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</si>
  <si>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</si>
  <si>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</si>
  <si>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</si>
  <si>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</si>
  <si>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</si>
  <si>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</si>
  <si>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</si>
  <si>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</si>
  <si>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</si>
  <si>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</si>
  <si>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</si>
  <si>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</si>
  <si>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</si>
  <si>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</si>
  <si>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</si>
  <si>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</si>
  <si>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</si>
  <si>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</si>
  <si>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</si>
  <si>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</si>
  <si>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</si>
  <si>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</si>
  <si>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</si>
  <si>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</si>
  <si>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</si>
  <si>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</si>
  <si>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</si>
  <si>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</si>
  <si>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</si>
  <si>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</si>
  <si>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</si>
  <si>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</si>
  <si>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</si>
  <si>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</si>
  <si>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</si>
  <si>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</si>
  <si>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</si>
  <si>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</si>
  <si>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</si>
  <si>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</si>
  <si>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</si>
  <si>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</si>
  <si>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</si>
  <si>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</si>
  <si>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</si>
  <si>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</si>
  <si>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</si>
  <si>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</si>
  <si>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</si>
  <si>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</si>
  <si>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</si>
  <si>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</si>
  <si>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</si>
  <si>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</si>
  <si>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</si>
  <si>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</si>
  <si>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</si>
  <si>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</si>
  <si>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</si>
  <si>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</si>
  <si>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</si>
  <si>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</si>
  <si>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</si>
  <si>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</si>
  <si>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</si>
  <si>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</si>
  <si>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</si>
  <si>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</si>
  <si>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</si>
  <si>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</si>
  <si>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</si>
  <si>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</si>
  <si>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</si>
  <si>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</si>
  <si>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</si>
  <si>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</si>
  <si>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</si>
  <si>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</si>
  <si>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</si>
  <si>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</si>
  <si>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</si>
  <si>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</si>
  <si>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</si>
  <si>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</si>
  <si>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</si>
  <si>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</si>
  <si>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</si>
  <si>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</si>
  <si>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</si>
  <si>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</si>
  <si>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</si>
  <si>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</si>
  <si>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</si>
  <si>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</si>
  <si>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</si>
  <si>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</si>
  <si>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</si>
  <si>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</si>
  <si>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</si>
  <si>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</si>
  <si>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</si>
  <si>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</si>
  <si>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</si>
  <si>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</si>
  <si>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</si>
  <si>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</si>
  <si>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</si>
  <si>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</si>
  <si>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</si>
  <si>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</si>
  <si>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</si>
  <si>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</si>
  <si>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</si>
  <si>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</si>
  <si>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</si>
  <si>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</si>
  <si>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</si>
  <si>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</si>
  <si>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</si>
  <si>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</si>
  <si>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</si>
  <si>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</si>
  <si>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</si>
  <si>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</si>
  <si>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</si>
  <si>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</si>
  <si>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</si>
  <si>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</si>
  <si>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</si>
  <si>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</si>
  <si>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</si>
  <si>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</si>
  <si>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</si>
  <si>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</si>
  <si>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</si>
  <si>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</si>
  <si>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</si>
  <si>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</si>
  <si>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</si>
  <si>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</si>
  <si>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</si>
  <si>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</si>
  <si>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</si>
  <si>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</si>
  <si>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</si>
  <si>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</si>
  <si>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</si>
  <si>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</si>
  <si>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</si>
  <si>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</si>
  <si>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</si>
  <si>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</si>
  <si>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</si>
  <si>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</si>
  <si>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</si>
  <si>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</si>
  <si>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</si>
  <si>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</si>
  <si>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</si>
  <si>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</si>
  <si>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</si>
  <si>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</si>
  <si>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</si>
  <si>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</si>
  <si>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</si>
  <si>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</si>
  <si>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</si>
  <si>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</si>
  <si>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</si>
  <si>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</si>
  <si>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</si>
  <si>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</si>
  <si>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</si>
  <si>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</si>
  <si>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</si>
  <si>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</si>
  <si>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</si>
  <si>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</si>
  <si>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</si>
  <si>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</si>
  <si>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</si>
  <si>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</si>
  <si>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</si>
  <si>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</si>
  <si>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</si>
  <si>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</si>
  <si>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</si>
  <si>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</si>
  <si>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</si>
  <si>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</si>
  <si>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</si>
  <si>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</si>
  <si>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</si>
  <si>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</si>
  <si>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</si>
  <si>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</si>
  <si>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</si>
  <si>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</si>
  <si>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</si>
  <si>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</si>
  <si>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</si>
  <si>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</si>
  <si>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</si>
  <si>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</si>
  <si>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</si>
  <si>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</si>
  <si>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</si>
  <si>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</si>
  <si>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</si>
  <si>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</si>
  <si>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</si>
  <si>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</si>
  <si>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</si>
  <si>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</si>
  <si>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</si>
  <si>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</si>
  <si>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</si>
  <si>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</si>
  <si>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</si>
  <si>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</si>
  <si>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</si>
  <si>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</si>
  <si>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</si>
  <si>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</si>
  <si>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</si>
  <si>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</si>
  <si>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</si>
  <si>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</si>
  <si>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</si>
  <si>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</si>
  <si>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</si>
  <si>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</si>
  <si>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</si>
  <si>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</si>
  <si>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</si>
  <si>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</si>
  <si>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</si>
  <si>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</si>
  <si>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</si>
  <si>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</si>
  <si>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</si>
  <si>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</si>
  <si>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</si>
  <si>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</si>
  <si>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</si>
  <si>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</si>
  <si>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</si>
  <si>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</si>
  <si>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</si>
  <si>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</si>
  <si>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</si>
  <si>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</si>
  <si>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</si>
  <si>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</si>
  <si>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</si>
  <si>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</si>
  <si>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</si>
  <si>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</si>
  <si>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</si>
  <si>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</si>
  <si>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</si>
  <si>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</si>
  <si>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</si>
  <si>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</si>
  <si>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</si>
  <si>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</si>
  <si>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</si>
  <si>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</si>
  <si>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</si>
  <si>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</si>
  <si>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</si>
  <si>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</si>
  <si>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</si>
  <si>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</si>
  <si>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</si>
  <si>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</si>
  <si>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</si>
  <si>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</si>
  <si>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</si>
  <si>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</si>
  <si>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</si>
  <si>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</si>
  <si>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</si>
  <si>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</si>
  <si>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</si>
  <si>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</si>
  <si>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</si>
  <si>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</si>
  <si>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</si>
  <si>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</si>
  <si>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</si>
  <si>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</si>
  <si>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</si>
  <si>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</si>
  <si>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</si>
  <si>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</si>
  <si>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</si>
  <si>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</si>
  <si>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</si>
  <si>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</si>
  <si>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</si>
  <si>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</si>
  <si>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</si>
  <si>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</si>
  <si>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</si>
  <si>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</si>
  <si>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</si>
  <si>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</si>
  <si>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</si>
  <si>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</si>
  <si>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</si>
  <si>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</si>
  <si>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</si>
  <si>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</si>
  <si>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</si>
  <si>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</si>
  <si>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</si>
  <si>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</si>
  <si>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</si>
  <si>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</si>
  <si>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</si>
  <si>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</si>
  <si>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</si>
  <si>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</si>
  <si>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</si>
  <si>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</si>
  <si>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</si>
  <si>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</si>
  <si>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</si>
  <si>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</si>
  <si>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</si>
  <si>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</si>
  <si>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</si>
  <si>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</si>
  <si>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</si>
  <si>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</si>
  <si>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</si>
  <si>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</si>
  <si>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</si>
  <si>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</si>
  <si>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</si>
  <si>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</si>
  <si>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</si>
  <si>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</si>
  <si>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</si>
  <si>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</si>
  <si>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</si>
  <si>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</si>
  <si>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</si>
  <si>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</si>
  <si>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</si>
  <si>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</si>
  <si>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</si>
  <si>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</si>
  <si>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</si>
  <si>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</si>
  <si>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</si>
  <si>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</si>
  <si>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</si>
  <si>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</si>
  <si>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</si>
  <si>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</si>
  <si>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</si>
  <si>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</si>
  <si>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</si>
  <si>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</si>
  <si>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</si>
  <si>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</si>
  <si>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</si>
  <si>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</si>
  <si>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</si>
  <si>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</si>
  <si>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</si>
  <si>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</si>
  <si>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</si>
  <si>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</si>
  <si>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</si>
  <si>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</si>
  <si>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</si>
  <si>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</si>
  <si>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</si>
  <si>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</si>
  <si>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</si>
  <si>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</si>
  <si>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</si>
  <si>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</si>
  <si>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</si>
  <si>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</si>
  <si>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</si>
  <si>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</si>
  <si>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</si>
  <si>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</si>
  <si>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</si>
  <si>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</si>
  <si>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</si>
  <si>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</si>
  <si>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</si>
  <si>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</si>
  <si>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</si>
  <si>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</si>
  <si>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</si>
  <si>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</si>
  <si>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</si>
  <si>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</si>
  <si>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</si>
  <si>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</si>
  <si>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</si>
  <si>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</si>
  <si>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</si>
  <si>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</si>
  <si>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</si>
  <si>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</si>
  <si>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</si>
  <si>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</si>
  <si>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</si>
  <si>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</si>
  <si>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</si>
  <si>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</si>
  <si>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</si>
  <si>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</si>
  <si>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</si>
  <si>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</si>
  <si>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</si>
  <si>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</si>
  <si>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</si>
  <si>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</si>
  <si>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</si>
  <si>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</si>
  <si>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</si>
  <si>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</si>
  <si>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</si>
  <si>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</si>
  <si>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</si>
  <si>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</si>
  <si>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</si>
  <si>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</si>
  <si>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</si>
  <si>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</si>
  <si>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</si>
  <si>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</si>
  <si>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</si>
  <si>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</si>
  <si>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</si>
  <si>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</si>
  <si>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</si>
  <si>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</si>
  <si>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</si>
  <si>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</si>
  <si>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</si>
  <si>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</si>
  <si>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</si>
  <si>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</si>
  <si>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</si>
  <si>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</si>
  <si>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</si>
  <si>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</si>
  <si>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</si>
  <si>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</si>
  <si>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</si>
  <si>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</si>
  <si>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</si>
  <si>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</si>
  <si>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</si>
  <si>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</si>
  <si>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</si>
  <si>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</si>
  <si>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</si>
  <si>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</si>
  <si>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</si>
  <si>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</si>
  <si>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</si>
  <si>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</si>
  <si>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</si>
  <si>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</si>
  <si>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</si>
  <si>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</si>
  <si>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</si>
  <si>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</si>
  <si>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</si>
  <si>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</si>
  <si>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</si>
  <si>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</si>
  <si>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</si>
  <si>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</si>
  <si>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</si>
  <si>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</si>
  <si>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</si>
  <si>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</si>
  <si>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</si>
  <si>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</si>
  <si>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</si>
  <si>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</si>
  <si>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</si>
  <si>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</si>
  <si>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</si>
  <si>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</si>
  <si>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</si>
  <si>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</si>
  <si>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</si>
  <si>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</si>
  <si>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</si>
  <si>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</si>
  <si>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</si>
  <si>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</si>
  <si>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</si>
  <si>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</si>
  <si>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</si>
  <si>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</si>
  <si>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</si>
  <si>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</si>
  <si>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</si>
  <si>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</si>
  <si>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</si>
  <si>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</si>
  <si>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</si>
  <si>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</si>
  <si>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</si>
  <si>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</si>
  <si>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</si>
  <si>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</si>
  <si>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</si>
  <si>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</si>
  <si>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</si>
  <si>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</si>
  <si>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</si>
  <si>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</si>
  <si>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</si>
  <si>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</si>
  <si>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</si>
  <si>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</si>
  <si>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</si>
  <si>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</si>
  <si>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</si>
  <si>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</si>
  <si>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</si>
  <si>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</si>
  <si>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</si>
  <si>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</si>
  <si>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</si>
  <si>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</si>
  <si>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</si>
  <si>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</si>
  <si>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</si>
  <si>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</si>
  <si>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</si>
  <si>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</si>
  <si>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</si>
  <si>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</si>
  <si>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</si>
  <si>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</si>
  <si>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</si>
  <si>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</si>
  <si>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</si>
  <si>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</si>
  <si>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</si>
  <si>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</si>
  <si>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</si>
  <si>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</si>
  <si>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</si>
  <si>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</si>
  <si>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</si>
  <si>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</si>
  <si>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</si>
  <si>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</si>
  <si>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</si>
  <si>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</si>
  <si>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</si>
  <si>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</si>
  <si>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</si>
  <si>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</si>
  <si>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</si>
  <si>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</si>
  <si>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</si>
  <si>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</si>
  <si>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</si>
  <si>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</si>
  <si>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</si>
  <si>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</si>
  <si>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</si>
  <si>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</si>
  <si>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</si>
  <si>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</si>
  <si>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</si>
  <si>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</si>
  <si>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</si>
  <si>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</si>
  <si>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</si>
  <si>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</si>
  <si>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</si>
  <si>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</si>
  <si>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</si>
  <si>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</si>
  <si>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</si>
  <si>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</si>
  <si>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</si>
  <si>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</si>
  <si>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</si>
  <si>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</si>
  <si>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</si>
  <si>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</si>
  <si>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</si>
  <si>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</si>
  <si>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</si>
  <si>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</si>
  <si>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</si>
  <si>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</si>
  <si>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</si>
  <si>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</si>
  <si>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</si>
  <si>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</si>
  <si>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</si>
  <si>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</si>
  <si>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</si>
  <si>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</si>
  <si>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</si>
  <si>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</si>
  <si>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</si>
  <si>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</si>
  <si>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</si>
  <si>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</si>
  <si>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</si>
  <si>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</si>
  <si>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</si>
  <si>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</si>
  <si>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</si>
  <si>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</si>
  <si>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</si>
  <si>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</si>
  <si>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</si>
  <si>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</si>
  <si>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</si>
  <si>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</si>
  <si>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</si>
  <si>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</si>
  <si>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</si>
  <si>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</si>
  <si>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</si>
  <si>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</si>
  <si>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</si>
  <si>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</si>
  <si>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</si>
  <si>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</si>
  <si>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</si>
  <si>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</si>
  <si>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</si>
  <si>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</si>
  <si>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</si>
  <si>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</si>
  <si>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</si>
  <si>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</si>
  <si>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</si>
  <si>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</si>
  <si>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</si>
  <si>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</si>
  <si>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</si>
  <si>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</si>
  <si>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</si>
  <si>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</si>
  <si>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</si>
  <si>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</si>
  <si>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</si>
  <si>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</si>
  <si>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</si>
  <si>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</si>
  <si>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</si>
  <si>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</si>
  <si>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</si>
  <si>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</si>
  <si>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</si>
  <si>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</si>
  <si>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</si>
  <si>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</si>
  <si>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</si>
  <si>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</si>
  <si>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</si>
  <si>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</si>
  <si>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</si>
  <si>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</si>
  <si>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</si>
  <si>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</si>
  <si>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</si>
  <si>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</si>
  <si>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</si>
  <si>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</si>
  <si>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</si>
  <si>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</si>
  <si>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</si>
  <si>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</si>
  <si>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</si>
  <si>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</si>
  <si>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</si>
  <si>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</si>
  <si>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</si>
  <si>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</si>
  <si>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</si>
  <si>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</si>
  <si>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</si>
  <si>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</si>
  <si>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</si>
  <si>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</si>
  <si>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</si>
  <si>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</si>
  <si>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</si>
  <si>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</si>
  <si>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</si>
  <si>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</si>
  <si>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</si>
  <si>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</si>
  <si>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</si>
  <si>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</si>
  <si>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</si>
  <si>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</si>
  <si>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</si>
  <si>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</si>
  <si>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</si>
  <si>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</si>
  <si>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</si>
  <si>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</si>
  <si>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</si>
  <si>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</si>
  <si>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</si>
  <si>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</si>
  <si>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</si>
  <si>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</si>
  <si>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</si>
  <si>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</si>
  <si>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</si>
  <si>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</si>
  <si>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</si>
  <si>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</si>
  <si>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</si>
  <si>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</si>
  <si>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</si>
  <si>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</si>
  <si>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</si>
  <si>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</si>
  <si>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</si>
  <si>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</si>
  <si>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</si>
  <si>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</si>
  <si>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</si>
  <si>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</si>
  <si>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</si>
  <si>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</si>
  <si>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</si>
  <si>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</si>
  <si>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</si>
  <si>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</si>
  <si>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</si>
  <si>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</si>
  <si>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</si>
  <si>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</si>
  <si>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</si>
  <si>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</si>
  <si>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</si>
  <si>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</si>
  <si>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</si>
  <si>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</si>
  <si>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</si>
  <si>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</si>
  <si>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</si>
  <si>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</si>
  <si>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</si>
  <si>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</si>
  <si>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</si>
  <si>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</si>
  <si>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</si>
  <si>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</si>
  <si>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</si>
  <si>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</si>
  <si>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</si>
  <si>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</si>
  <si>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</si>
  <si>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</si>
  <si>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</si>
  <si>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</si>
  <si>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</si>
  <si>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</si>
  <si>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</si>
  <si>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</si>
  <si>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</si>
  <si>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</si>
  <si>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</si>
  <si>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</si>
  <si>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</si>
  <si>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</si>
  <si>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</si>
  <si>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</si>
  <si>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</si>
  <si>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</si>
  <si>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</si>
  <si>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</si>
  <si>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</si>
  <si>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</si>
  <si>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</si>
  <si>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</si>
  <si>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</si>
  <si>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</si>
  <si>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</si>
  <si>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</si>
  <si>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</si>
  <si>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</si>
  <si>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</si>
  <si>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</si>
  <si>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</si>
  <si>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</si>
  <si>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</si>
  <si>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</si>
  <si>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</si>
  <si>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</si>
  <si>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</si>
  <si>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</si>
  <si>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</si>
  <si>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</si>
  <si>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</si>
  <si>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</si>
  <si>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</si>
  <si>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</si>
  <si>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</si>
  <si>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</si>
  <si>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</si>
  <si>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</si>
  <si>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</si>
  <si>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</si>
  <si>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</si>
  <si>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</si>
  <si>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</si>
  <si>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</si>
  <si>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</si>
  <si>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</si>
  <si>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</si>
  <si>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</si>
  <si>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</si>
  <si>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</si>
  <si>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</si>
  <si>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</si>
  <si>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</si>
  <si>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</si>
  <si>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</si>
  <si>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</si>
  <si>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</si>
  <si>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</si>
  <si>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</si>
  <si>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</si>
  <si>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</si>
  <si>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</si>
  <si>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</si>
  <si>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</si>
  <si>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</si>
  <si>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办公</t>
    <phoneticPr fontId="224" type="noConversion"/>
  </si>
  <si>
    <t>比较法-办公</t>
  </si>
  <si>
    <t>绿地中央广场</t>
    <phoneticPr fontId="224" type="noConversion"/>
  </si>
  <si>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</si>
  <si>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</si>
  <si>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</si>
  <si>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</si>
  <si>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</si>
  <si>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</si>
  <si>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</si>
  <si>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</si>
  <si>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</si>
  <si>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</si>
  <si>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</si>
  <si>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</si>
  <si>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</si>
  <si>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</si>
  <si>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</si>
  <si>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</si>
  <si>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13#</t>
  </si>
  <si>
    <t>京(2016)昌平区不动产权第0074858号</t>
  </si>
  <si>
    <t>其他</t>
  </si>
  <si>
    <t>6#</t>
  </si>
  <si>
    <t>京(2016)昌平区不动产权第0074856号</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</si>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</sst>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4">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14" fontId="0" fillId="0" borderId="0" xfId="0" applyNumberFormat="1">
      <alignment vertical="center"/>
    </xf>
    <xf numFmtId="1" fontId="54" fillId="2" borderId="0" xfId="0" applyNumberFormat="1" applyFont="1" applyFill="1" applyProtection="1">
      <alignment vertical="center"/>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6" fillId="0" borderId="0" xfId="0" applyFont="1" applyAlignment="1">
      <alignment horizontal="center" vertical="center"/>
    </xf>
    <xf numFmtId="0" fontId="89"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54" fillId="17" borderId="0" xfId="0" applyFont="1" applyFill="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228129</xdr:colOff>
      <xdr:row>34</xdr:row>
      <xdr:rowOff>8795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3771429" cy="5838095"/>
        </a:xfrm>
        <a:prstGeom prst="rect">
          <a:avLst/>
        </a:prstGeom>
      </xdr:spPr>
    </xdr:pic>
    <xdr:clientData/>
  </xdr:twoCellAnchor>
  <xdr:twoCellAnchor editAs="oneCell">
    <xdr:from>
      <xdr:col>0</xdr:col>
      <xdr:colOff>0</xdr:colOff>
      <xdr:row>0</xdr:row>
      <xdr:rowOff>0</xdr:rowOff>
    </xdr:from>
    <xdr:to>
      <xdr:col>5</xdr:col>
      <xdr:colOff>228129</xdr:colOff>
      <xdr:row>33</xdr:row>
      <xdr:rowOff>132626</xdr:rowOff>
    </xdr:to>
    <xdr:pic>
      <xdr:nvPicPr>
        <xdr:cNvPr id="7" name="图片 6"/>
        <xdr:cNvPicPr>
          <a:picLocks noChangeAspect="1"/>
        </xdr:cNvPicPr>
      </xdr:nvPicPr>
      <xdr:blipFill>
        <a:blip xmlns:r="http://schemas.openxmlformats.org/officeDocument/2006/relationships" r:embed="rId2"/>
        <a:stretch>
          <a:fillRect/>
        </a:stretch>
      </xdr:blipFill>
      <xdr:spPr>
        <a:xfrm>
          <a:off x="0" y="0"/>
          <a:ext cx="3771429" cy="5790476"/>
        </a:xfrm>
        <a:prstGeom prst="rect">
          <a:avLst/>
        </a:prstGeom>
      </xdr:spPr>
    </xdr:pic>
    <xdr:clientData/>
  </xdr:twoCellAnchor>
  <xdr:twoCellAnchor editAs="oneCell">
    <xdr:from>
      <xdr:col>5</xdr:col>
      <xdr:colOff>552450</xdr:colOff>
      <xdr:row>0</xdr:row>
      <xdr:rowOff>0</xdr:rowOff>
    </xdr:from>
    <xdr:to>
      <xdr:col>11</xdr:col>
      <xdr:colOff>170983</xdr:colOff>
      <xdr:row>20</xdr:row>
      <xdr:rowOff>75762</xdr:rowOff>
    </xdr:to>
    <xdr:pic>
      <xdr:nvPicPr>
        <xdr:cNvPr id="8" name="图片 7"/>
        <xdr:cNvPicPr>
          <a:picLocks noChangeAspect="1"/>
        </xdr:cNvPicPr>
      </xdr:nvPicPr>
      <xdr:blipFill>
        <a:blip xmlns:r="http://schemas.openxmlformats.org/officeDocument/2006/relationships" r:embed="rId3"/>
        <a:stretch>
          <a:fillRect/>
        </a:stretch>
      </xdr:blipFill>
      <xdr:spPr>
        <a:xfrm>
          <a:off x="4095750" y="0"/>
          <a:ext cx="3733333" cy="3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估价对象为北京市房地产，为所有。根据《国有土地使用证》[]，估价对象（分摊）出让国有建设用地使用权面积为0平方米，建筑面积为158.43平方米。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估价对象为北京市房地产,属开发建设的办公项目，该项目尚在开发建设中。根据《国有土地使用证》[]，估价对象（分摊）出让国有建设用地使用权面积为0平方米，规划建筑面积为158.43平方米。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2025年11月14日（评估专业人员实地查勘之日）</v>
      </c>
    </row>
    <row r="13" spans="1:2">
      <c r="A13" s="3157" t="s">
        <v>13</v>
      </c>
      <c r="B13" s="3158" t="str">
        <f>'预评函-1'!A18</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302</v>
      </c>
    </row>
    <row r="21" spans="1:2">
      <c r="A21" s="3157" t="s">
        <v>21</v>
      </c>
      <c r="B21" s="3158">
        <f ca="1">'预评函-2'!D7</f>
        <v>19082</v>
      </c>
    </row>
    <row r="22" spans="1:2">
      <c r="A22" s="3157" t="s">
        <v>22</v>
      </c>
      <c r="B22" s="3158" t="str">
        <f ca="1">'预评函-2'!D6</f>
        <v>叁佰零贰万元整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302</v>
      </c>
    </row>
    <row r="31" spans="1:2">
      <c r="A31" s="3157" t="s">
        <v>31</v>
      </c>
      <c r="B31" s="3158">
        <f ca="1">'预评函-2'!D15</f>
        <v>19082</v>
      </c>
    </row>
    <row r="32" spans="1:2">
      <c r="A32" s="3157" t="s">
        <v>32</v>
      </c>
      <c r="B32" s="3158" t="str">
        <f ca="1">'预评函-2'!D14</f>
        <v>叁佰零贰万元整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158.43</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5"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296" t="s">
        <v>368</v>
      </c>
      <c r="C54" s="3045" t="s">
        <v>369</v>
      </c>
    </row>
    <row r="55" spans="1:4">
      <c r="A55" s="3215"/>
      <c r="B55" s="296" t="s">
        <v>370</v>
      </c>
      <c r="C55" s="3045" t="s">
        <v>371</v>
      </c>
    </row>
    <row r="56" spans="1:4">
      <c r="A56" s="3215"/>
      <c r="B56" s="296" t="s">
        <v>372</v>
      </c>
      <c r="C56" s="3045" t="s">
        <v>373</v>
      </c>
    </row>
    <row r="57" spans="1:4">
      <c r="A57" s="3215"/>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6" t="s">
        <v>378</v>
      </c>
      <c r="J2" s="3216"/>
      <c r="K2" s="3216"/>
      <c r="L2" s="3216"/>
      <c r="M2" s="3216"/>
      <c r="N2" s="3216"/>
      <c r="O2" s="3216"/>
      <c r="P2" s="3216"/>
      <c r="Q2" s="3216"/>
      <c r="R2" s="3216"/>
    </row>
    <row r="3" spans="1:18">
      <c r="A3" s="444" t="s">
        <v>379</v>
      </c>
      <c r="B3" s="3001">
        <f>项目基本情况!D3</f>
        <v>45975</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1.0900000000000001</v>
      </c>
      <c r="D5" s="3003">
        <f>IF(ISERROR(ROUND(POWER(1+E5,A5-C5)*(POWER(1+E5,C5)-1)/(POWER(1+E5,A5)-1),3)),0,ROUND(POWER(1+E5,A5-C5)*(POWER(1+E5,C5)-1)/(POWER(1+E5,A5)-1),4))</f>
        <v>5.2900000000000003E-2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v>
      </c>
      <c r="D6" s="3003">
        <f>IF(ISERROR(ROUND(POWER(1+E6,A6-C6)*(POWER(1+E6,C6)-1)/(POWER(1+E6,A6)-1),3)),0,ROUND(POWER(1+E6,A6-C6)*(POWER(1+E6,C6)-1)/(POWER(1+E6,A6)-1),4))</f>
        <v>0.4108</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31.11</v>
      </c>
      <c r="D7" s="3003">
        <f>IF(ISERROR(ROUND(POWER(1+E7,A7-C7)*(POWER(1+E7,C7)-1)/(POWER(1+E7,A7)-1),3)),0,ROUND(POWER(1+E7,A7-C7)*(POWER(1+E7,C7)-1)/(POWER(1+E7,A7)-1),4))</f>
        <v>0.75319999999999998</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11" sqref="B11"/>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9" t="str">
        <f>IF(B10="北京市","北京市",C10)&amp;F10&amp;IF(结果表!G1="在建","出让国有建设用地使用权及在建建筑物",IF(结果表!G1="土地","出让国有建设用地使用权",))&amp;B9&amp;"预评估"</f>
        <v>北京市房地产抵押价值预评估</v>
      </c>
      <c r="C1" s="3230"/>
      <c r="D1" s="3230"/>
      <c r="E1" s="3230"/>
      <c r="F1" s="3230"/>
      <c r="G1" s="3230"/>
      <c r="H1" s="3230"/>
      <c r="I1" s="3231"/>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45975</v>
      </c>
      <c r="C3" s="2884" t="s">
        <v>477</v>
      </c>
      <c r="D3" s="2883">
        <f>B3</f>
        <v>45975</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44" t="s">
        <v>483</v>
      </c>
      <c r="E8" s="2899" t="s">
        <v>368</v>
      </c>
      <c r="F8" s="2900"/>
      <c r="G8" s="2655"/>
      <c r="H8" s="2655"/>
      <c r="I8" s="2655"/>
      <c r="J8" s="2517"/>
      <c r="K8" s="2973"/>
      <c r="L8" s="2971"/>
      <c r="M8" s="2971"/>
      <c r="N8" s="2517"/>
      <c r="O8" s="2341"/>
      <c r="P8" s="2517"/>
      <c r="Q8" s="2517"/>
      <c r="R8" s="2517"/>
    </row>
    <row r="9" spans="1:30">
      <c r="A9" s="2901" t="s">
        <v>484</v>
      </c>
      <c r="B9" s="2902" t="s">
        <v>368</v>
      </c>
      <c r="C9" s="2903"/>
      <c r="D9" s="3245"/>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2825</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59636</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37.42</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32"/>
      <c r="C16" s="3233"/>
      <c r="D16" s="3234"/>
      <c r="E16" s="2925" t="s">
        <v>502</v>
      </c>
      <c r="F16" s="3235"/>
      <c r="G16" s="3236"/>
      <c r="H16" s="3236"/>
      <c r="I16" s="3237"/>
      <c r="J16" s="2517"/>
      <c r="K16" s="2979"/>
      <c r="L16" s="2341"/>
      <c r="M16" s="2341"/>
      <c r="N16" s="2517"/>
      <c r="O16" s="2341"/>
      <c r="P16" s="2517"/>
      <c r="Q16" s="2517"/>
      <c r="R16" s="2517"/>
    </row>
    <row r="17" spans="1:28">
      <c r="A17" s="1859" t="s">
        <v>503</v>
      </c>
      <c r="B17" s="1848" t="s">
        <v>504</v>
      </c>
      <c r="C17" s="953">
        <f>'数据-汇总表'!E3</f>
        <v>158.43</v>
      </c>
      <c r="D17" s="1901" t="s">
        <v>505</v>
      </c>
      <c r="E17" s="3238" t="s">
        <v>506</v>
      </c>
      <c r="F17" s="3239"/>
      <c r="G17" s="3239"/>
      <c r="H17" s="3239"/>
      <c r="I17" s="3240"/>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41" t="s">
        <v>509</v>
      </c>
      <c r="F18" s="3242"/>
      <c r="G18" s="3242"/>
      <c r="H18" s="3242"/>
      <c r="I18" s="3243"/>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19" t="s">
        <v>514</v>
      </c>
      <c r="C20" s="3220"/>
      <c r="D20" s="3221" t="s">
        <v>515</v>
      </c>
      <c r="E20" s="3222"/>
      <c r="F20" s="2934" t="s">
        <v>516</v>
      </c>
      <c r="G20" s="2655"/>
      <c r="H20" s="2655"/>
      <c r="I20" s="2655"/>
      <c r="J20" s="2517"/>
      <c r="K20" s="3217"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17"/>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17"/>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25"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25"/>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25"/>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26"/>
      <c r="B30" s="1848" t="s">
        <v>535</v>
      </c>
      <c r="C30" s="3223"/>
      <c r="D30" s="3224"/>
      <c r="E30" s="2655"/>
      <c r="F30" s="2655"/>
      <c r="G30" s="2655"/>
      <c r="H30" s="2655"/>
      <c r="I30" s="2655"/>
      <c r="J30" s="2517"/>
      <c r="K30" s="2972"/>
      <c r="L30" s="2971"/>
      <c r="M30" s="2971"/>
      <c r="N30" s="2517"/>
      <c r="O30" s="2341"/>
      <c r="P30" s="2517"/>
      <c r="Q30" s="2517"/>
      <c r="R30" s="2517"/>
      <c r="S30" s="2517"/>
      <c r="T30" s="2517"/>
      <c r="U30" s="2517"/>
      <c r="V30" s="2517"/>
    </row>
    <row r="31" spans="1:28">
      <c r="A31" s="3227"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28"/>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28"/>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18" t="s">
        <v>546</v>
      </c>
      <c r="T34" s="1889" t="str">
        <f>NUMBERSTRING(7-K34,1)&amp;"通"</f>
        <v>七通</v>
      </c>
      <c r="U34" s="2517"/>
      <c r="V34" s="2517"/>
    </row>
    <row r="35" spans="1:30">
      <c r="A35" s="2959"/>
      <c r="B35" s="3218" t="s">
        <v>547</v>
      </c>
      <c r="C35" s="3218"/>
      <c r="D35" s="3218"/>
      <c r="E35" s="3218"/>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8"/>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158.43</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158.43</v>
      </c>
      <c r="H5" s="2806">
        <f t="shared" ref="H5:AT5" si="0">SUM(H13:H656)</f>
        <v>158.43</v>
      </c>
      <c r="I5" s="2806">
        <f t="shared" si="0"/>
        <v>158.43</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158.43</v>
      </c>
      <c r="BA5" s="2859">
        <f t="shared" si="1"/>
        <v>158.43</v>
      </c>
      <c r="BB5" s="2859">
        <f t="shared" si="1"/>
        <v>158.43</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907</v>
      </c>
      <c r="D13" s="2820" t="s">
        <v>605</v>
      </c>
      <c r="E13" s="2806">
        <f>IF($C$3="是",ROUND($A$3*G13/$B$3,2),ROUND($A$3*(G13-AT13)/$B$3,2))</f>
        <v>0</v>
      </c>
      <c r="F13" s="2821"/>
      <c r="G13" s="2822">
        <f>H13+AC13+AT13</f>
        <v>158.43</v>
      </c>
      <c r="H13" s="2809">
        <f>SUMIF(I$12:AB$12,"总值",I13:AB13)</f>
        <v>158.43</v>
      </c>
      <c r="I13" s="2834">
        <v>158.43</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907</v>
      </c>
      <c r="AY13" s="2350">
        <f>ROUND($AY$6*AZ13/$AZ$5,2)</f>
        <v>0</v>
      </c>
      <c r="AZ13" s="2806">
        <f>BA13+BL13</f>
        <v>158.43</v>
      </c>
      <c r="BA13" s="2806">
        <f>SUM(BB13:BK13)</f>
        <v>158.43</v>
      </c>
      <c r="BB13" s="2806">
        <f>IF($D13="是",I13-J13,0)</f>
        <v>158.43</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5" t="s">
        <v>607</v>
      </c>
      <c r="B2" s="3255"/>
      <c r="C2" s="3255"/>
      <c r="D2" s="2142" t="s">
        <v>608</v>
      </c>
      <c r="E2" s="2734" t="s">
        <v>609</v>
      </c>
      <c r="F2" s="2592"/>
      <c r="G2" s="2735"/>
      <c r="H2" s="2736"/>
      <c r="I2" s="2430" t="s">
        <v>610</v>
      </c>
      <c r="J2" s="2592"/>
      <c r="K2" s="2592"/>
      <c r="L2" s="2592"/>
      <c r="M2" s="2592"/>
      <c r="N2" s="1175"/>
      <c r="O2" s="2592"/>
      <c r="P2" s="2592"/>
    </row>
    <row r="3" spans="1:16" ht="15">
      <c r="A3" s="3256" t="s">
        <v>611</v>
      </c>
      <c r="B3" s="3256"/>
      <c r="C3" s="3256"/>
      <c r="D3" s="2737">
        <f>'数据-基础表'!AY6</f>
        <v>0</v>
      </c>
      <c r="E3" s="2737">
        <f>'数据-基础表'!AZ5</f>
        <v>158.43</v>
      </c>
      <c r="F3" s="2592"/>
      <c r="G3" s="2738"/>
      <c r="H3" s="2241" t="s">
        <v>612</v>
      </c>
      <c r="I3" s="2096" t="e">
        <f>ROUND('数据-基础表'!B3/'数据-基础表'!A3,2)</f>
        <v>#DIV/0!</v>
      </c>
      <c r="J3" s="2592"/>
      <c r="K3" s="2592"/>
      <c r="L3" s="2592"/>
      <c r="M3" s="2592"/>
      <c r="N3" s="1175"/>
      <c r="O3" s="2592"/>
      <c r="P3" s="2592"/>
    </row>
    <row r="4" spans="1:16" ht="15">
      <c r="A4" s="3257"/>
      <c r="B4" s="3258"/>
      <c r="C4" s="3259"/>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60" t="s">
        <v>616</v>
      </c>
      <c r="C5" s="3260"/>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60" t="s">
        <v>617</v>
      </c>
      <c r="C6" s="3260"/>
      <c r="D6" s="2241">
        <f>ROUND($D$3*E6/$E$3,2)</f>
        <v>0</v>
      </c>
      <c r="E6" s="2742">
        <f>E3-E5</f>
        <v>158.43</v>
      </c>
      <c r="F6" s="2592"/>
      <c r="G6" s="2744" t="s">
        <v>618</v>
      </c>
      <c r="H6" s="2745" t="s">
        <v>614</v>
      </c>
      <c r="I6" s="2784" t="e">
        <f>ROUND(F31/D31,2)</f>
        <v>#DIV/0!</v>
      </c>
      <c r="J6" s="2592"/>
      <c r="K6" s="2592"/>
      <c r="L6" s="2592"/>
      <c r="M6" s="2592"/>
      <c r="N6" s="2592"/>
      <c r="O6" s="2592"/>
      <c r="P6" s="2592"/>
    </row>
    <row r="7" spans="1:16" ht="15">
      <c r="A7" s="3246"/>
      <c r="B7" s="3247"/>
      <c r="C7" s="3248"/>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158.43</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158.43</v>
      </c>
      <c r="F16" s="2592"/>
      <c r="G16" s="2592"/>
      <c r="H16" s="2752" t="s">
        <v>632</v>
      </c>
      <c r="I16" s="2786"/>
      <c r="J16" s="2288"/>
      <c r="K16" s="3249" t="s">
        <v>632</v>
      </c>
      <c r="L16" s="3250"/>
      <c r="M16" s="3250"/>
      <c r="N16" s="3250"/>
      <c r="O16" s="3250"/>
      <c r="P16" s="3251"/>
    </row>
    <row r="17" spans="1:19" ht="15">
      <c r="A17" s="2703" t="s">
        <v>633</v>
      </c>
      <c r="B17" s="2753" t="s">
        <v>634</v>
      </c>
      <c r="C17" s="2262" t="s">
        <v>635</v>
      </c>
      <c r="D17" s="2754" t="s">
        <v>608</v>
      </c>
      <c r="E17" s="2755" t="s">
        <v>609</v>
      </c>
      <c r="F17" s="2756"/>
      <c r="G17" s="2757"/>
      <c r="H17" s="2758" t="s">
        <v>636</v>
      </c>
      <c r="I17" s="2787" t="s">
        <v>637</v>
      </c>
      <c r="J17" s="2288"/>
      <c r="K17" s="3252" t="s">
        <v>638</v>
      </c>
      <c r="L17" s="3253"/>
      <c r="M17" s="3254"/>
      <c r="N17" s="3252" t="s">
        <v>639</v>
      </c>
      <c r="O17" s="3253"/>
      <c r="P17" s="3254"/>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2801</v>
      </c>
      <c r="D19" s="2241">
        <f>ROUND($D$3*E19/$E$3,2)</f>
        <v>0</v>
      </c>
      <c r="E19" s="2766">
        <f t="shared" ref="E19:E26" si="1">SUM(F19:G19)</f>
        <v>158.43</v>
      </c>
      <c r="F19" s="2767">
        <f>'数据-基础表'!I13</f>
        <v>158.43</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158.43</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158.43</v>
      </c>
      <c r="F27" s="2772">
        <f>IF(SUM(F19:F26)=E8,SUM(F19:F26),"地上面积有误")</f>
        <v>158.43</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158.43</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158.43</v>
      </c>
      <c r="F31" s="2780">
        <f>F27+F30</f>
        <v>158.43</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N27" sqref="N27"/>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45975</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59636</v>
      </c>
      <c r="F6" s="2577">
        <f>SUMIF(项目基本情况!C$12:I$12,C6,项目基本情况!C$15:I$15)</f>
        <v>37.42</v>
      </c>
      <c r="G6" s="2578">
        <f>IF(ISERROR(ROUND(POWER(1+H6,D6-F6)*(POWER(1+H6,F6)-1)/(POWER(1+H6,D6)-1),3)),0,ROUND(POWER(1+H6,D6-F6)*(POWER(1+H6,F6)-1)/(POWER(1+H6,D6)-1),3))</f>
        <v>0.91900000000000004</v>
      </c>
      <c r="H6" s="2579">
        <v>0.05</v>
      </c>
      <c r="I6" s="2579">
        <v>5.5E-2</v>
      </c>
      <c r="J6" s="2580">
        <v>7.0000000000000007E-2</v>
      </c>
      <c r="K6" s="2663">
        <f>SUMIF('数据-汇总表'!C$19:C$33,A6,'数据-汇总表'!E$19:E$33)</f>
        <v>158.43</v>
      </c>
      <c r="L6" s="2664">
        <v>4500</v>
      </c>
      <c r="M6" s="2665">
        <f t="shared" ref="M6:M14" si="0">ROUND(K6*L6/10000,0)</f>
        <v>71</v>
      </c>
      <c r="N6" s="2666">
        <f>N20</f>
        <v>0.84</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3</v>
      </c>
      <c r="V6" s="2687">
        <v>0.02</v>
      </c>
      <c r="W6" s="2687">
        <v>0.1</v>
      </c>
      <c r="X6" s="2688"/>
      <c r="Y6" s="2704">
        <f>N6</f>
        <v>0.84</v>
      </c>
      <c r="Z6" s="2705"/>
      <c r="AA6" s="2580"/>
      <c r="AB6" s="2580"/>
      <c r="AC6" s="2688"/>
      <c r="AD6" s="2706"/>
      <c r="AE6" s="2707">
        <f ca="1">IF(AN6="",0,SUMIF(INDIRECT("'"&amp;AN6&amp;"'"&amp;"!E:E"),$AE$5,INDIRECT("'"&amp;AN6&amp;"'"&amp;"!F:F")))</f>
        <v>37.42</v>
      </c>
      <c r="AF6" s="2228"/>
      <c r="AG6" s="1595">
        <f>IF(AF6="",0,AE6-AF6)</f>
        <v>0</v>
      </c>
      <c r="AH6" s="2715"/>
      <c r="AI6" s="2716">
        <v>365</v>
      </c>
      <c r="AJ6" s="2228"/>
      <c r="AK6" s="2717">
        <v>2E-3</v>
      </c>
      <c r="AL6" s="2718">
        <v>1E-3</v>
      </c>
      <c r="AM6" s="2719">
        <v>5.0000000000000001E-3</v>
      </c>
      <c r="AN6" s="2720" t="s">
        <v>285</v>
      </c>
      <c r="AO6" s="1227">
        <f ca="1">SUMIF(INDIRECT("'"&amp;AN6&amp;"'"&amp;"!A:A"),"总价",INDIRECT("'"&amp;AN6&amp;"'"&amp;"!B:B"))</f>
        <v>262.03530000000001</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0.91900000000000004</v>
      </c>
      <c r="H16" s="2588">
        <f>ROUND(SUMPRODUCT(H6:H13,K6:K13)/SUMPRODUCT((H6:H13&gt;0)*(K6:K13)),3)</f>
        <v>0.05</v>
      </c>
      <c r="I16" s="2672"/>
      <c r="J16" s="2672"/>
      <c r="K16" s="2673">
        <f>SUM(K6:K15)</f>
        <v>158.43</v>
      </c>
      <c r="L16" s="2674">
        <f>ROUND(M16*10000/SUM(K6:K14),0)</f>
        <v>4481</v>
      </c>
      <c r="M16" s="2674">
        <f>SUM(M6:M14)</f>
        <v>71</v>
      </c>
      <c r="N16" s="2675">
        <f>ROUND(SUMPRODUCT(M6:M14,N6:N14)/M16,3)</f>
        <v>0.84</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3513">
        <v>2015</v>
      </c>
      <c r="O17" s="2125"/>
      <c r="P17" s="2125"/>
      <c r="Q17" s="2125"/>
      <c r="R17" s="2125"/>
      <c r="S17" s="2125"/>
      <c r="T17" s="2125"/>
      <c r="U17" s="2125">
        <v>444570</v>
      </c>
      <c r="V17" s="3168">
        <f>U17/365/T18</f>
        <v>7.6879378905510318</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0.83</v>
      </c>
      <c r="O18" s="2125">
        <v>0.5</v>
      </c>
      <c r="P18" s="2125"/>
      <c r="Q18" s="2125"/>
      <c r="R18" s="2125"/>
      <c r="S18" s="2125"/>
      <c r="T18" s="2125">
        <f>'数据-汇总表'!F19</f>
        <v>158.43</v>
      </c>
      <c r="U18" s="2125">
        <v>423400</v>
      </c>
      <c r="V18" s="3168">
        <f>U18/365/K16</f>
        <v>7.3218456100486016</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0.84</v>
      </c>
      <c r="O20" s="2125"/>
      <c r="P20" s="2125"/>
      <c r="Q20" s="2125"/>
      <c r="R20" s="2125"/>
      <c r="S20" s="2125"/>
      <c r="T20" s="3168">
        <f>T18-T19</f>
        <v>138.13</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2.0699999999999998</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31686</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0.06</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5.5000000000000007E-2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5.000000000000001E-3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0.05</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61" t="s">
        <v>764</v>
      </c>
      <c r="B1" s="3262"/>
      <c r="C1" s="3262"/>
      <c r="D1" s="3262"/>
      <c r="E1" s="3262"/>
      <c r="F1" s="3262"/>
      <c r="G1" s="3262"/>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158.43</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45975</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302</v>
      </c>
      <c r="C5" s="2485">
        <f ca="1">IF(B5=D14,结果表!H102,ROUND(B5*10000/$B$1,0))</f>
        <v>19082</v>
      </c>
      <c r="D5" s="2485" t="e">
        <f ca="1">ROUND(B5*10000/$B$2,0)</f>
        <v>#DIV/0!</v>
      </c>
      <c r="E5" s="2486"/>
      <c r="F5" s="2487"/>
      <c r="G5" s="2487"/>
      <c r="H5" s="2487"/>
      <c r="I5" s="2487"/>
      <c r="J5" s="2487"/>
      <c r="K5" s="2487"/>
    </row>
    <row r="6" spans="1:11" ht="16.5">
      <c r="A6" s="2485" t="s">
        <v>794</v>
      </c>
      <c r="B6" s="2485">
        <f ca="1">SUM(G14:G23)</f>
        <v>302</v>
      </c>
      <c r="C6" s="2485">
        <f ca="1">IF(B6=G14,结果表!H108,ROUND(B6*10000/$B$1,0))</f>
        <v>19082</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158.43</v>
      </c>
      <c r="C14" s="2496"/>
      <c r="D14" s="2496">
        <f ca="1">结果表!G19</f>
        <v>302</v>
      </c>
      <c r="E14" s="2496">
        <f ca="1">ROUND(D14*10000/B14,0)</f>
        <v>19062</v>
      </c>
      <c r="F14" s="2496" t="e">
        <f ca="1">ROUND(D14*10000/C14,0)</f>
        <v>#DIV/0!</v>
      </c>
      <c r="G14" s="2496">
        <f ca="1">D14</f>
        <v>302</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F24" sqref="F24"/>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337" t="str">
        <f>项目基本情况!S2</f>
        <v>北京市房地产</v>
      </c>
      <c r="B2" s="3338"/>
      <c r="C2" s="3338"/>
      <c r="D2" s="3338"/>
      <c r="E2" s="3338"/>
      <c r="F2" s="3338"/>
      <c r="G2" s="3338"/>
      <c r="H2" s="3338"/>
      <c r="I2" s="3339"/>
    </row>
    <row r="3" spans="1:12" ht="12.75">
      <c r="A3" s="3340" t="s">
        <v>818</v>
      </c>
      <c r="B3" s="3341"/>
      <c r="C3" s="3341"/>
      <c r="D3" s="3341"/>
      <c r="E3" s="3341"/>
      <c r="F3" s="3341"/>
      <c r="G3" s="3341"/>
      <c r="H3" s="3341"/>
      <c r="I3" s="3341"/>
    </row>
    <row r="4" spans="1:12" ht="14.25">
      <c r="A4" s="2223" t="s">
        <v>819</v>
      </c>
      <c r="B4" s="2224" t="s">
        <v>820</v>
      </c>
      <c r="C4" s="2225" t="s">
        <v>2802</v>
      </c>
      <c r="D4" s="2225" t="s">
        <v>285</v>
      </c>
      <c r="E4" s="3342" t="s">
        <v>821</v>
      </c>
      <c r="F4" s="3343"/>
      <c r="G4" s="3343"/>
      <c r="H4" s="3343"/>
      <c r="I4" s="3344"/>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64" t="s">
        <v>822</v>
      </c>
      <c r="B5" s="3272">
        <v>25</v>
      </c>
      <c r="C5" s="3354"/>
      <c r="D5" s="3275"/>
      <c r="E5" s="1888" t="s">
        <v>823</v>
      </c>
      <c r="F5" s="2229"/>
      <c r="G5" s="2229"/>
      <c r="H5" s="2229"/>
      <c r="I5" s="2109"/>
    </row>
    <row r="6" spans="1:12" ht="12.75">
      <c r="A6" s="3264"/>
      <c r="B6" s="3272"/>
      <c r="C6" s="3355"/>
      <c r="D6" s="3275"/>
      <c r="E6" s="1888" t="s">
        <v>824</v>
      </c>
      <c r="F6" s="2229"/>
      <c r="G6" s="2229"/>
      <c r="H6" s="2229"/>
      <c r="I6" s="2109"/>
    </row>
    <row r="7" spans="1:12" ht="12.75">
      <c r="A7" s="3264"/>
      <c r="B7" s="3272"/>
      <c r="C7" s="3356"/>
      <c r="D7" s="3275"/>
      <c r="E7" s="1888" t="s">
        <v>825</v>
      </c>
      <c r="F7" s="2229"/>
      <c r="G7" s="2229"/>
      <c r="H7" s="2229"/>
      <c r="I7" s="2109"/>
    </row>
    <row r="8" spans="1:12" ht="12.75">
      <c r="A8" s="3264" t="s">
        <v>826</v>
      </c>
      <c r="B8" s="3272">
        <v>15</v>
      </c>
      <c r="C8" s="3354"/>
      <c r="D8" s="3275"/>
      <c r="E8" s="1888" t="s">
        <v>827</v>
      </c>
      <c r="F8" s="2229"/>
      <c r="G8" s="2229"/>
      <c r="H8" s="2229"/>
      <c r="I8" s="2109"/>
    </row>
    <row r="9" spans="1:12" ht="12.75">
      <c r="A9" s="3264"/>
      <c r="B9" s="3272"/>
      <c r="C9" s="3356"/>
      <c r="D9" s="3275"/>
      <c r="E9" s="1888" t="s">
        <v>828</v>
      </c>
      <c r="F9" s="2229"/>
      <c r="G9" s="2229"/>
      <c r="H9" s="2229"/>
      <c r="I9" s="2109"/>
    </row>
    <row r="10" spans="1:12" ht="12.75">
      <c r="A10" s="3264" t="s">
        <v>829</v>
      </c>
      <c r="B10" s="3272">
        <v>15</v>
      </c>
      <c r="C10" s="3354"/>
      <c r="D10" s="3275"/>
      <c r="E10" s="1888" t="s">
        <v>830</v>
      </c>
      <c r="F10" s="2229"/>
      <c r="G10" s="2229"/>
      <c r="H10" s="2229"/>
      <c r="I10" s="2109"/>
    </row>
    <row r="11" spans="1:12" ht="12.75">
      <c r="A11" s="3264"/>
      <c r="B11" s="3272"/>
      <c r="C11" s="3356"/>
      <c r="D11" s="3275"/>
      <c r="E11" s="1888" t="s">
        <v>831</v>
      </c>
      <c r="F11" s="2229"/>
      <c r="G11" s="2229"/>
      <c r="H11" s="2229"/>
      <c r="I11" s="2109"/>
    </row>
    <row r="12" spans="1:12" ht="12.75">
      <c r="A12" s="3264" t="s">
        <v>832</v>
      </c>
      <c r="B12" s="3272">
        <v>15</v>
      </c>
      <c r="C12" s="3354"/>
      <c r="D12" s="3275"/>
      <c r="E12" s="1888" t="s">
        <v>833</v>
      </c>
      <c r="F12" s="2229"/>
      <c r="G12" s="2229"/>
      <c r="H12" s="2229"/>
      <c r="I12" s="2109"/>
    </row>
    <row r="13" spans="1:12" ht="12.75">
      <c r="A13" s="3264"/>
      <c r="B13" s="3272"/>
      <c r="C13" s="3356"/>
      <c r="D13" s="3275"/>
      <c r="E13" s="1888" t="s">
        <v>834</v>
      </c>
      <c r="F13" s="2229"/>
      <c r="G13" s="2229"/>
      <c r="H13" s="2229"/>
      <c r="I13" s="2109"/>
    </row>
    <row r="14" spans="1:12" ht="12.75">
      <c r="A14" s="3264" t="s">
        <v>835</v>
      </c>
      <c r="B14" s="3272">
        <v>30</v>
      </c>
      <c r="C14" s="3354">
        <v>6</v>
      </c>
      <c r="D14" s="3275">
        <v>4</v>
      </c>
      <c r="E14" s="1888" t="s">
        <v>836</v>
      </c>
      <c r="F14" s="2229"/>
      <c r="G14" s="2229"/>
      <c r="H14" s="2229"/>
      <c r="I14" s="2109"/>
    </row>
    <row r="15" spans="1:12" ht="12.75">
      <c r="A15" s="3264"/>
      <c r="B15" s="3272"/>
      <c r="C15" s="3355"/>
      <c r="D15" s="3275"/>
      <c r="E15" s="1888" t="s">
        <v>837</v>
      </c>
      <c r="F15" s="2229"/>
      <c r="G15" s="2229"/>
      <c r="H15" s="2229"/>
      <c r="I15" s="2109"/>
    </row>
    <row r="16" spans="1:12" ht="12.75">
      <c r="A16" s="3264"/>
      <c r="B16" s="3272"/>
      <c r="C16" s="3356"/>
      <c r="D16" s="3275"/>
      <c r="E16" s="1888" t="s">
        <v>838</v>
      </c>
      <c r="F16" s="2229"/>
      <c r="G16" s="2229"/>
      <c r="H16" s="2229"/>
      <c r="I16" s="2109"/>
    </row>
    <row r="17" spans="1:36" ht="15">
      <c r="A17" s="2230" t="s">
        <v>839</v>
      </c>
      <c r="B17" s="2231"/>
      <c r="C17" s="2232">
        <f>SUM(C5:C16)</f>
        <v>6</v>
      </c>
      <c r="D17" s="2232">
        <f>SUM(D5:D16)</f>
        <v>4</v>
      </c>
      <c r="E17" s="939"/>
      <c r="F17" s="939"/>
      <c r="G17" s="939"/>
      <c r="H17" s="939"/>
      <c r="I17" s="939"/>
      <c r="K17" s="1848"/>
      <c r="L17" s="1848" t="s">
        <v>840</v>
      </c>
      <c r="M17" s="1848" t="s">
        <v>841</v>
      </c>
    </row>
    <row r="18" spans="1:36" ht="31.9" customHeight="1">
      <c r="A18" s="2233" t="s">
        <v>842</v>
      </c>
      <c r="B18" s="2234"/>
      <c r="C18" s="2235">
        <f>ROUND(C17/SUM(C17:D17),2)</f>
        <v>0.6</v>
      </c>
      <c r="D18" s="2235">
        <f>1-C18</f>
        <v>0.4</v>
      </c>
      <c r="E18" s="3345" t="s">
        <v>843</v>
      </c>
      <c r="F18" s="3346"/>
      <c r="G18" s="3346"/>
      <c r="H18" s="3346"/>
      <c r="I18" s="3346"/>
      <c r="K18" s="1848" t="s">
        <v>504</v>
      </c>
      <c r="L18" s="1848">
        <f>IF(C1="",'数据-汇总表'!E3,SUMIF(项目类型,C1,'数据-汇总表'!E17:E26)+SUMIF(项目类型,C1,'数据-汇总表'!I17:I26))</f>
        <v>158.43</v>
      </c>
      <c r="M18" s="1848">
        <f>IF(C1="",'数据-汇总表'!E3,SUMIF(项目类型,C1,'数据-汇总表'!E17:E26))</f>
        <v>158.43</v>
      </c>
    </row>
    <row r="19" spans="1:36" ht="15">
      <c r="A19" s="1230" t="s">
        <v>844</v>
      </c>
      <c r="B19" s="2236" t="s">
        <v>845</v>
      </c>
      <c r="C19" s="2237">
        <f ca="1">SUMIF(INDIRECT("'"&amp;C4&amp;"'"&amp;"!A:A"),结果表!B19,INDIRECT("'"&amp;C4&amp;"'"&amp;"!B:B"))</f>
        <v>329.17</v>
      </c>
      <c r="D19" s="1348">
        <f ca="1">SUMIF(INDIRECT("'"&amp;D4&amp;"'"&amp;"!A:A"),结果表!B19,INDIRECT("'"&amp;D4&amp;"'"&amp;"!B:B"))</f>
        <v>262.03530000000001</v>
      </c>
      <c r="E19" s="1230" t="s">
        <v>846</v>
      </c>
      <c r="F19" s="2236" t="s">
        <v>845</v>
      </c>
      <c r="G19" s="2238">
        <f ca="1">ROUND(C19*$C$18+D19*$D$18,0)</f>
        <v>302</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20777</v>
      </c>
      <c r="D20" s="1595">
        <f ca="1">SUMIF(INDIRECT("'"&amp;D4&amp;"'"&amp;"!A:A"),结果表!B20,INDIRECT("'"&amp;D4&amp;"'"&amp;"!B:B"))</f>
        <v>16540</v>
      </c>
      <c r="E20" s="2240"/>
      <c r="F20" s="2241" t="s">
        <v>848</v>
      </c>
      <c r="G20" s="2242">
        <f ca="1">ROUND(C20*$C$18+D20*$D$18,0)</f>
        <v>19082</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0.25620479378160121</v>
      </c>
      <c r="E22" s="939"/>
      <c r="F22" s="939"/>
      <c r="G22" s="939"/>
      <c r="H22" s="939"/>
      <c r="I22" s="939"/>
    </row>
    <row r="23" spans="1:36" ht="12.75">
      <c r="A23" s="1991"/>
      <c r="B23" s="1991"/>
      <c r="C23" s="1991"/>
      <c r="D23" s="1991"/>
      <c r="E23" s="939"/>
      <c r="F23" s="939"/>
      <c r="G23" s="939"/>
      <c r="H23" s="939"/>
      <c r="I23" s="939"/>
    </row>
    <row r="24" spans="1:36" ht="14.25">
      <c r="A24" s="3265" t="s">
        <v>852</v>
      </c>
      <c r="B24" s="2236" t="s">
        <v>845</v>
      </c>
      <c r="C24" s="2238">
        <f>IF(B30=0,0,D30)</f>
        <v>0</v>
      </c>
      <c r="D24" s="2252"/>
      <c r="E24" s="939"/>
      <c r="F24" s="939"/>
      <c r="G24" s="939"/>
      <c r="H24" s="939"/>
      <c r="I24" s="939"/>
    </row>
    <row r="25" spans="1:36" ht="14.25">
      <c r="A25" s="3266"/>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22449.411764705885</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19082</v>
      </c>
      <c r="D32" s="2264" t="s">
        <v>2780</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267" t="s">
        <v>867</v>
      </c>
      <c r="B36" s="2281" t="s">
        <v>868</v>
      </c>
      <c r="C36" s="2282"/>
      <c r="D36" s="2283"/>
      <c r="E36" s="2284"/>
      <c r="F36" s="2285"/>
      <c r="G36" s="939"/>
      <c r="H36" s="939"/>
      <c r="I36" s="939"/>
    </row>
    <row r="37" spans="1:15" ht="15">
      <c r="A37" s="3268"/>
      <c r="B37" s="2286" t="s">
        <v>869</v>
      </c>
      <c r="C37" s="2287"/>
      <c r="D37" s="2288"/>
      <c r="E37" s="2288"/>
      <c r="F37" s="2285"/>
      <c r="G37" s="939"/>
      <c r="H37" s="939"/>
      <c r="I37" s="939"/>
    </row>
    <row r="38" spans="1:15" ht="15">
      <c r="A38" s="3269"/>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347" t="s">
        <v>878</v>
      </c>
      <c r="B45" s="3348"/>
      <c r="C45" s="3349"/>
      <c r="D45" s="1847">
        <f ca="1">ROUND(H101*F45,0)</f>
        <v>302</v>
      </c>
      <c r="E45" s="2307" t="s">
        <v>879</v>
      </c>
      <c r="F45" s="2308">
        <v>1</v>
      </c>
      <c r="G45" s="1858" t="s">
        <v>880</v>
      </c>
      <c r="H45" s="939"/>
      <c r="I45" s="939"/>
      <c r="J45" s="3336" t="s">
        <v>881</v>
      </c>
      <c r="K45" s="3336"/>
      <c r="L45" s="3336"/>
      <c r="M45" s="3336"/>
      <c r="N45" s="3336"/>
      <c r="O45" s="3336"/>
    </row>
    <row r="46" spans="1:15" ht="14.25" customHeight="1">
      <c r="A46" s="3350" t="s">
        <v>882</v>
      </c>
      <c r="B46" s="3351"/>
      <c r="C46" s="3351"/>
      <c r="D46" s="3351"/>
      <c r="E46" s="3351"/>
      <c r="F46" s="3351"/>
      <c r="G46" s="3352"/>
      <c r="H46" s="2309"/>
      <c r="I46" s="940"/>
      <c r="J46" s="580">
        <v>1</v>
      </c>
      <c r="K46" s="3326" t="s">
        <v>883</v>
      </c>
      <c r="L46" s="3326"/>
      <c r="M46" s="3353"/>
      <c r="N46" s="3353"/>
      <c r="O46" s="3353"/>
    </row>
    <row r="47" spans="1:15" ht="12" customHeight="1">
      <c r="A47" s="2310" t="s">
        <v>884</v>
      </c>
      <c r="B47" s="2311"/>
      <c r="C47" s="2312"/>
      <c r="D47" s="1897" t="s">
        <v>885</v>
      </c>
      <c r="E47" s="1848" t="s">
        <v>886</v>
      </c>
      <c r="F47" s="2313" t="s">
        <v>887</v>
      </c>
      <c r="G47" s="2314" t="s">
        <v>888</v>
      </c>
      <c r="H47" s="2315"/>
      <c r="I47" s="940"/>
      <c r="J47" s="580">
        <v>2</v>
      </c>
      <c r="K47" s="3326" t="s">
        <v>889</v>
      </c>
      <c r="L47" s="3326"/>
      <c r="M47" s="3333">
        <f>'数据-取费表'!B2</f>
        <v>45975</v>
      </c>
      <c r="N47" s="3333"/>
      <c r="O47" s="3333"/>
    </row>
    <row r="48" spans="1:15" ht="25.5">
      <c r="A48" s="3334" t="s">
        <v>890</v>
      </c>
      <c r="B48" s="3328"/>
      <c r="C48" s="3328"/>
      <c r="D48" s="1998" t="b">
        <f>IF(H48="情况1",0,IF(H48="情况2",D52,IF(H48="情况3",D53,IF(H48="情况4",D54))))</f>
        <v>0</v>
      </c>
      <c r="E48" s="1901" t="str">
        <f>IF(H48="情况4","(销售额-原购置价)×税（费）率","销售额×税（费）率")</f>
        <v>销售额×税（费）率</v>
      </c>
      <c r="F48" s="2317">
        <f>IF(H48="情况1","免征",'数据-取费表'!B41)</f>
        <v>5.5000000000000007E-2</v>
      </c>
      <c r="G48" s="2318" t="s">
        <v>891</v>
      </c>
      <c r="H48" s="2319"/>
      <c r="I48" s="2309"/>
      <c r="J48" s="580">
        <v>3</v>
      </c>
      <c r="K48" s="3326" t="s">
        <v>892</v>
      </c>
      <c r="L48" s="3326"/>
      <c r="M48" s="3335">
        <f ca="1">H101</f>
        <v>302</v>
      </c>
      <c r="N48" s="3335"/>
      <c r="O48" s="3335"/>
    </row>
    <row r="49" spans="1:35" ht="25.5" customHeight="1">
      <c r="A49" s="2316" t="s">
        <v>893</v>
      </c>
      <c r="B49" s="3302" t="s">
        <v>894</v>
      </c>
      <c r="C49" s="3302"/>
      <c r="D49" s="2320">
        <v>0</v>
      </c>
      <c r="E49" s="1907" t="s">
        <v>895</v>
      </c>
      <c r="F49" s="2321" t="s">
        <v>124</v>
      </c>
      <c r="G49" s="3329"/>
      <c r="H49" s="2322" t="s">
        <v>896</v>
      </c>
      <c r="I49" s="2356"/>
      <c r="J49" s="580">
        <v>4</v>
      </c>
      <c r="K49" s="3326" t="str">
        <f>IF(项目基本情况!E8="房地产抵押价值","房地产抵押价值","抵押担保权已注销时的房地产抵押价值")</f>
        <v>房地产抵押价值</v>
      </c>
      <c r="L49" s="3326"/>
      <c r="M49" s="3335">
        <f ca="1">IF(项目基本情况!E8="房地产抵押价值",H107,H109)</f>
        <v>302</v>
      </c>
      <c r="N49" s="3335"/>
      <c r="O49" s="3335"/>
    </row>
    <row r="50" spans="1:35" ht="25.5" customHeight="1">
      <c r="A50" s="2323"/>
      <c r="B50" s="3302" t="s">
        <v>897</v>
      </c>
      <c r="C50" s="3302"/>
      <c r="D50" s="2324"/>
      <c r="E50" s="1922"/>
      <c r="F50" s="2321"/>
      <c r="G50" s="3330"/>
      <c r="H50" s="2325" t="s">
        <v>898</v>
      </c>
      <c r="I50" s="2356"/>
      <c r="J50" s="3336" t="s">
        <v>899</v>
      </c>
      <c r="K50" s="3336"/>
      <c r="L50" s="3336"/>
      <c r="M50" s="3336"/>
      <c r="N50" s="3336"/>
      <c r="O50" s="3336"/>
    </row>
    <row r="51" spans="1:35" ht="20.45" customHeight="1">
      <c r="A51" s="2326"/>
      <c r="B51" s="3302" t="s">
        <v>900</v>
      </c>
      <c r="C51" s="3302"/>
      <c r="D51" s="1897"/>
      <c r="E51" s="1911"/>
      <c r="F51" s="2321"/>
      <c r="G51" s="3331"/>
      <c r="H51" s="2325" t="s">
        <v>901</v>
      </c>
      <c r="I51" s="2356"/>
      <c r="J51" s="2355" t="s">
        <v>902</v>
      </c>
      <c r="K51" s="3326" t="s">
        <v>903</v>
      </c>
      <c r="L51" s="3326"/>
      <c r="M51" s="2355" t="s">
        <v>904</v>
      </c>
      <c r="N51" s="2355" t="s">
        <v>905</v>
      </c>
      <c r="O51" s="2355" t="s">
        <v>906</v>
      </c>
    </row>
    <row r="52" spans="1:35" ht="24" customHeight="1">
      <c r="A52" s="2327" t="s">
        <v>907</v>
      </c>
      <c r="B52" s="3302" t="s">
        <v>908</v>
      </c>
      <c r="C52" s="3302"/>
      <c r="D52" s="1897">
        <f ca="1">ROUND(D45*'数据-取费表'!B41/(1+'数据-取费表'!C42),0)</f>
        <v>16</v>
      </c>
      <c r="E52" s="1901" t="s">
        <v>909</v>
      </c>
      <c r="F52" s="2328">
        <f>'数据-取费表'!B41</f>
        <v>5.5000000000000007E-2</v>
      </c>
      <c r="G52" s="2329"/>
      <c r="H52" s="2012"/>
      <c r="I52" s="2357"/>
      <c r="J52" s="580">
        <v>1</v>
      </c>
      <c r="K52" s="3322" t="s">
        <v>910</v>
      </c>
      <c r="L52" s="3322"/>
      <c r="M52" s="2358" t="b">
        <f>D48</f>
        <v>0</v>
      </c>
      <c r="N52" s="580" t="str">
        <f>E48</f>
        <v>销售额×税（费）率</v>
      </c>
      <c r="O52" s="2359">
        <f>F48</f>
        <v>5.5000000000000007E-2</v>
      </c>
    </row>
    <row r="53" spans="1:35" ht="12" customHeight="1">
      <c r="A53" s="2327" t="s">
        <v>911</v>
      </c>
      <c r="B53" s="3301" t="s">
        <v>912</v>
      </c>
      <c r="C53" s="3318"/>
      <c r="D53" s="1897">
        <f ca="1">ROUND(D45*'数据-取费表'!B41/(1+'数据-取费表'!C42),0)</f>
        <v>16</v>
      </c>
      <c r="E53" s="1901" t="s">
        <v>909</v>
      </c>
      <c r="F53" s="2328">
        <f>'数据-取费表'!B41</f>
        <v>5.5000000000000007E-2</v>
      </c>
      <c r="G53" s="2329"/>
      <c r="H53" s="2012"/>
      <c r="I53" s="2357"/>
      <c r="J53" s="580">
        <v>2</v>
      </c>
      <c r="K53" s="3322" t="s">
        <v>913</v>
      </c>
      <c r="L53" s="3322"/>
      <c r="M53" s="2358">
        <f t="shared" ref="M53:O54" ca="1" si="0">D55</f>
        <v>0</v>
      </c>
      <c r="N53" s="580" t="str">
        <f t="shared" si="0"/>
        <v>销售额×税（费）率</v>
      </c>
      <c r="O53" s="2359" t="str">
        <f t="shared" si="0"/>
        <v>免征</v>
      </c>
    </row>
    <row r="54" spans="1:35" ht="12" customHeight="1">
      <c r="A54" s="2327" t="s">
        <v>914</v>
      </c>
      <c r="B54" s="3301" t="s">
        <v>915</v>
      </c>
      <c r="C54" s="3318"/>
      <c r="D54" s="1897">
        <f ca="1">C68</f>
        <v>16</v>
      </c>
      <c r="E54" s="1911" t="s">
        <v>916</v>
      </c>
      <c r="F54" s="2328">
        <f>'数据-取费表'!B41</f>
        <v>5.5000000000000007E-2</v>
      </c>
      <c r="G54" s="2329"/>
      <c r="H54" s="2330"/>
      <c r="I54" s="2357"/>
      <c r="J54" s="580">
        <v>3</v>
      </c>
      <c r="K54" s="3322" t="s">
        <v>917</v>
      </c>
      <c r="L54" s="3322"/>
      <c r="M54" s="2358">
        <f t="shared" ca="1" si="0"/>
        <v>172</v>
      </c>
      <c r="N54" s="580" t="str">
        <f t="shared" si="0"/>
        <v>增值额×税（费）率</v>
      </c>
      <c r="O54" s="2360" t="str">
        <f t="shared" si="0"/>
        <v>免征</v>
      </c>
    </row>
    <row r="55" spans="1:35" ht="24" customHeight="1">
      <c r="A55" s="3327" t="s">
        <v>918</v>
      </c>
      <c r="B55" s="3328"/>
      <c r="C55" s="3328"/>
      <c r="D55" s="1998">
        <f ca="1">IF(H55="个人住宅",0,ROUND(D45*I55,0))</f>
        <v>0</v>
      </c>
      <c r="E55" s="1901" t="s">
        <v>919</v>
      </c>
      <c r="F55" s="2328" t="str">
        <f>IF(H55="正常",I55,"免征")</f>
        <v>免征</v>
      </c>
      <c r="G55" s="2329"/>
      <c r="H55" s="2319"/>
      <c r="I55" s="2361">
        <f>'数据-取费表'!B49</f>
        <v>5.0000000000000001E-4</v>
      </c>
      <c r="J55" s="580">
        <f>IF(H59="非个人房产","",4)</f>
        <v>4</v>
      </c>
      <c r="K55" s="3322" t="str">
        <f>IF(H59="非个人房产","——","个人所得税")</f>
        <v>个人所得税</v>
      </c>
      <c r="L55" s="3322"/>
      <c r="M55" s="2362">
        <f ca="1">D59</f>
        <v>3</v>
      </c>
      <c r="N55" s="561" t="str">
        <f>E59</f>
        <v>差额计税</v>
      </c>
      <c r="O55" s="2363">
        <f>F59</f>
        <v>0.01</v>
      </c>
    </row>
    <row r="56" spans="1:35" ht="24.75">
      <c r="A56" s="3327" t="s">
        <v>920</v>
      </c>
      <c r="B56" s="3328"/>
      <c r="C56" s="3328"/>
      <c r="D56" s="1998">
        <f ca="1">IF(H56="个人住宅",D57,D58)</f>
        <v>172</v>
      </c>
      <c r="E56" s="1901" t="s">
        <v>921</v>
      </c>
      <c r="F56" s="2328" t="str">
        <f>IF(H56="正常",F58,"免征")</f>
        <v>免征</v>
      </c>
      <c r="G56" s="2331" t="s">
        <v>922</v>
      </c>
      <c r="H56" s="2332"/>
      <c r="I56" s="2341"/>
      <c r="J56" s="580" t="str">
        <f>IF(项目基本情况!K6="上海银行",IF(J55="",4,J55+1),"")</f>
        <v/>
      </c>
      <c r="K56" s="3316" t="str">
        <f>IF(项目基本情况!K6="上海银行","其他处置费用","")</f>
        <v/>
      </c>
      <c r="L56" s="3332"/>
      <c r="M56" s="2358" t="str">
        <f>IF(项目基本情况!K6="上海银行",M69,"")</f>
        <v/>
      </c>
      <c r="N56" s="3316" t="str">
        <f>IF(项目基本情况!K6="上海银行","包含处置中涉及的律师、诉讼、拍卖、评估等费用","")</f>
        <v/>
      </c>
      <c r="O56" s="3317"/>
    </row>
    <row r="57" spans="1:35" ht="12.75">
      <c r="A57" s="2327" t="s">
        <v>893</v>
      </c>
      <c r="B57" s="3301" t="s">
        <v>923</v>
      </c>
      <c r="C57" s="3318"/>
      <c r="D57" s="2320">
        <v>0</v>
      </c>
      <c r="E57" s="1907" t="s">
        <v>895</v>
      </c>
      <c r="F57" s="1848"/>
      <c r="G57" s="2329"/>
      <c r="H57" s="2333"/>
      <c r="I57" s="2341"/>
      <c r="J57" s="3322">
        <f>IF(AND(J55="",J56=""),4,IF(项目基本情况!K6="上海银行",结果表!J56+1,结果表!J55+1))</f>
        <v>5</v>
      </c>
      <c r="K57" s="3322" t="s">
        <v>924</v>
      </c>
      <c r="L57" s="2364" t="s">
        <v>925</v>
      </c>
      <c r="M57" s="2365"/>
      <c r="N57" s="2366">
        <f ca="1">SUMIF(M52:M56,"&lt;9e307")</f>
        <v>175</v>
      </c>
      <c r="O57" s="2367"/>
      <c r="P57" s="2368">
        <f ca="1">N57/M49</f>
        <v>0.57947019867549665</v>
      </c>
    </row>
    <row r="58" spans="1:35" ht="24.75">
      <c r="A58" s="2327" t="s">
        <v>907</v>
      </c>
      <c r="B58" s="3301" t="s">
        <v>926</v>
      </c>
      <c r="C58" s="3302"/>
      <c r="D58" s="1998">
        <f ca="1">IF(H58="转让取得",C81,C97)</f>
        <v>172</v>
      </c>
      <c r="E58" s="1901" t="s">
        <v>921</v>
      </c>
      <c r="F58" s="1848" t="s">
        <v>124</v>
      </c>
      <c r="G58" s="2329"/>
      <c r="H58" s="2332"/>
      <c r="I58" s="2341"/>
      <c r="J58" s="3322"/>
      <c r="K58" s="3322"/>
      <c r="L58" s="2364" t="s">
        <v>927</v>
      </c>
      <c r="M58" s="2369"/>
      <c r="N58" s="2370" t="str">
        <f ca="1">NUMBERSTRING(INT(N57*10000),2)&amp;"元整"</f>
        <v>壹佰柒拾伍万元整</v>
      </c>
      <c r="O58" s="2371"/>
    </row>
    <row r="59" spans="1:35" ht="24">
      <c r="A59" s="3319" t="s">
        <v>928</v>
      </c>
      <c r="B59" s="3320"/>
      <c r="C59" s="3320"/>
      <c r="D59" s="2334">
        <f ca="1">IF(H59="非个人房产","——",IF(H59="个人住宅（满五唯一有凭证）",0,IF(H59="个人其他（无凭证）",ROUND(D45/(1+'数据-取费表'!C42)*F59,0),ROUND(C67*F59,0))))</f>
        <v>3</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23">
        <f>J57+1</f>
        <v>6</v>
      </c>
      <c r="K59" s="3322" t="s">
        <v>930</v>
      </c>
      <c r="L59" s="580" t="s">
        <v>925</v>
      </c>
      <c r="M59" s="2373"/>
      <c r="N59" s="2374">
        <f ca="1">M49-N57</f>
        <v>127</v>
      </c>
      <c r="O59" s="2375"/>
    </row>
    <row r="60" spans="1:35" ht="12" customHeight="1">
      <c r="A60" s="2339"/>
      <c r="B60" s="1991"/>
      <c r="C60" s="1991"/>
      <c r="D60" s="1991"/>
      <c r="E60" s="2340"/>
      <c r="F60" s="2341"/>
      <c r="G60" s="2341"/>
      <c r="H60" s="940"/>
      <c r="I60" s="939"/>
      <c r="J60" s="3324"/>
      <c r="K60" s="3322"/>
      <c r="L60" s="2364" t="s">
        <v>927</v>
      </c>
      <c r="M60" s="2369"/>
      <c r="N60" s="2370" t="str">
        <f ca="1">NUMBERSTRING(INT(N59*10000),2)&amp;"元整"</f>
        <v>壹佰贰拾柒万元整</v>
      </c>
      <c r="O60" s="2371"/>
    </row>
    <row r="61" spans="1:35" ht="12.75">
      <c r="A61" s="3321" t="s">
        <v>931</v>
      </c>
      <c r="B61" s="3321"/>
      <c r="C61" s="3321"/>
      <c r="D61" s="3321"/>
      <c r="E61" s="3321"/>
      <c r="F61" s="2341"/>
      <c r="G61" s="2341"/>
      <c r="H61" s="940"/>
      <c r="I61" s="939"/>
      <c r="J61" s="580">
        <f>J59+1</f>
        <v>7</v>
      </c>
      <c r="K61" s="3322" t="s">
        <v>932</v>
      </c>
      <c r="L61" s="3322"/>
      <c r="M61" s="2376"/>
      <c r="N61" s="2377">
        <f ca="1">ROUND(N59*10000/'数据-汇总表'!E3,0)</f>
        <v>8016</v>
      </c>
      <c r="O61" s="2378"/>
    </row>
    <row r="62" spans="1:35" ht="12.75">
      <c r="A62" s="3299" t="s">
        <v>933</v>
      </c>
      <c r="B62" s="3300"/>
      <c r="C62" s="532"/>
      <c r="D62" s="532" t="s">
        <v>934</v>
      </c>
      <c r="E62" s="2342" t="s">
        <v>888</v>
      </c>
      <c r="F62" s="2341"/>
      <c r="G62" s="2341"/>
      <c r="H62" s="940"/>
      <c r="I62" s="939"/>
    </row>
    <row r="63" spans="1:35" ht="12.75">
      <c r="A63" s="2343" t="s">
        <v>935</v>
      </c>
      <c r="B63" s="590" t="s">
        <v>936</v>
      </c>
      <c r="C63" s="2344">
        <f ca="1">ROUND((C64+C65)/(1+'数据-取费表'!C42),0)</f>
        <v>288</v>
      </c>
      <c r="D63" s="590"/>
      <c r="E63" s="2345"/>
      <c r="F63" s="2341"/>
      <c r="G63" s="2341"/>
      <c r="H63" s="940"/>
      <c r="I63" s="939"/>
      <c r="J63" s="3325" t="s">
        <v>937</v>
      </c>
      <c r="K63" s="2379" t="s">
        <v>938</v>
      </c>
      <c r="L63" s="2379">
        <f ca="1">IF(M49&gt;10000,M49*0.5%,IF(AND(M49&gt;1000,M49&lt;=10000),M49*1%,IF(AND(M49&gt;100,M49&lt;=1000),M49*3%,IF(AND(M49&gt;10,M49&lt;=100),M49*5%,M49*8%))))</f>
        <v>9.06</v>
      </c>
      <c r="M63" s="1848">
        <f ca="1">ROUND(L63,1)</f>
        <v>9.1</v>
      </c>
      <c r="N63" s="2380"/>
      <c r="Z63" s="2218"/>
      <c r="AI63" s="2217"/>
    </row>
    <row r="64" spans="1:35" ht="14.25" customHeight="1">
      <c r="A64" s="2346" t="s">
        <v>939</v>
      </c>
      <c r="B64" s="513" t="s">
        <v>940</v>
      </c>
      <c r="C64" s="2347">
        <f ca="1">D45</f>
        <v>302</v>
      </c>
      <c r="D64" s="513" t="s">
        <v>124</v>
      </c>
      <c r="E64" s="2348"/>
      <c r="F64" s="2341"/>
      <c r="G64" s="2341"/>
      <c r="H64" s="940"/>
      <c r="I64" s="939"/>
      <c r="J64" s="3325"/>
      <c r="K64" s="2379" t="s">
        <v>941</v>
      </c>
      <c r="L64" s="2379">
        <f ca="1">IF(M49&gt;2000,M49*0.5%,IF(AND(M49&gt;1000,M49&lt;=2000),M49*0.6%,IF(AND(M49&gt;500,M49&lt;=1000),M49*0.7%,IF(AND(M49&gt;200,M49&lt;=500),M49*0.8%,IF(AND(M49&gt;100,M49&lt;=200),M49*0.9%,IF(AND(M49&gt;50,M49&lt;=100),M49*1%,IF(AND(M49&gt;20,M49&lt;=50),M49*1.5%,IF(AND(M49&gt;10,M49&lt;=20),M49*2%,IF(AND(M49&gt;1,M49&lt;=10),M49*2.5%)))))))))</f>
        <v>2.4159999999999999</v>
      </c>
      <c r="M64" s="1848">
        <f t="shared" ref="M64:M65" ca="1" si="1">ROUND(L64,1)</f>
        <v>2.4</v>
      </c>
      <c r="N64" s="2012" t="s">
        <v>942</v>
      </c>
      <c r="Z64" s="2218"/>
      <c r="AI64" s="2217"/>
    </row>
    <row r="65" spans="1:35" ht="14.25" customHeight="1">
      <c r="A65" s="2346" t="s">
        <v>943</v>
      </c>
      <c r="B65" s="513" t="s">
        <v>944</v>
      </c>
      <c r="C65" s="2382"/>
      <c r="D65" s="513"/>
      <c r="E65" s="2348"/>
      <c r="F65" s="2341"/>
      <c r="G65" s="2341"/>
      <c r="H65" s="940"/>
      <c r="I65" s="939"/>
      <c r="J65" s="3325"/>
      <c r="K65" s="2379" t="s">
        <v>945</v>
      </c>
      <c r="L65" s="2379">
        <f ca="1">IF(M49&gt;1000,M49*0.1%,IF(AND(M49&gt;500,M49&lt;=1000),M49*0.5%,IF(AND(M49&gt;50,M49&lt;=500),M49*1%,IF(AND(M49&gt;1,M49&lt;=50),M49*1.5%))))</f>
        <v>3.02</v>
      </c>
      <c r="M65" s="1848">
        <f t="shared" ca="1" si="1"/>
        <v>3</v>
      </c>
      <c r="N65" s="2012" t="s">
        <v>942</v>
      </c>
      <c r="Z65" s="2218"/>
      <c r="AI65" s="2217"/>
    </row>
    <row r="66" spans="1:35" ht="14.25" customHeight="1">
      <c r="A66" s="2343" t="s">
        <v>946</v>
      </c>
      <c r="B66" s="2383" t="s">
        <v>947</v>
      </c>
      <c r="C66" s="2384"/>
      <c r="D66" s="2383" t="s">
        <v>124</v>
      </c>
      <c r="E66" s="2385" t="s">
        <v>948</v>
      </c>
      <c r="F66" s="2341"/>
      <c r="G66" s="2341"/>
      <c r="H66" s="940"/>
      <c r="I66" s="939"/>
      <c r="J66" s="3325"/>
      <c r="K66" s="2379" t="s">
        <v>949</v>
      </c>
      <c r="L66" s="2379">
        <f ca="1">M49*0.5%</f>
        <v>1.51</v>
      </c>
      <c r="M66" s="1848">
        <f ca="1">IF(L66&gt;0.5,0.5,ROUND(L66,0))</f>
        <v>0.5</v>
      </c>
      <c r="N66" s="2012" t="s">
        <v>950</v>
      </c>
      <c r="Z66" s="2218"/>
      <c r="AI66" s="2217"/>
    </row>
    <row r="67" spans="1:35" ht="14.25" customHeight="1">
      <c r="A67" s="2343" t="s">
        <v>951</v>
      </c>
      <c r="B67" s="2383" t="s">
        <v>952</v>
      </c>
      <c r="C67" s="2386">
        <f ca="1">C63-C66</f>
        <v>288</v>
      </c>
      <c r="D67" s="513" t="s">
        <v>124</v>
      </c>
      <c r="E67" s="2348"/>
      <c r="F67" s="2341"/>
      <c r="G67" s="2341"/>
      <c r="H67" s="940"/>
      <c r="I67" s="939"/>
      <c r="J67" s="3325"/>
      <c r="K67" s="2379" t="s">
        <v>953</v>
      </c>
      <c r="L67" s="2379">
        <f ca="1">IF(M49&gt;=10000,(8.25+(M49-10000)*0.01%),IF(AND(M49&gt;=8000,M49&lt;10000),(7.85+(M49-8000)*0.02%),IF(AND(M49&gt;=5000,M49&lt;8000),(6.65+(M49-5000)*0.04%),IF(AND(M49&gt;=2000,M49&lt;5000),(4.25+(PM49-2000)*0.08%),IF(AND(M49&gt;=1000,M49&lt;2000),(2.75+(M49-1000)*0.15%),IF(AND(M49&gt;=100,M49&lt;1000),(0.5+(M49-100)*0.25%),IF(AND(M49&gt;0,M49&lt;100),M49*0.5%)))))))</f>
        <v>1.0049999999999999</v>
      </c>
      <c r="M67" s="1848">
        <f ca="1">ROUND(L67*0.9,1)</f>
        <v>0.9</v>
      </c>
      <c r="N67" s="2380"/>
      <c r="Z67" s="2218"/>
      <c r="AI67" s="2217"/>
    </row>
    <row r="68" spans="1:35" ht="14.25" customHeight="1">
      <c r="A68" s="2387" t="s">
        <v>954</v>
      </c>
      <c r="B68" s="2388" t="s">
        <v>955</v>
      </c>
      <c r="C68" s="2389">
        <f ca="1">IF(C67&lt;=0,0,ROUND(C67*D68,0))</f>
        <v>16</v>
      </c>
      <c r="D68" s="775">
        <f>'数据-取费表'!B41</f>
        <v>5.5000000000000007E-2</v>
      </c>
      <c r="E68" s="2390"/>
      <c r="F68" s="2341"/>
      <c r="G68" s="2341"/>
      <c r="H68" s="940"/>
      <c r="I68" s="939"/>
      <c r="J68" s="3325"/>
      <c r="K68" s="2379" t="s">
        <v>956</v>
      </c>
      <c r="L68" s="2379">
        <f ca="1">IF(M49&gt;10000,M49*0.5%,IF(AND(M49&gt;5000,M49&lt;=10000),M49*1%,IF(AND(M49&gt;1000,M49&lt;=5000),M49*2%,IF(AND(M49&gt;200,M49&lt;=1000),M49*3%,M49*5%))))</f>
        <v>9.06</v>
      </c>
      <c r="M68" s="1848">
        <f ca="1">ROUND(L68,1)</f>
        <v>9.1</v>
      </c>
      <c r="N68" s="2380"/>
      <c r="Z68" s="2218"/>
      <c r="AI68" s="2217"/>
    </row>
    <row r="69" spans="1:35" ht="16.5" customHeight="1">
      <c r="A69" s="2391"/>
      <c r="B69" s="2392"/>
      <c r="C69" s="2393"/>
      <c r="D69" s="697"/>
      <c r="E69" s="2394"/>
      <c r="F69" s="2340"/>
      <c r="G69" s="2340"/>
      <c r="H69" s="2301"/>
      <c r="I69" s="1991"/>
      <c r="J69" s="3325"/>
      <c r="K69" s="2379" t="s">
        <v>957</v>
      </c>
      <c r="L69" s="2379"/>
      <c r="M69" s="1848">
        <f ca="1">ROUND(SUM(M63:M68),0)</f>
        <v>25</v>
      </c>
      <c r="N69" s="2454">
        <f ca="1">M69/M49</f>
        <v>8.2781456953642391E-2</v>
      </c>
      <c r="Z69" s="2218"/>
      <c r="AI69" s="2217"/>
    </row>
    <row r="70" spans="1:35" s="880" customFormat="1" ht="14.25">
      <c r="A70" s="3297" t="s">
        <v>958</v>
      </c>
      <c r="B70" s="3298"/>
      <c r="C70" s="3298"/>
      <c r="D70" s="3298"/>
      <c r="E70" s="3298"/>
      <c r="F70" s="3298"/>
      <c r="G70" s="3298"/>
      <c r="H70" s="3298"/>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299" t="s">
        <v>933</v>
      </c>
      <c r="B71" s="3300"/>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288</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1</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301" t="s">
        <v>968</v>
      </c>
      <c r="F76" s="3302"/>
      <c r="G76" s="3302"/>
      <c r="H76" s="3303"/>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v>
      </c>
      <c r="D78" s="2409">
        <f>'数据-取费表'!B43</f>
        <v>5.000000000000001E-3</v>
      </c>
      <c r="E78" s="3279" t="s">
        <v>973</v>
      </c>
      <c r="F78" s="3280"/>
      <c r="G78" s="3280"/>
      <c r="H78" s="3281"/>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287</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287</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172</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297" t="s">
        <v>978</v>
      </c>
      <c r="B83" s="3298"/>
      <c r="C83" s="3298"/>
      <c r="D83" s="3298"/>
      <c r="E83" s="3298"/>
      <c r="F83" s="3298"/>
      <c r="G83" s="3298"/>
      <c r="H83" s="3298"/>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299" t="s">
        <v>933</v>
      </c>
      <c r="B84" s="3300"/>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288</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1</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11" t="s">
        <v>986</v>
      </c>
      <c r="H90" s="3312"/>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279" t="s">
        <v>990</v>
      </c>
      <c r="F91" s="3280"/>
      <c r="G91" s="3280"/>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279" t="s">
        <v>993</v>
      </c>
      <c r="F92" s="3280"/>
      <c r="G92" s="3280"/>
      <c r="H92" s="3281"/>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v>
      </c>
      <c r="D93" s="2409">
        <f>'数据-取费表'!B43</f>
        <v>5.000000000000001E-3</v>
      </c>
      <c r="E93" s="3279" t="s">
        <v>973</v>
      </c>
      <c r="F93" s="3280"/>
      <c r="G93" s="3280"/>
      <c r="H93" s="3281"/>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282" t="s">
        <v>998</v>
      </c>
      <c r="F94" s="3283"/>
      <c r="G94" s="3283"/>
      <c r="H94" s="3284"/>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287</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287</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172</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7" t="s">
        <v>1000</v>
      </c>
      <c r="B100" s="3258"/>
      <c r="C100" s="3258"/>
      <c r="D100" s="3285"/>
      <c r="E100" s="3258" t="s">
        <v>1001</v>
      </c>
      <c r="F100" s="3258"/>
      <c r="G100" s="3258"/>
      <c r="H100" s="3285"/>
      <c r="I100" s="939"/>
    </row>
    <row r="101" spans="1:35" ht="18.75" customHeight="1">
      <c r="A101" s="3286" t="s">
        <v>1002</v>
      </c>
      <c r="B101" s="3287"/>
      <c r="C101" s="2431" t="str">
        <f>C4</f>
        <v>比较法-办公</v>
      </c>
      <c r="D101" s="2432" t="str">
        <f>D4</f>
        <v>收益法 (元)</v>
      </c>
      <c r="E101" s="3310" t="s">
        <v>1003</v>
      </c>
      <c r="F101" s="3305"/>
      <c r="G101" s="2434" t="s">
        <v>1004</v>
      </c>
      <c r="H101" s="2435">
        <f ca="1">H118</f>
        <v>302</v>
      </c>
      <c r="I101" s="939"/>
    </row>
    <row r="102" spans="1:35" ht="18.75" customHeight="1">
      <c r="A102" s="3270" t="s">
        <v>1005</v>
      </c>
      <c r="B102" s="2436" t="s">
        <v>1004</v>
      </c>
      <c r="C102" s="2431">
        <f ca="1">IF(D32="楼面单价",ROUND(C19,0),C19)</f>
        <v>329</v>
      </c>
      <c r="D102" s="2432">
        <f ca="1">IF(D32="楼面单价",ROUND(D19,0),D19)</f>
        <v>262</v>
      </c>
      <c r="E102" s="3310"/>
      <c r="F102" s="3305"/>
      <c r="G102" s="2434" t="s">
        <v>99</v>
      </c>
      <c r="H102" s="2329">
        <f ca="1">I118</f>
        <v>19082</v>
      </c>
      <c r="I102" s="939"/>
    </row>
    <row r="103" spans="1:35" ht="42.75" customHeight="1">
      <c r="A103" s="3270"/>
      <c r="B103" s="2436" t="s">
        <v>99</v>
      </c>
      <c r="C103" s="2437">
        <f ca="1">C20</f>
        <v>20777</v>
      </c>
      <c r="D103" s="2438">
        <f ca="1">D20</f>
        <v>16540</v>
      </c>
      <c r="E103" s="3288" t="s">
        <v>1006</v>
      </c>
      <c r="F103" s="3289"/>
      <c r="G103" s="2439" t="s">
        <v>102</v>
      </c>
      <c r="H103" s="2435">
        <f>IF(D36="正常操作",H104+H105+H106,H105+H106)</f>
        <v>0</v>
      </c>
      <c r="I103" s="939"/>
    </row>
    <row r="104" spans="1:35" ht="18.75" customHeight="1">
      <c r="A104" s="3270" t="s">
        <v>1007</v>
      </c>
      <c r="B104" s="2440" t="s">
        <v>1004</v>
      </c>
      <c r="C104" s="2441">
        <f ca="1">H118</f>
        <v>302</v>
      </c>
      <c r="D104" s="2442"/>
      <c r="E104" s="2286" t="s">
        <v>1008</v>
      </c>
      <c r="F104" s="2443"/>
      <c r="G104" s="2439" t="s">
        <v>102</v>
      </c>
      <c r="H104" s="2444">
        <f>IF(D36="同一抵押权人同一抵押物续贷",C36&amp;"（续贷，未扣减，详见特别提示）",C36)</f>
        <v>0</v>
      </c>
      <c r="I104" s="939"/>
    </row>
    <row r="105" spans="1:35" ht="18.75" customHeight="1">
      <c r="A105" s="3271"/>
      <c r="B105" s="2445" t="s">
        <v>99</v>
      </c>
      <c r="C105" s="2446">
        <f ca="1">I118</f>
        <v>19082</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3174">
        <f ca="1">H108*B118</f>
        <v>3023161.2600000002</v>
      </c>
      <c r="E107" s="3304" t="str">
        <f>IF(项目基本情况!E8="已注销","——","3.房地产抵押价值")</f>
        <v>3.房地产抵押价值</v>
      </c>
      <c r="F107" s="3305"/>
      <c r="G107" s="2434" t="s">
        <v>1004</v>
      </c>
      <c r="H107" s="2435">
        <f ca="1">IF(E107="——","——",H101-H103)</f>
        <v>302</v>
      </c>
      <c r="I107" s="939"/>
    </row>
    <row r="108" spans="1:35" ht="18.75" customHeight="1">
      <c r="A108" s="939"/>
      <c r="B108" s="939"/>
      <c r="C108" s="939"/>
      <c r="D108" s="939"/>
      <c r="E108" s="3304"/>
      <c r="F108" s="3305"/>
      <c r="G108" s="2434" t="s">
        <v>99</v>
      </c>
      <c r="H108" s="2329">
        <f ca="1">IF(H107=H101,H102,ROUND(H107*10000/'数据-汇总表'!E3,0))</f>
        <v>19082</v>
      </c>
      <c r="I108" s="939"/>
    </row>
    <row r="109" spans="1:35" ht="18.75" customHeight="1">
      <c r="A109" s="939"/>
      <c r="B109" s="939"/>
      <c r="C109" s="939"/>
      <c r="D109" s="939"/>
      <c r="E109" s="3304" t="str">
        <f>IF(项目基本情况!E8="已注销及未注销","4.抵押担保权已注销时的房地产抵押价值",IF(项目基本情况!E8="已注销","3.抵押担保权已注销时的房地产抵押价值","——"))</f>
        <v>——</v>
      </c>
      <c r="F109" s="3305"/>
      <c r="G109" s="2434" t="s">
        <v>1004</v>
      </c>
      <c r="H109" s="2450" t="str">
        <f>IF(E109="——","——",H101-H105-H106)</f>
        <v>——</v>
      </c>
      <c r="I109" s="939"/>
    </row>
    <row r="110" spans="1:35" ht="18.75" customHeight="1">
      <c r="A110" s="939"/>
      <c r="B110" s="939"/>
      <c r="C110" s="939"/>
      <c r="D110" s="939"/>
      <c r="E110" s="3304"/>
      <c r="F110" s="3305"/>
      <c r="G110" s="2434" t="s">
        <v>99</v>
      </c>
      <c r="H110" s="2329" t="str">
        <f>IF(H109="——","——",ROUND(H109*10000/'数据-汇总表'!E3,0))</f>
        <v>——</v>
      </c>
      <c r="I110" s="939"/>
    </row>
    <row r="111" spans="1:35" ht="18.75" customHeight="1">
      <c r="A111" s="939"/>
      <c r="B111" s="939"/>
      <c r="C111" s="939"/>
      <c r="D111" s="939"/>
      <c r="E111" s="3306" t="str">
        <f>IF(项目基本情况!E9="抵押净值",IF(OR(项目基本情况!E8="已注销",项目基本情况!E8="房地产抵押价值"),"4.抵押净值","5.抵押净值"),"——")</f>
        <v>——</v>
      </c>
      <c r="F111" s="3307"/>
      <c r="G111" s="2434" t="s">
        <v>1004</v>
      </c>
      <c r="H111" s="2435" t="str">
        <f>IF(E111="——","——",N59)</f>
        <v>——</v>
      </c>
      <c r="I111" s="939"/>
    </row>
    <row r="112" spans="1:35" ht="18.75" customHeight="1">
      <c r="A112" s="939"/>
      <c r="B112" s="939"/>
      <c r="C112" s="939"/>
      <c r="D112" s="939"/>
      <c r="E112" s="3308"/>
      <c r="F112" s="3309"/>
      <c r="G112" s="2451" t="s">
        <v>99</v>
      </c>
      <c r="H112" s="2452" t="str">
        <f>IF(E111="——","——",N61)</f>
        <v>——</v>
      </c>
      <c r="I112" s="939"/>
    </row>
    <row r="113" spans="1:27" ht="18.75" customHeight="1">
      <c r="A113" s="939"/>
      <c r="B113" s="939"/>
      <c r="C113" s="939"/>
      <c r="D113" s="939"/>
      <c r="E113" s="3290" t="s">
        <v>1010</v>
      </c>
      <c r="F113" s="3290"/>
      <c r="G113" s="3290"/>
      <c r="H113" s="3290"/>
      <c r="I113" s="939"/>
    </row>
    <row r="114" spans="1:27" ht="3.75" customHeight="1">
      <c r="A114" s="1991"/>
      <c r="B114" s="1991"/>
      <c r="C114" s="1991"/>
      <c r="D114" s="1991"/>
      <c r="E114" s="2339"/>
      <c r="F114" s="2339"/>
      <c r="G114" s="2339"/>
      <c r="H114" s="2339"/>
      <c r="I114" s="1991"/>
    </row>
    <row r="115" spans="1:27" ht="18.75" customHeight="1">
      <c r="A115" s="3291" t="s">
        <v>1012</v>
      </c>
      <c r="B115" s="3292"/>
      <c r="C115" s="3292"/>
      <c r="D115" s="3292"/>
      <c r="E115" s="3292"/>
      <c r="F115" s="3292"/>
      <c r="G115" s="3292"/>
      <c r="H115" s="3292"/>
      <c r="I115" s="3293"/>
    </row>
    <row r="116" spans="1:27" ht="27" customHeight="1">
      <c r="A116" s="3264" t="s">
        <v>1013</v>
      </c>
      <c r="B116" s="3273" t="s">
        <v>1014</v>
      </c>
      <c r="C116" s="3273" t="s">
        <v>1015</v>
      </c>
      <c r="D116" s="3294" t="s">
        <v>1016</v>
      </c>
      <c r="E116" s="3295"/>
      <c r="F116" s="3296" t="s">
        <v>1017</v>
      </c>
      <c r="G116" s="3296"/>
      <c r="H116" s="3264" t="s">
        <v>1018</v>
      </c>
      <c r="I116" s="3264"/>
    </row>
    <row r="117" spans="1:27" ht="18.75" customHeight="1">
      <c r="A117" s="3264"/>
      <c r="B117" s="3274"/>
      <c r="C117" s="3274"/>
      <c r="D117" s="872" t="s">
        <v>1019</v>
      </c>
      <c r="E117" s="872" t="s">
        <v>848</v>
      </c>
      <c r="F117" s="872" t="s">
        <v>1019</v>
      </c>
      <c r="G117" s="872" t="s">
        <v>848</v>
      </c>
      <c r="H117" s="872" t="s">
        <v>1019</v>
      </c>
      <c r="I117" s="872" t="s">
        <v>848</v>
      </c>
    </row>
    <row r="118" spans="1:27" ht="24.75" customHeight="1">
      <c r="A118" s="2453" t="str">
        <f>项目基本情况!S2</f>
        <v>北京市房地产</v>
      </c>
      <c r="B118" s="872">
        <f>M18</f>
        <v>158.43</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302</v>
      </c>
      <c r="I118" s="872">
        <f ca="1">ROUND(IF(D32="楼面单价",C32,H118*10000/B118),0)</f>
        <v>19082</v>
      </c>
    </row>
    <row r="119" spans="1:27" ht="18.75" customHeight="1">
      <c r="A119" s="3264" t="s">
        <v>1020</v>
      </c>
      <c r="B119" s="3264"/>
      <c r="C119" s="3264"/>
      <c r="D119" s="3276" t="e">
        <f ca="1">NUMBERSTRING(INT(D118*10000),2)&amp;"元整"</f>
        <v>#REF!</v>
      </c>
      <c r="E119" s="3278"/>
      <c r="F119" s="3276" t="e">
        <f ca="1">NUMBERSTRING(INT(F118*10000),2)&amp;"元整"</f>
        <v>#REF!</v>
      </c>
      <c r="G119" s="3278"/>
      <c r="H119" s="3276" t="str">
        <f ca="1">NUMBERSTRING(INT(H118*10000),2)&amp;"元整"</f>
        <v>叁佰零贰万元整</v>
      </c>
      <c r="I119" s="3278"/>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276" t="s">
        <v>1020</v>
      </c>
      <c r="B121" s="3277"/>
      <c r="C121" s="3278"/>
      <c r="D121" s="3276" t="str">
        <f>IF(D120=0,"零元整",NUMBERSTRING(INT(D120*10000),2)&amp;"元整")</f>
        <v>零元整</v>
      </c>
      <c r="E121" s="3277"/>
      <c r="F121" s="3277"/>
      <c r="G121" s="3277"/>
      <c r="H121" s="3277"/>
      <c r="I121" s="3278"/>
      <c r="AA121" s="898"/>
    </row>
    <row r="122" spans="1:27" ht="18.75" customHeight="1">
      <c r="A122" s="3307" t="str">
        <f>IF(项目基本情况!B9="房地产市场价值","",MID(E107,3,LEN(E107)-2))</f>
        <v>房地产抵押价值</v>
      </c>
      <c r="B122" s="3307"/>
      <c r="C122" s="3307"/>
      <c r="D122" s="3313">
        <f ca="1">H107</f>
        <v>302</v>
      </c>
      <c r="E122" s="3314"/>
      <c r="F122" s="3314"/>
      <c r="G122" s="3314"/>
      <c r="H122" s="3314"/>
      <c r="I122" s="3315"/>
      <c r="AA122" s="898"/>
    </row>
    <row r="123" spans="1:27" ht="18.75" customHeight="1">
      <c r="A123" s="3264" t="s">
        <v>1020</v>
      </c>
      <c r="B123" s="3264"/>
      <c r="C123" s="3264"/>
      <c r="D123" s="3276" t="str">
        <f ca="1">NUMBERSTRING(INT(D122*10000),2)&amp;"元整"</f>
        <v>叁佰零贰万元整</v>
      </c>
      <c r="E123" s="3277"/>
      <c r="F123" s="3277"/>
      <c r="G123" s="3277"/>
      <c r="H123" s="3277"/>
      <c r="I123" s="3278"/>
      <c r="AA123" s="898"/>
    </row>
    <row r="124" spans="1:27" ht="18.75" customHeight="1">
      <c r="A124" s="3307" t="str">
        <f>IF(项目基本情况!B9="房地产市场价值","",MID(E109,3,LEN(E109)-2))</f>
        <v/>
      </c>
      <c r="B124" s="3307"/>
      <c r="C124" s="3307"/>
      <c r="D124" s="3313" t="str">
        <f>H109</f>
        <v>——</v>
      </c>
      <c r="E124" s="3314"/>
      <c r="F124" s="3314"/>
      <c r="G124" s="3314"/>
      <c r="H124" s="3314"/>
      <c r="I124" s="3315"/>
      <c r="AA124" s="898"/>
    </row>
    <row r="125" spans="1:27" ht="18.75" customHeight="1">
      <c r="A125" s="3264" t="s">
        <v>1020</v>
      </c>
      <c r="B125" s="3264"/>
      <c r="C125" s="3264"/>
      <c r="D125" s="3276" t="e">
        <f>NUMBERSTRING(INT(D124*10000),2)&amp;"元整"</f>
        <v>#VALUE!</v>
      </c>
      <c r="E125" s="3277"/>
      <c r="F125" s="3277"/>
      <c r="G125" s="3277"/>
      <c r="H125" s="3277"/>
      <c r="I125" s="3278"/>
      <c r="AA125" s="898"/>
    </row>
    <row r="126" spans="1:27" ht="18.75" customHeight="1">
      <c r="A126" s="3307" t="str">
        <f>IF(项目基本情况!B9="房地产市场价值","",MID(E111,3,LEN(E111)-2))</f>
        <v/>
      </c>
      <c r="B126" s="3307"/>
      <c r="C126" s="3307"/>
      <c r="D126" s="3313" t="str">
        <f>H111</f>
        <v>——</v>
      </c>
      <c r="E126" s="3314"/>
      <c r="F126" s="3314"/>
      <c r="G126" s="3314"/>
      <c r="H126" s="3314"/>
      <c r="I126" s="3315"/>
      <c r="AA126" s="898"/>
    </row>
    <row r="127" spans="1:27" ht="18.75" customHeight="1">
      <c r="A127" s="3264" t="s">
        <v>1020</v>
      </c>
      <c r="B127" s="3264"/>
      <c r="C127" s="3264"/>
      <c r="D127" s="3276" t="e">
        <f>NUMBERSTRING(INT(D126*10000),2)&amp;"元整"</f>
        <v>#VALUE!</v>
      </c>
      <c r="E127" s="3277"/>
      <c r="F127" s="3277"/>
      <c r="G127" s="3277"/>
      <c r="H127" s="3277"/>
      <c r="I127" s="3278"/>
      <c r="AA127" s="898"/>
    </row>
    <row r="128" spans="1:27" ht="21.75" customHeight="1">
      <c r="A128" s="3263" t="s">
        <v>113</v>
      </c>
      <c r="B128" s="3263"/>
      <c r="C128" s="3263"/>
      <c r="D128" s="3263"/>
      <c r="E128" s="3263"/>
      <c r="F128" s="3263"/>
      <c r="G128" s="3263"/>
      <c r="H128" s="3263"/>
      <c r="I128" s="3263"/>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42924</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2709335</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31686</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31686</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3</v>
      </c>
      <c r="D10" s="369">
        <f ca="1">IF(B1="",'数据-汇总表'!E6,IF(INDIRECT("'数据-取费表'!c"&amp;$G$1)="住宅",INDIRECT("'数据-取费表'!s"&amp;$G$1),INDIRECT("'数据-取费表'!k"&amp;$G$1)+INDIRECT("'数据-取费表'!s"&amp;$G$1)))</f>
        <v>158.43</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3</v>
      </c>
      <c r="D19" s="354">
        <f ca="1">D9+D10</f>
        <v>158.43</v>
      </c>
      <c r="E19" s="353">
        <f>'数据-取费表'!B31</f>
        <v>200</v>
      </c>
      <c r="F19" s="375"/>
      <c r="G19" s="2212"/>
    </row>
    <row r="20" spans="1:7" s="333" customFormat="1" ht="13.5" customHeight="1">
      <c r="A20" s="351" t="s">
        <v>1067</v>
      </c>
      <c r="B20" s="352" t="s">
        <v>1068</v>
      </c>
      <c r="C20" s="376">
        <f ca="1">ROUND((C5+C19)*F20,0)</f>
        <v>951</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2045</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2015</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30</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4896</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4896</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5.2400000000000002E-2</v>
      </c>
      <c r="D30" s="380" t="s">
        <v>1072</v>
      </c>
      <c r="E30" s="389"/>
      <c r="F30" s="383">
        <f>'数据-取费表'!B41</f>
        <v>5.5000000000000007E-2</v>
      </c>
      <c r="G30" s="381" t="s">
        <v>1091</v>
      </c>
    </row>
    <row r="31" spans="1:7" ht="16.5" customHeight="1">
      <c r="A31" s="398">
        <v>1</v>
      </c>
      <c r="B31" s="352" t="s">
        <v>1092</v>
      </c>
      <c r="C31" s="353">
        <f ca="1">ROUND((C5+C19+C20+C22+C27)/(1-C21-D22-D27-C30),0)</f>
        <v>42837</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79</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71</v>
      </c>
      <c r="D34" s="359"/>
      <c r="E34" s="362"/>
      <c r="F34" s="405">
        <f ca="1">IF('数据-取费表'!B24=0,1,IF(B1="",'数据-取费表'!N16,INDIRECT("'数据-取费表'!n"&amp;$G$1)))</f>
        <v>1</v>
      </c>
      <c r="G34" s="361" t="s">
        <v>1097</v>
      </c>
    </row>
    <row r="35" spans="1:7" ht="13.5" customHeight="1">
      <c r="A35" s="384" t="s">
        <v>1040</v>
      </c>
      <c r="B35" s="357" t="s">
        <v>1098</v>
      </c>
      <c r="C35" s="362">
        <f ca="1">ROUND(C34*F35,0)</f>
        <v>4</v>
      </c>
      <c r="D35" s="362"/>
      <c r="E35" s="362"/>
      <c r="F35" s="406">
        <f>'数据-取费表'!B33</f>
        <v>0.06</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3</v>
      </c>
      <c r="D37" s="359">
        <f ca="1">D19</f>
        <v>158.43</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v>
      </c>
      <c r="D42" s="386"/>
      <c r="E42" s="386"/>
      <c r="F42" s="387"/>
      <c r="G42" s="3357" t="s">
        <v>1108</v>
      </c>
    </row>
    <row r="43" spans="1:7" ht="13.5" customHeight="1">
      <c r="A43" s="384" t="s">
        <v>1040</v>
      </c>
      <c r="B43" s="357" t="s">
        <v>1078</v>
      </c>
      <c r="C43" s="386">
        <f ca="1">ROUND(IF('数据-取费表'!B22&lt;=1,C39*F22*'数据-取费表'!B21/2,C39*(POWER((1+F22),'数据-取费表'!B21/2)-1)),0)</f>
        <v>0</v>
      </c>
      <c r="D43" s="386"/>
      <c r="E43" s="386"/>
      <c r="F43" s="387"/>
      <c r="G43" s="3358"/>
    </row>
    <row r="44" spans="1:7" ht="13.5" customHeight="1">
      <c r="A44" s="384" t="s">
        <v>1042</v>
      </c>
      <c r="B44" s="357" t="s">
        <v>1080</v>
      </c>
      <c r="C44" s="386">
        <f ca="1">ROUND(IF('数据-取费表'!B22&lt;=1,C40*F22*'数据-取费表'!B21/2,C40*(POWER((1+F22),'数据-取费表'!B21/2)-1)),4)</f>
        <v>5.9999999999999995E-4</v>
      </c>
      <c r="D44" s="386"/>
      <c r="E44" s="386"/>
      <c r="F44" s="387"/>
      <c r="G44" s="3359"/>
    </row>
    <row r="45" spans="1:7" s="333" customFormat="1" ht="13.5" customHeight="1">
      <c r="A45" s="351" t="s">
        <v>1074</v>
      </c>
      <c r="B45" s="392" t="s">
        <v>1085</v>
      </c>
      <c r="C45" s="393">
        <f ca="1">C46</f>
        <v>12</v>
      </c>
      <c r="D45" s="379">
        <f ca="1">C47</f>
        <v>3.0000000000000001E-3</v>
      </c>
      <c r="E45" s="380" t="s">
        <v>1106</v>
      </c>
      <c r="F45" s="394">
        <f ca="1">F27</f>
        <v>0.15</v>
      </c>
      <c r="G45" s="395" t="s">
        <v>1109</v>
      </c>
    </row>
    <row r="46" spans="1:7" s="333" customFormat="1" ht="13.5" customHeight="1">
      <c r="A46" s="384" t="s">
        <v>1038</v>
      </c>
      <c r="B46" s="396" t="s">
        <v>1110</v>
      </c>
      <c r="C46" s="397">
        <f ca="1">ROUND((C33+C39)*F27,0)</f>
        <v>12</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5.2400000000000002E-2</v>
      </c>
      <c r="D48" s="380" t="s">
        <v>1106</v>
      </c>
      <c r="E48" s="376"/>
      <c r="F48" s="383">
        <f>F30</f>
        <v>5.5000000000000007E-2</v>
      </c>
      <c r="G48" s="381" t="s">
        <v>1112</v>
      </c>
    </row>
    <row r="49" spans="1:7" ht="16.5" customHeight="1">
      <c r="A49" s="351" t="s">
        <v>1089</v>
      </c>
      <c r="B49" s="352" t="s">
        <v>1113</v>
      </c>
      <c r="C49" s="376">
        <f ca="1">ROUND((C33+C39+C41+C45)/(1-C40-D41-D45-C48),0)</f>
        <v>103</v>
      </c>
      <c r="D49" s="376"/>
      <c r="E49" s="376"/>
      <c r="F49" s="411"/>
      <c r="G49" s="381" t="s">
        <v>1114</v>
      </c>
    </row>
    <row r="50" spans="1:7" s="335" customFormat="1" ht="24">
      <c r="A50" s="351" t="s">
        <v>1115</v>
      </c>
      <c r="B50" s="352" t="s">
        <v>1116</v>
      </c>
      <c r="C50" s="376"/>
      <c r="D50" s="376"/>
      <c r="E50" s="376"/>
      <c r="F50" s="411">
        <f>IF('数据-取费表'!B24=0,'数据-取费表'!N16,1)</f>
        <v>0.84</v>
      </c>
      <c r="G50" s="395" t="s">
        <v>1117</v>
      </c>
    </row>
    <row r="51" spans="1:7" ht="16.5" customHeight="1">
      <c r="A51" s="351" t="s">
        <v>1118</v>
      </c>
      <c r="B51" s="352" t="s">
        <v>1119</v>
      </c>
      <c r="C51" s="376">
        <f ca="1">ROUND(C49*F50,0)</f>
        <v>87</v>
      </c>
      <c r="D51" s="376"/>
      <c r="E51" s="376"/>
      <c r="F51" s="411"/>
      <c r="G51" s="381" t="s">
        <v>1120</v>
      </c>
    </row>
    <row r="52" spans="1:7" s="332" customFormat="1" ht="15.75">
      <c r="A52" s="412" t="s">
        <v>1121</v>
      </c>
      <c r="B52" s="413"/>
      <c r="C52" s="414">
        <f ca="1">C31+C51</f>
        <v>42924</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5" t="str">
        <f>项目基本情况!B1</f>
        <v>北京市房地产抵押价值预评估</v>
      </c>
      <c r="C37" s="3175"/>
      <c r="D37" s="3175"/>
      <c r="E37" s="3175"/>
      <c r="F37" s="3175"/>
      <c r="G37" s="3175"/>
      <c r="H37" s="3175"/>
      <c r="I37" s="3175"/>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31686</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31686</v>
      </c>
      <c r="D10" s="369">
        <f ca="1">IF(B1="",'数据-汇总表'!E6,IF(INDIRECT("'数据-取费表'!c"&amp;$G$1)="住宅",INDIRECT("'数据-取费表'!s"&amp;$G$1),INDIRECT("'数据-取费表'!k"&amp;$G$1)+INDIRECT("'数据-取费表'!s"&amp;$G$1)))</f>
        <v>158.43</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158.43</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5.2400000000000002E-2</v>
      </c>
      <c r="D30" s="380" t="s">
        <v>1072</v>
      </c>
      <c r="E30" s="389"/>
      <c r="F30" s="383">
        <f>'数据-取费表'!B41</f>
        <v>5.5000000000000007E-2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801656</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712935</v>
      </c>
      <c r="D34" s="359"/>
      <c r="E34" s="362"/>
      <c r="F34" s="405"/>
      <c r="G34" s="361"/>
    </row>
    <row r="35" spans="1:7" ht="13.5" customHeight="1">
      <c r="A35" s="384" t="s">
        <v>1040</v>
      </c>
      <c r="B35" s="357" t="s">
        <v>1098</v>
      </c>
      <c r="C35" s="362">
        <f ca="1">ROUND(C34*F35,0)</f>
        <v>42776</v>
      </c>
      <c r="D35" s="362"/>
      <c r="E35" s="362"/>
      <c r="F35" s="406">
        <f>'数据-取费表'!B33</f>
        <v>0.06</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31686</v>
      </c>
      <c r="D37" s="359">
        <f ca="1">D19</f>
        <v>158.43</v>
      </c>
      <c r="E37" s="397">
        <f>'数据-取费表'!B35</f>
        <v>200</v>
      </c>
      <c r="F37" s="406"/>
      <c r="G37" s="408"/>
    </row>
    <row r="38" spans="1:7" ht="13.5" customHeight="1">
      <c r="A38" s="384" t="s">
        <v>1104</v>
      </c>
      <c r="B38" s="357" t="s">
        <v>970</v>
      </c>
      <c r="C38" s="362">
        <f ca="1">ROUND(C34*F38,0)</f>
        <v>14259</v>
      </c>
      <c r="D38" s="362"/>
      <c r="E38" s="362"/>
      <c r="F38" s="406">
        <f>'数据-取费表'!B36</f>
        <v>0.02</v>
      </c>
      <c r="G38" s="361" t="s">
        <v>1099</v>
      </c>
    </row>
    <row r="39" spans="1:7" s="333" customFormat="1" ht="13.5" customHeight="1">
      <c r="A39" s="351" t="s">
        <v>1065</v>
      </c>
      <c r="B39" s="352" t="s">
        <v>1068</v>
      </c>
      <c r="C39" s="376">
        <f ca="1">ROUND(C33*F20,0)</f>
        <v>24050</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25845</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25092</v>
      </c>
      <c r="D42" s="386"/>
      <c r="E42" s="386"/>
      <c r="F42" s="387"/>
      <c r="G42" s="3357" t="s">
        <v>1128</v>
      </c>
    </row>
    <row r="43" spans="1:7" ht="13.5" customHeight="1">
      <c r="A43" s="384" t="s">
        <v>1040</v>
      </c>
      <c r="B43" s="357" t="s">
        <v>1078</v>
      </c>
      <c r="C43" s="386">
        <f ca="1">ROUND(IF('数据-取费表'!B22&lt;=1,C39*F22*'数据-取费表'!B20/2,C39*(POWER((1+F22),'数据-取费表'!B20/2)-1)),0)</f>
        <v>753</v>
      </c>
      <c r="D43" s="386"/>
      <c r="E43" s="386"/>
      <c r="F43" s="387"/>
      <c r="G43" s="3358"/>
    </row>
    <row r="44" spans="1:7" ht="13.5" customHeight="1">
      <c r="A44" s="384" t="s">
        <v>1042</v>
      </c>
      <c r="B44" s="357" t="s">
        <v>1080</v>
      </c>
      <c r="C44" s="386">
        <f ca="1">ROUND(IF('数据-取费表'!B22&lt;=1,C40*F22*'数据-取费表'!B20/2,C40*(POWER((1+F22),'数据-取费表'!B20/2)-1)),4)</f>
        <v>5.9999999999999995E-4</v>
      </c>
      <c r="D44" s="386"/>
      <c r="E44" s="386"/>
      <c r="F44" s="387"/>
      <c r="G44" s="3359"/>
    </row>
    <row r="45" spans="1:7" s="333" customFormat="1" ht="13.5" customHeight="1">
      <c r="A45" s="351" t="s">
        <v>1074</v>
      </c>
      <c r="B45" s="392" t="s">
        <v>1085</v>
      </c>
      <c r="C45" s="393">
        <f ca="1">C46</f>
        <v>123856</v>
      </c>
      <c r="D45" s="379">
        <f ca="1">C47</f>
        <v>3.0000000000000001E-3</v>
      </c>
      <c r="E45" s="380" t="s">
        <v>1106</v>
      </c>
      <c r="F45" s="394">
        <f ca="1">F27</f>
        <v>0.15</v>
      </c>
      <c r="G45" s="395" t="s">
        <v>1109</v>
      </c>
    </row>
    <row r="46" spans="1:7" s="333" customFormat="1" ht="13.5" customHeight="1">
      <c r="A46" s="384" t="s">
        <v>1038</v>
      </c>
      <c r="B46" s="396" t="s">
        <v>1110</v>
      </c>
      <c r="C46" s="397">
        <f ca="1">ROUND((C33+C39)*F27,0)</f>
        <v>123856</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5.2400000000000002E-2</v>
      </c>
      <c r="D48" s="380" t="s">
        <v>1106</v>
      </c>
      <c r="E48" s="376"/>
      <c r="F48" s="383">
        <f>F30</f>
        <v>5.5000000000000007E-2</v>
      </c>
      <c r="G48" s="381" t="s">
        <v>1112</v>
      </c>
    </row>
    <row r="49" spans="1:7" ht="16.5" customHeight="1">
      <c r="A49" s="351" t="s">
        <v>1089</v>
      </c>
      <c r="B49" s="352" t="s">
        <v>1129</v>
      </c>
      <c r="C49" s="376">
        <f ca="1">ROUND((C33+C39+C41+C45)/(1-C40-D41-D45-C48),0)</f>
        <v>1055635</v>
      </c>
      <c r="D49" s="376"/>
      <c r="E49" s="376"/>
      <c r="F49" s="411"/>
      <c r="G49" s="381" t="s">
        <v>1114</v>
      </c>
    </row>
    <row r="50" spans="1:7" s="335" customFormat="1">
      <c r="A50" s="351" t="s">
        <v>1115</v>
      </c>
      <c r="B50" s="352" t="s">
        <v>1116</v>
      </c>
      <c r="C50" s="376"/>
      <c r="D50" s="376"/>
      <c r="E50" s="376"/>
      <c r="F50" s="411">
        <f>IF('数据-取费表'!B24=0,'数据-取费表'!N16,1)</f>
        <v>0.84</v>
      </c>
      <c r="G50" s="395"/>
    </row>
    <row r="51" spans="1:7" ht="16.5" customHeight="1">
      <c r="A51" s="351" t="s">
        <v>1118</v>
      </c>
      <c r="B51" s="352" t="s">
        <v>1130</v>
      </c>
      <c r="C51" s="376">
        <f ca="1">ROUND(C49*F50,0)</f>
        <v>886733</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36470</v>
      </c>
      <c r="C2" s="2126" t="s">
        <v>1132</v>
      </c>
      <c r="D2" s="2126"/>
      <c r="E2" s="2124"/>
      <c r="F2" s="2124"/>
      <c r="G2" s="2124"/>
      <c r="H2" s="2124"/>
      <c r="I2" s="2124"/>
      <c r="J2" s="2124"/>
      <c r="K2" s="2124"/>
    </row>
    <row r="3" spans="1:33" ht="18" customHeight="1">
      <c r="A3" s="346" t="s">
        <v>1031</v>
      </c>
      <c r="B3" s="347">
        <f ca="1">ROUND(B2*10000/IF(C1="",'数据-汇总表'!E3,INDIRECT("'数据-取费表'!K"&amp;$K$1)),0)</f>
        <v>2301963</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0.06</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158.43</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158.43</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-31683</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3</v>
      </c>
      <c r="D20" s="2149">
        <f ca="1">IF(C1="",'数据-汇总表'!E6,IF(INDIRECT("'数据-取费表'!c"&amp;$K$1)="住宅",INDIRECT("'数据-取费表'!s"&amp;$K$1),INDIRECT("'数据-取费表'!k"&amp;$K$1)+INDIRECT("'数据-取费表'!s"&amp;$K$1)))</f>
        <v>158.43</v>
      </c>
      <c r="E20" s="950">
        <f>'数据-取费表'!B28</f>
        <v>200</v>
      </c>
      <c r="F20" s="2150"/>
      <c r="G20" s="1998"/>
      <c r="H20" s="2157"/>
      <c r="I20" s="2157"/>
      <c r="J20" s="2157"/>
      <c r="K20" s="2200"/>
    </row>
    <row r="21" spans="1:33" s="2115" customFormat="1" ht="13.5" customHeight="1">
      <c r="A21" s="2133" t="s">
        <v>939</v>
      </c>
      <c r="B21" s="2158" t="s">
        <v>1163</v>
      </c>
      <c r="C21" s="2159">
        <f ca="1">C16+C17+C18</f>
        <v>-31683</v>
      </c>
      <c r="D21" s="2160"/>
      <c r="E21" s="2161"/>
      <c r="F21" s="2161"/>
      <c r="G21" s="1888" t="s">
        <v>1164</v>
      </c>
      <c r="H21" s="1999"/>
      <c r="I21" s="1999"/>
      <c r="J21" s="1999"/>
      <c r="K21" s="2000"/>
    </row>
    <row r="22" spans="1:33" s="2115" customFormat="1" ht="13.5" customHeight="1">
      <c r="A22" s="2133" t="s">
        <v>943</v>
      </c>
      <c r="B22" s="2158" t="s">
        <v>1165</v>
      </c>
      <c r="C22" s="2159">
        <f ca="1">ROUND(C21*F22,0)</f>
        <v>-950</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-4895</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-4895</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5.5000000000000007E-2</v>
      </c>
      <c r="G31" s="2187" t="s">
        <v>1181</v>
      </c>
      <c r="H31" s="2188"/>
      <c r="I31" s="2188"/>
      <c r="J31" s="2188"/>
      <c r="K31" s="2202"/>
    </row>
    <row r="32" spans="1:33" s="2114" customFormat="1" ht="13.5" customHeight="1">
      <c r="A32" s="1236" t="s">
        <v>1182</v>
      </c>
      <c r="B32" s="2189"/>
      <c r="C32" s="2190">
        <f ca="1">ROUND((C4-C21-C22-C23-C25-C28-C31)/(1+C24+D25+D28),0)</f>
        <v>36470</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2" t="s">
        <v>1198</v>
      </c>
      <c r="C6" s="1846">
        <f ca="1">ROUND(F6*F8*F7*(1-F9)/10000,0)</f>
        <v>0</v>
      </c>
      <c r="D6" s="1847" t="s">
        <v>1199</v>
      </c>
      <c r="E6" s="1848" t="s">
        <v>1200</v>
      </c>
      <c r="F6" s="1849">
        <f ca="1">INDIRECT("'数据-取费表'!u"&amp;$G$1)</f>
        <v>0</v>
      </c>
      <c r="G6" s="718"/>
      <c r="H6" s="1845" t="s">
        <v>939</v>
      </c>
      <c r="I6" s="3362" t="s">
        <v>1198</v>
      </c>
      <c r="J6" s="1919">
        <f ca="1">ROUND(M6*M8*M7*(1-M9)/10000,0)</f>
        <v>0</v>
      </c>
      <c r="K6" s="1847" t="s">
        <v>1201</v>
      </c>
      <c r="L6" s="1848" t="s">
        <v>1200</v>
      </c>
      <c r="M6" s="1849">
        <f ca="1">INDIRECT("'数据-取费表'!z"&amp;$G$1)</f>
        <v>0</v>
      </c>
    </row>
    <row r="7" spans="1:37" ht="18" customHeight="1">
      <c r="A7" s="1850"/>
      <c r="B7" s="3363"/>
      <c r="C7" s="1851"/>
      <c r="D7" s="1852"/>
      <c r="E7" s="1853" t="s">
        <v>1202</v>
      </c>
      <c r="F7" s="1849">
        <f ca="1">IF(INDIRECT("'数据-取费表'!ah"&amp;$G$1)="",INDIRECT("'数据-取费表'!k"&amp;$G$1),INDIRECT("'数据-取费表'!ah"&amp;$G$1))</f>
        <v>0</v>
      </c>
      <c r="G7" s="718"/>
      <c r="H7" s="1854"/>
      <c r="I7" s="3363"/>
      <c r="J7" s="1855"/>
      <c r="K7" s="1852"/>
      <c r="L7" s="1848" t="s">
        <v>1202</v>
      </c>
      <c r="M7" s="1849">
        <f ca="1">F7</f>
        <v>0</v>
      </c>
    </row>
    <row r="8" spans="1:37" ht="18" customHeight="1">
      <c r="A8" s="1854"/>
      <c r="B8" s="3363"/>
      <c r="C8" s="1855"/>
      <c r="D8" s="1852"/>
      <c r="E8" s="1848" t="s">
        <v>1203</v>
      </c>
      <c r="F8" s="1849">
        <f ca="1">INDIRECT("'数据-取费表'!ai"&amp;$G$1)</f>
        <v>0</v>
      </c>
      <c r="G8" s="718"/>
      <c r="H8" s="1854"/>
      <c r="I8" s="3363"/>
      <c r="J8" s="1855"/>
      <c r="K8" s="1852"/>
      <c r="L8" s="1848" t="s">
        <v>1203</v>
      </c>
      <c r="M8" s="1849">
        <f ca="1">INDIRECT("'数据-取费表'!ai"&amp;$G$1)</f>
        <v>0</v>
      </c>
    </row>
    <row r="9" spans="1:37" ht="18" customHeight="1">
      <c r="A9" s="1854"/>
      <c r="B9" s="3364"/>
      <c r="C9" s="1855"/>
      <c r="D9" s="1852"/>
      <c r="E9" s="1848" t="s">
        <v>1204</v>
      </c>
      <c r="F9" s="1856">
        <f ca="1">INDIRECT("'数据-取费表'!w"&amp;$G$1)</f>
        <v>0</v>
      </c>
      <c r="G9" s="718"/>
      <c r="H9" s="1854"/>
      <c r="I9" s="3364"/>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0.06</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5.5000000000000007E-2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5.2400000000000002E-2</v>
      </c>
      <c r="D28" s="1889" t="s">
        <v>1272</v>
      </c>
      <c r="E28" s="1848" t="s">
        <v>1218</v>
      </c>
      <c r="F28" s="1886">
        <f>'数据-取费表'!B41</f>
        <v>5.5000000000000007E-2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5.5000000000000007E-2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60" t="s">
        <v>1322</v>
      </c>
      <c r="L53" s="3361"/>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IF(项目基本情况!B11="自然人","——",ROUND(C48*F60/(1+'数据-取费表'!C42),2))</f>
        <v>0</v>
      </c>
      <c r="D60" s="1978" t="s">
        <v>1231</v>
      </c>
      <c r="E60" s="1970" t="s">
        <v>1218</v>
      </c>
      <c r="F60" s="1892">
        <f t="shared" ref="F60:F66" si="0">F32</f>
        <v>5.5000000000000007E-2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33" zoomScale="85" zoomScaleNormal="70" zoomScaleSheetLayoutView="85" workbookViewId="0">
      <selection activeCell="H51" sqref="H51"/>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329.17</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20777</v>
      </c>
      <c r="C3" s="1376" t="s">
        <v>1377</v>
      </c>
      <c r="D3" s="1377">
        <f>IF(D1="",'数据-汇总表'!E3,SUMIF('数据-汇总表'!$C19:$C33,D1,'数据-汇总表'!$E19:$E33))</f>
        <v>158.43</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407" t="s">
        <v>1379</v>
      </c>
      <c r="D4" s="3408"/>
      <c r="E4" s="3409" t="s">
        <v>1380</v>
      </c>
      <c r="F4" s="3410"/>
      <c r="G4" s="3407" t="s">
        <v>1381</v>
      </c>
      <c r="H4" s="3408"/>
      <c r="I4" s="3407" t="s">
        <v>1382</v>
      </c>
      <c r="J4" s="3408"/>
      <c r="K4" s="1171" t="s">
        <v>1383</v>
      </c>
      <c r="L4" s="1172"/>
      <c r="M4" s="1122"/>
      <c r="N4" s="1122"/>
      <c r="O4" s="1122"/>
      <c r="P4" s="3371" t="s">
        <v>1384</v>
      </c>
      <c r="Q4" s="3372"/>
      <c r="R4" s="3377" t="s">
        <v>1380</v>
      </c>
      <c r="S4" s="3378"/>
      <c r="T4" s="3377" t="s">
        <v>1381</v>
      </c>
      <c r="U4" s="3378"/>
      <c r="V4" s="3383" t="s">
        <v>1382</v>
      </c>
      <c r="W4" s="3383"/>
      <c r="X4" s="2095"/>
      <c r="Y4" s="3377" t="s">
        <v>1384</v>
      </c>
      <c r="Z4" s="3378"/>
      <c r="AA4" s="3365" t="s">
        <v>1380</v>
      </c>
      <c r="AB4" s="3365" t="s">
        <v>1381</v>
      </c>
      <c r="AC4" s="3368" t="s">
        <v>1382</v>
      </c>
    </row>
    <row r="5" spans="1:29" ht="15">
      <c r="A5" s="1029"/>
      <c r="B5" s="1030"/>
      <c r="C5" s="3411" t="s">
        <v>2803</v>
      </c>
      <c r="D5" s="3412"/>
      <c r="E5" s="3411" t="s">
        <v>2803</v>
      </c>
      <c r="F5" s="3412"/>
      <c r="G5" s="3411" t="s">
        <v>2803</v>
      </c>
      <c r="H5" s="3412"/>
      <c r="I5" s="3411" t="s">
        <v>2803</v>
      </c>
      <c r="J5" s="3412"/>
      <c r="K5" s="1171"/>
      <c r="L5" s="1172"/>
      <c r="M5" s="1122"/>
      <c r="N5" s="1122"/>
      <c r="O5" s="1122"/>
      <c r="P5" s="3373"/>
      <c r="Q5" s="3374"/>
      <c r="R5" s="3379"/>
      <c r="S5" s="3380"/>
      <c r="T5" s="3379"/>
      <c r="U5" s="3380"/>
      <c r="V5" s="3384"/>
      <c r="W5" s="3384"/>
      <c r="X5" s="1214"/>
      <c r="Y5" s="3379"/>
      <c r="Z5" s="3380"/>
      <c r="AA5" s="3366"/>
      <c r="AB5" s="3366"/>
      <c r="AC5" s="3369"/>
    </row>
    <row r="6" spans="1:29" ht="15">
      <c r="A6" s="1031"/>
      <c r="B6" s="1032"/>
      <c r="C6" s="3402" t="s">
        <v>1389</v>
      </c>
      <c r="D6" s="3403"/>
      <c r="E6" s="3404" t="s">
        <v>1389</v>
      </c>
      <c r="F6" s="3405"/>
      <c r="G6" s="3402" t="s">
        <v>1389</v>
      </c>
      <c r="H6" s="3403"/>
      <c r="I6" s="3402" t="s">
        <v>1389</v>
      </c>
      <c r="J6" s="3403"/>
      <c r="K6" s="1171" t="s">
        <v>1390</v>
      </c>
      <c r="L6" s="1172"/>
      <c r="M6" s="1122"/>
      <c r="N6" s="1122"/>
      <c r="O6" s="1122"/>
      <c r="P6" s="3375"/>
      <c r="Q6" s="3376"/>
      <c r="R6" s="3379"/>
      <c r="S6" s="3380"/>
      <c r="T6" s="3381"/>
      <c r="U6" s="3382"/>
      <c r="V6" s="3384"/>
      <c r="W6" s="3384"/>
      <c r="X6" s="1214"/>
      <c r="Y6" s="3381"/>
      <c r="Z6" s="3382"/>
      <c r="AA6" s="3367"/>
      <c r="AB6" s="3367"/>
      <c r="AC6" s="3370"/>
    </row>
    <row r="7" spans="1:29" s="1008" customFormat="1" ht="15">
      <c r="A7" s="1033" t="s">
        <v>1391</v>
      </c>
      <c r="B7" s="1034"/>
      <c r="C7" s="1035">
        <f>'数据-取费表'!B2</f>
        <v>45975</v>
      </c>
      <c r="D7" s="1036">
        <v>100</v>
      </c>
      <c r="E7" s="1037">
        <v>45787</v>
      </c>
      <c r="F7" s="1038">
        <f>SUMIF(59:59,YEAR(E7)&amp;"-"&amp;MONTH(E7),60:60)</f>
        <v>100</v>
      </c>
      <c r="G7" s="1037">
        <v>45839</v>
      </c>
      <c r="H7" s="1036">
        <f>SUMIF(59:59,YEAR(G7)&amp;"-"&amp;MONTH(G7),60:60)</f>
        <v>100</v>
      </c>
      <c r="I7" s="1037">
        <v>45962</v>
      </c>
      <c r="J7" s="1036">
        <f>SUMIF(59:59,YEAR(I7)&amp;"-"&amp;MONTH(I7),60:60)</f>
        <v>100</v>
      </c>
      <c r="K7" s="1173"/>
      <c r="L7" s="1174"/>
      <c r="M7" s="1175"/>
      <c r="N7" s="1175"/>
      <c r="O7" s="1175"/>
      <c r="P7" s="3392" t="s">
        <v>1392</v>
      </c>
      <c r="Q7" s="3406"/>
      <c r="R7" s="1215" t="s">
        <v>1393</v>
      </c>
      <c r="S7" s="1216">
        <f t="shared" ref="S7:S15" si="0">F7</f>
        <v>100</v>
      </c>
      <c r="T7" s="1215" t="s">
        <v>1393</v>
      </c>
      <c r="U7" s="1216">
        <f t="shared" ref="U7:U15" si="1">H7</f>
        <v>100</v>
      </c>
      <c r="V7" s="1215" t="s">
        <v>1393</v>
      </c>
      <c r="W7" s="1216">
        <f t="shared" ref="W7:W15" si="2">J7</f>
        <v>100</v>
      </c>
      <c r="X7" s="1217"/>
      <c r="Y7" s="3390" t="s">
        <v>1392</v>
      </c>
      <c r="Z7" s="3391"/>
      <c r="AA7" s="1227">
        <f>D7/F7</f>
        <v>1</v>
      </c>
      <c r="AB7" s="1227">
        <f>D7/H7</f>
        <v>1</v>
      </c>
      <c r="AC7" s="2096">
        <f>D7/J7</f>
        <v>1</v>
      </c>
    </row>
    <row r="8" spans="1:29" s="1008" customFormat="1" ht="15">
      <c r="A8" s="1033" t="s">
        <v>1394</v>
      </c>
      <c r="B8" s="1034"/>
      <c r="C8" s="1040" t="s">
        <v>1395</v>
      </c>
      <c r="D8" s="1036">
        <v>100</v>
      </c>
      <c r="E8" s="1040" t="s">
        <v>1395</v>
      </c>
      <c r="F8" s="1038">
        <f>SUMIF(62:62,E8,63:63)-SUMIF(62:62,C8,63:63)+100</f>
        <v>100</v>
      </c>
      <c r="G8" s="1040" t="s">
        <v>1395</v>
      </c>
      <c r="H8" s="1036">
        <f>SUMIF(62:62,G8,63:63)-SUMIF(62:62,C8,63:63)+100</f>
        <v>100</v>
      </c>
      <c r="I8" s="1040" t="s">
        <v>1395</v>
      </c>
      <c r="J8" s="1036">
        <f>SUMIF(62:62,I8,63:63)-SUMIF(62:62,C8,63:63)+100</f>
        <v>100</v>
      </c>
      <c r="K8" s="1173"/>
      <c r="L8" s="1174"/>
      <c r="M8" s="1175"/>
      <c r="N8" s="1175"/>
      <c r="O8" s="1175"/>
      <c r="P8" s="3392" t="s">
        <v>1397</v>
      </c>
      <c r="Q8" s="3391"/>
      <c r="R8" s="1215" t="s">
        <v>1393</v>
      </c>
      <c r="S8" s="1216">
        <f t="shared" si="0"/>
        <v>100</v>
      </c>
      <c r="T8" s="1215" t="s">
        <v>1393</v>
      </c>
      <c r="U8" s="1216">
        <f t="shared" si="1"/>
        <v>100</v>
      </c>
      <c r="V8" s="1215" t="s">
        <v>1393</v>
      </c>
      <c r="W8" s="1216">
        <f t="shared" si="2"/>
        <v>100</v>
      </c>
      <c r="X8" s="1217"/>
      <c r="Y8" s="3390" t="s">
        <v>1397</v>
      </c>
      <c r="Z8" s="3391"/>
      <c r="AA8" s="1227">
        <f t="shared" ref="AA8:AA47" si="3">D8/F8</f>
        <v>1</v>
      </c>
      <c r="AB8" s="1227">
        <f t="shared" ref="AB8:AB47" si="4">D8/H8</f>
        <v>1</v>
      </c>
      <c r="AC8" s="2096">
        <f t="shared" ref="AC8:AC47" si="5">D8/J8</f>
        <v>1</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85" t="s">
        <v>1400</v>
      </c>
      <c r="Q9" s="794" t="str">
        <f t="shared" ref="Q9:Q15" si="6">B9</f>
        <v>用途</v>
      </c>
      <c r="R9" s="1215" t="s">
        <v>1393</v>
      </c>
      <c r="S9" s="1216">
        <f t="shared" si="0"/>
        <v>100</v>
      </c>
      <c r="T9" s="1215" t="s">
        <v>1393</v>
      </c>
      <c r="U9" s="1216">
        <f t="shared" si="1"/>
        <v>100</v>
      </c>
      <c r="V9" s="1215" t="s">
        <v>1393</v>
      </c>
      <c r="W9" s="1216">
        <f t="shared" si="2"/>
        <v>100</v>
      </c>
      <c r="X9" s="1217"/>
      <c r="Y9" s="3272"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85"/>
      <c r="Q10" s="794" t="str">
        <f t="shared" si="6"/>
        <v>土地使用年限（年）</v>
      </c>
      <c r="R10" s="1215" t="s">
        <v>1393</v>
      </c>
      <c r="S10" s="1216">
        <f t="shared" si="0"/>
        <v>100</v>
      </c>
      <c r="T10" s="1215" t="s">
        <v>1393</v>
      </c>
      <c r="U10" s="1216">
        <f t="shared" si="1"/>
        <v>100</v>
      </c>
      <c r="V10" s="1215" t="s">
        <v>1393</v>
      </c>
      <c r="W10" s="1216">
        <f t="shared" si="2"/>
        <v>100</v>
      </c>
      <c r="X10" s="1217"/>
      <c r="Y10" s="3272"/>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85"/>
      <c r="Q11" s="794" t="str">
        <f t="shared" si="6"/>
        <v>容积率</v>
      </c>
      <c r="R11" s="1215" t="s">
        <v>1393</v>
      </c>
      <c r="S11" s="1216">
        <f t="shared" si="0"/>
        <v>100</v>
      </c>
      <c r="T11" s="1215" t="s">
        <v>1393</v>
      </c>
      <c r="U11" s="1216">
        <f t="shared" si="1"/>
        <v>100</v>
      </c>
      <c r="V11" s="1215" t="s">
        <v>1393</v>
      </c>
      <c r="W11" s="1216">
        <f t="shared" si="2"/>
        <v>100</v>
      </c>
      <c r="X11" s="1217"/>
      <c r="Y11" s="3272"/>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85"/>
      <c r="Q12" s="794">
        <f t="shared" si="6"/>
        <v>111</v>
      </c>
      <c r="R12" s="1215" t="s">
        <v>1393</v>
      </c>
      <c r="S12" s="1216">
        <f t="shared" si="0"/>
        <v>100</v>
      </c>
      <c r="T12" s="1215" t="s">
        <v>1393</v>
      </c>
      <c r="U12" s="1216">
        <f t="shared" si="1"/>
        <v>100</v>
      </c>
      <c r="V12" s="1215" t="s">
        <v>1393</v>
      </c>
      <c r="W12" s="1216">
        <f t="shared" si="2"/>
        <v>100</v>
      </c>
      <c r="X12" s="1217"/>
      <c r="Y12" s="3272"/>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85"/>
      <c r="Q13" s="794">
        <f t="shared" si="6"/>
        <v>111</v>
      </c>
      <c r="R13" s="1215" t="s">
        <v>1393</v>
      </c>
      <c r="S13" s="1216">
        <f t="shared" si="0"/>
        <v>100</v>
      </c>
      <c r="T13" s="1215" t="s">
        <v>1393</v>
      </c>
      <c r="U13" s="1216">
        <f t="shared" si="1"/>
        <v>100</v>
      </c>
      <c r="V13" s="1215" t="s">
        <v>1393</v>
      </c>
      <c r="W13" s="1216">
        <f t="shared" si="2"/>
        <v>100</v>
      </c>
      <c r="X13" s="1217"/>
      <c r="Y13" s="3272"/>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85"/>
      <c r="Q14" s="794">
        <f t="shared" si="6"/>
        <v>111</v>
      </c>
      <c r="R14" s="1215" t="s">
        <v>1393</v>
      </c>
      <c r="S14" s="1216">
        <f t="shared" si="0"/>
        <v>100</v>
      </c>
      <c r="T14" s="1215" t="s">
        <v>1393</v>
      </c>
      <c r="U14" s="1216">
        <f t="shared" si="1"/>
        <v>100</v>
      </c>
      <c r="V14" s="1215" t="s">
        <v>1393</v>
      </c>
      <c r="W14" s="1216">
        <f t="shared" si="2"/>
        <v>100</v>
      </c>
      <c r="X14" s="1217"/>
      <c r="Y14" s="3272"/>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93" t="s">
        <v>1406</v>
      </c>
      <c r="Q15" s="625" t="str">
        <f t="shared" si="6"/>
        <v>办公集聚程度</v>
      </c>
      <c r="R15" s="1219" t="s">
        <v>1393</v>
      </c>
      <c r="S15" s="1220">
        <f t="shared" si="0"/>
        <v>100</v>
      </c>
      <c r="T15" s="1219" t="s">
        <v>1393</v>
      </c>
      <c r="U15" s="1220">
        <f t="shared" si="1"/>
        <v>100</v>
      </c>
      <c r="V15" s="1219" t="s">
        <v>1393</v>
      </c>
      <c r="W15" s="1220">
        <f t="shared" si="2"/>
        <v>100</v>
      </c>
      <c r="X15" s="1214"/>
      <c r="Y15" s="3398"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94"/>
      <c r="Q16" s="625"/>
      <c r="R16" s="1219"/>
      <c r="S16" s="1220"/>
      <c r="T16" s="1219"/>
      <c r="U16" s="1220"/>
      <c r="V16" s="1219"/>
      <c r="W16" s="1220"/>
      <c r="X16" s="1214"/>
      <c r="Y16" s="3399"/>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94"/>
      <c r="Q17" s="625" t="str">
        <f>B17</f>
        <v>交通便捷度</v>
      </c>
      <c r="R17" s="1219" t="s">
        <v>1393</v>
      </c>
      <c r="S17" s="1220">
        <f>F17</f>
        <v>100</v>
      </c>
      <c r="T17" s="1219" t="s">
        <v>1393</v>
      </c>
      <c r="U17" s="1220">
        <f>H17</f>
        <v>100</v>
      </c>
      <c r="V17" s="1219" t="s">
        <v>1393</v>
      </c>
      <c r="W17" s="1220">
        <f>J17</f>
        <v>100</v>
      </c>
      <c r="X17" s="1214"/>
      <c r="Y17" s="3399"/>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94"/>
      <c r="Q18" s="625"/>
      <c r="R18" s="1219"/>
      <c r="S18" s="1220"/>
      <c r="T18" s="1219"/>
      <c r="U18" s="1220"/>
      <c r="V18" s="1219"/>
      <c r="W18" s="1220"/>
      <c r="X18" s="1214"/>
      <c r="Y18" s="3399"/>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94"/>
      <c r="Q19" s="625" t="str">
        <f>B19</f>
        <v>公共配套设施</v>
      </c>
      <c r="R19" s="1219" t="s">
        <v>1393</v>
      </c>
      <c r="S19" s="1220">
        <f>F19</f>
        <v>100</v>
      </c>
      <c r="T19" s="1219" t="s">
        <v>1393</v>
      </c>
      <c r="U19" s="1220">
        <f>H19</f>
        <v>100</v>
      </c>
      <c r="V19" s="1219" t="s">
        <v>1393</v>
      </c>
      <c r="W19" s="1220">
        <f>J19</f>
        <v>100</v>
      </c>
      <c r="X19" s="1214"/>
      <c r="Y19" s="3399"/>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94"/>
      <c r="Q20" s="625"/>
      <c r="R20" s="1219"/>
      <c r="S20" s="1220"/>
      <c r="T20" s="1219"/>
      <c r="U20" s="1220"/>
      <c r="V20" s="1219"/>
      <c r="W20" s="1220"/>
      <c r="X20" s="1214"/>
      <c r="Y20" s="3399"/>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94"/>
      <c r="Q21" s="625" t="str">
        <f>B21</f>
        <v>基础设施水平</v>
      </c>
      <c r="R21" s="1219" t="s">
        <v>1393</v>
      </c>
      <c r="S21" s="1220">
        <f>F21</f>
        <v>100</v>
      </c>
      <c r="T21" s="1219" t="s">
        <v>1393</v>
      </c>
      <c r="U21" s="1220">
        <f>H21</f>
        <v>100</v>
      </c>
      <c r="V21" s="1219" t="s">
        <v>1393</v>
      </c>
      <c r="W21" s="1220">
        <f>J21</f>
        <v>100</v>
      </c>
      <c r="X21" s="1214"/>
      <c r="Y21" s="3399"/>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94"/>
      <c r="Q22" s="625"/>
      <c r="R22" s="1219"/>
      <c r="S22" s="1220"/>
      <c r="T22" s="1219"/>
      <c r="U22" s="1220"/>
      <c r="V22" s="1219"/>
      <c r="W22" s="1220"/>
      <c r="X22" s="1214"/>
      <c r="Y22" s="3399"/>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94"/>
      <c r="Q23" s="625" t="str">
        <f>B23</f>
        <v>环境质量</v>
      </c>
      <c r="R23" s="1219" t="s">
        <v>1393</v>
      </c>
      <c r="S23" s="1220">
        <f>F23</f>
        <v>100</v>
      </c>
      <c r="T23" s="1219" t="s">
        <v>1393</v>
      </c>
      <c r="U23" s="1220">
        <f>H23</f>
        <v>100</v>
      </c>
      <c r="V23" s="1219" t="s">
        <v>1393</v>
      </c>
      <c r="W23" s="1220">
        <f>J23</f>
        <v>100</v>
      </c>
      <c r="X23" s="1214"/>
      <c r="Y23" s="3399"/>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94"/>
      <c r="Q24" s="625"/>
      <c r="R24" s="1219"/>
      <c r="S24" s="1220"/>
      <c r="T24" s="1219"/>
      <c r="U24" s="1220"/>
      <c r="V24" s="1219"/>
      <c r="W24" s="1220"/>
      <c r="X24" s="1214"/>
      <c r="Y24" s="3399"/>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94"/>
      <c r="Q25" s="625" t="str">
        <f>B25</f>
        <v>毗邻道路的类型与等级</v>
      </c>
      <c r="R25" s="1219" t="s">
        <v>1393</v>
      </c>
      <c r="S25" s="1220">
        <f>F25</f>
        <v>100</v>
      </c>
      <c r="T25" s="1219" t="s">
        <v>1393</v>
      </c>
      <c r="U25" s="1220">
        <f>H25</f>
        <v>100</v>
      </c>
      <c r="V25" s="1219" t="s">
        <v>1393</v>
      </c>
      <c r="W25" s="1220">
        <f>J25</f>
        <v>100</v>
      </c>
      <c r="X25" s="1214"/>
      <c r="Y25" s="3399"/>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94"/>
      <c r="Q26" s="625"/>
      <c r="R26" s="1219"/>
      <c r="S26" s="1220"/>
      <c r="T26" s="1219"/>
      <c r="U26" s="1220"/>
      <c r="V26" s="1219"/>
      <c r="W26" s="1220"/>
      <c r="X26" s="1214"/>
      <c r="Y26" s="3399"/>
      <c r="Z26" s="1204"/>
      <c r="AA26" s="1204">
        <v>1</v>
      </c>
      <c r="AB26" s="1204">
        <v>1</v>
      </c>
      <c r="AC26" s="2097">
        <v>1</v>
      </c>
    </row>
    <row r="27" spans="1:29" ht="15">
      <c r="A27" s="1049"/>
      <c r="B27" s="1076" t="s">
        <v>1413</v>
      </c>
      <c r="C27" s="1083" t="s">
        <v>1414</v>
      </c>
      <c r="D27" s="759">
        <v>100</v>
      </c>
      <c r="E27" s="1083" t="s">
        <v>1414</v>
      </c>
      <c r="F27" s="759">
        <f>SUMIF(89:89,E27,90:90)-SUMIF(89:89,C27,90:90)+100</f>
        <v>100</v>
      </c>
      <c r="G27" s="1083" t="s">
        <v>1415</v>
      </c>
      <c r="H27" s="759">
        <f>SUMIF(89:89,G27,90:90)-SUMIF(89:89,C27,90:90)+100</f>
        <v>94</v>
      </c>
      <c r="I27" s="1083" t="s">
        <v>1416</v>
      </c>
      <c r="J27" s="759">
        <f>SUMIF(89:89,I27,90:90)-SUMIF(89:89,C27,90:90)+100</f>
        <v>97</v>
      </c>
      <c r="K27" s="1190">
        <v>3</v>
      </c>
      <c r="L27" s="1184"/>
      <c r="M27" s="1122"/>
      <c r="N27" s="1122"/>
      <c r="O27" s="1122"/>
      <c r="P27" s="3394"/>
      <c r="Q27" s="625" t="str">
        <f t="shared" ref="Q27:Q47" si="11">B27</f>
        <v>楼层</v>
      </c>
      <c r="R27" s="1219" t="s">
        <v>1393</v>
      </c>
      <c r="S27" s="1220">
        <f>F27</f>
        <v>100</v>
      </c>
      <c r="T27" s="1219" t="s">
        <v>1393</v>
      </c>
      <c r="U27" s="1220">
        <f>H27</f>
        <v>94</v>
      </c>
      <c r="V27" s="1219" t="s">
        <v>1393</v>
      </c>
      <c r="W27" s="1220">
        <f>J27</f>
        <v>97</v>
      </c>
      <c r="X27" s="1214"/>
      <c r="Y27" s="3399"/>
      <c r="Z27" s="1204" t="str">
        <f>Q27</f>
        <v>楼层</v>
      </c>
      <c r="AA27" s="1204">
        <f t="shared" si="3"/>
        <v>1</v>
      </c>
      <c r="AB27" s="1204">
        <f t="shared" si="4"/>
        <v>1.0638297872340425</v>
      </c>
      <c r="AC27" s="2097">
        <f t="shared" si="5"/>
        <v>1.0309278350515463</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94"/>
      <c r="Q28" s="794" t="str">
        <f t="shared" si="11"/>
        <v>朝向</v>
      </c>
      <c r="R28" s="1215" t="s">
        <v>1393</v>
      </c>
      <c r="S28" s="1216">
        <f>F28</f>
        <v>100</v>
      </c>
      <c r="T28" s="1215" t="s">
        <v>1393</v>
      </c>
      <c r="U28" s="1216">
        <f>H28</f>
        <v>100</v>
      </c>
      <c r="V28" s="1215" t="s">
        <v>1393</v>
      </c>
      <c r="W28" s="1216">
        <f>J28</f>
        <v>100</v>
      </c>
      <c r="X28" s="1217"/>
      <c r="Y28" s="3399"/>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94"/>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99"/>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94"/>
      <c r="Q30" s="625">
        <f t="shared" si="11"/>
        <v>111</v>
      </c>
      <c r="R30" s="1219" t="s">
        <v>1393</v>
      </c>
      <c r="S30" s="1220">
        <f t="shared" si="12"/>
        <v>100</v>
      </c>
      <c r="T30" s="1219" t="s">
        <v>1393</v>
      </c>
      <c r="U30" s="1220">
        <f t="shared" si="13"/>
        <v>100</v>
      </c>
      <c r="V30" s="1219" t="s">
        <v>1393</v>
      </c>
      <c r="W30" s="1220">
        <f t="shared" si="14"/>
        <v>100</v>
      </c>
      <c r="X30" s="1214"/>
      <c r="Y30" s="3399"/>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94"/>
      <c r="Q31" s="625">
        <f t="shared" si="11"/>
        <v>111</v>
      </c>
      <c r="R31" s="1219" t="s">
        <v>1393</v>
      </c>
      <c r="S31" s="1220">
        <f t="shared" si="12"/>
        <v>100</v>
      </c>
      <c r="T31" s="1219" t="s">
        <v>1393</v>
      </c>
      <c r="U31" s="1220">
        <f t="shared" si="13"/>
        <v>100</v>
      </c>
      <c r="V31" s="1219" t="s">
        <v>1393</v>
      </c>
      <c r="W31" s="1220">
        <f t="shared" si="14"/>
        <v>100</v>
      </c>
      <c r="X31" s="1214"/>
      <c r="Y31" s="3399"/>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94"/>
      <c r="Q32" s="625">
        <f t="shared" si="11"/>
        <v>111</v>
      </c>
      <c r="R32" s="1219" t="s">
        <v>1393</v>
      </c>
      <c r="S32" s="1220">
        <f t="shared" si="12"/>
        <v>100</v>
      </c>
      <c r="T32" s="1219" t="s">
        <v>1393</v>
      </c>
      <c r="U32" s="1220">
        <f t="shared" si="13"/>
        <v>100</v>
      </c>
      <c r="V32" s="1219" t="s">
        <v>1393</v>
      </c>
      <c r="W32" s="1220">
        <f t="shared" si="14"/>
        <v>100</v>
      </c>
      <c r="X32" s="1214"/>
      <c r="Y32" s="3399"/>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95" t="s">
        <v>1421</v>
      </c>
      <c r="Q33" s="625" t="str">
        <f t="shared" si="11"/>
        <v>建筑类型</v>
      </c>
      <c r="R33" s="1219" t="s">
        <v>1393</v>
      </c>
      <c r="S33" s="1220">
        <f t="shared" si="12"/>
        <v>100</v>
      </c>
      <c r="T33" s="1219" t="s">
        <v>1393</v>
      </c>
      <c r="U33" s="1220">
        <f t="shared" si="13"/>
        <v>100</v>
      </c>
      <c r="V33" s="1219" t="s">
        <v>1393</v>
      </c>
      <c r="W33" s="1220">
        <f t="shared" si="14"/>
        <v>100</v>
      </c>
      <c r="X33" s="1214"/>
      <c r="Y33" s="3400"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158.43</v>
      </c>
      <c r="D34" s="1048">
        <v>100</v>
      </c>
      <c r="E34" s="1381">
        <v>361.7</v>
      </c>
      <c r="F34" s="1046">
        <f>LOOKUP(E34,104:104,105:105)-LOOKUP(C34,104:104,105:105)+100</f>
        <v>102</v>
      </c>
      <c r="G34" s="1381">
        <v>158.43</v>
      </c>
      <c r="H34" s="1048">
        <f>LOOKUP(G34,104:104,105:105)-LOOKUP(C34,104:104,105:105)+100</f>
        <v>100</v>
      </c>
      <c r="I34" s="1381">
        <f>Sheet1!M39</f>
        <v>128.76</v>
      </c>
      <c r="J34" s="1048">
        <f>LOOKUP(I34,104:104,105:105)-LOOKUP(C34,104:104,105:105)+100</f>
        <v>100</v>
      </c>
      <c r="K34" s="1189"/>
      <c r="L34" s="1182"/>
      <c r="M34" s="1191"/>
      <c r="N34" s="1191"/>
      <c r="O34" s="1191"/>
      <c r="P34" s="3396"/>
      <c r="Q34" s="1415" t="str">
        <f t="shared" si="11"/>
        <v>项目建筑规模</v>
      </c>
      <c r="R34" s="1221" t="s">
        <v>1393</v>
      </c>
      <c r="S34" s="1222">
        <f t="shared" si="12"/>
        <v>102</v>
      </c>
      <c r="T34" s="1221" t="s">
        <v>1393</v>
      </c>
      <c r="U34" s="1222">
        <f t="shared" si="13"/>
        <v>100</v>
      </c>
      <c r="V34" s="1221" t="s">
        <v>1393</v>
      </c>
      <c r="W34" s="1222">
        <f t="shared" si="14"/>
        <v>100</v>
      </c>
      <c r="X34" s="1223"/>
      <c r="Y34" s="3400"/>
      <c r="Z34" s="1228" t="str">
        <f t="shared" si="15"/>
        <v>项目建筑规模</v>
      </c>
      <c r="AA34" s="1204">
        <f t="shared" si="3"/>
        <v>0.98039215686274506</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96"/>
      <c r="Q35" s="625" t="str">
        <f t="shared" si="11"/>
        <v>建筑结构</v>
      </c>
      <c r="R35" s="1219" t="s">
        <v>1393</v>
      </c>
      <c r="S35" s="1220">
        <f t="shared" si="12"/>
        <v>100</v>
      </c>
      <c r="T35" s="1219" t="s">
        <v>1393</v>
      </c>
      <c r="U35" s="1220">
        <f t="shared" si="13"/>
        <v>100</v>
      </c>
      <c r="V35" s="1219" t="s">
        <v>1393</v>
      </c>
      <c r="W35" s="1220">
        <f t="shared" si="14"/>
        <v>100</v>
      </c>
      <c r="X35" s="1214"/>
      <c r="Y35" s="3400"/>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96"/>
      <c r="Q36" s="625" t="str">
        <f t="shared" si="11"/>
        <v>公共部分装修</v>
      </c>
      <c r="R36" s="1219" t="s">
        <v>1393</v>
      </c>
      <c r="S36" s="1220">
        <f t="shared" si="12"/>
        <v>100</v>
      </c>
      <c r="T36" s="1219" t="s">
        <v>1393</v>
      </c>
      <c r="U36" s="1220">
        <f t="shared" si="13"/>
        <v>100</v>
      </c>
      <c r="V36" s="1219" t="s">
        <v>1393</v>
      </c>
      <c r="W36" s="1220">
        <f t="shared" si="14"/>
        <v>100</v>
      </c>
      <c r="X36" s="1214"/>
      <c r="Y36" s="3400"/>
      <c r="Z36" s="1204" t="str">
        <f t="shared" si="15"/>
        <v>公共部分装修</v>
      </c>
      <c r="AA36" s="1204">
        <f t="shared" si="3"/>
        <v>1</v>
      </c>
      <c r="AB36" s="1204">
        <f t="shared" si="4"/>
        <v>1</v>
      </c>
      <c r="AC36" s="2097">
        <f t="shared" si="5"/>
        <v>1</v>
      </c>
    </row>
    <row r="37" spans="1:29" ht="15">
      <c r="A37" s="1098"/>
      <c r="B37" s="1046" t="s">
        <v>683</v>
      </c>
      <c r="C37" s="1391">
        <f>'数据-取费表'!N6</f>
        <v>0.84</v>
      </c>
      <c r="D37" s="759">
        <v>100</v>
      </c>
      <c r="E37" s="1391">
        <f>C37</f>
        <v>0.84</v>
      </c>
      <c r="F37" s="1199">
        <f>LOOKUP(E37,111:111,112:112)-LOOKUP(C37,111:111,112:112)+100</f>
        <v>100</v>
      </c>
      <c r="G37" s="1391">
        <f>E37</f>
        <v>0.84</v>
      </c>
      <c r="H37" s="1199">
        <f>LOOKUP(G37,111:111,112:112)-LOOKUP(C37,111:111,112:112)+100</f>
        <v>100</v>
      </c>
      <c r="I37" s="1391">
        <f>G37</f>
        <v>0.84</v>
      </c>
      <c r="J37" s="759">
        <f>LOOKUP(I37,111:111,112:112)-LOOKUP(C37,111:111,112:112)+100</f>
        <v>100</v>
      </c>
      <c r="K37" s="1190"/>
      <c r="L37" s="1184"/>
      <c r="M37" s="1122"/>
      <c r="N37" s="1122"/>
      <c r="O37" s="1122"/>
      <c r="P37" s="3396"/>
      <c r="Q37" s="625" t="str">
        <f t="shared" si="11"/>
        <v>成新度</v>
      </c>
      <c r="R37" s="1219" t="s">
        <v>1393</v>
      </c>
      <c r="S37" s="1220">
        <f t="shared" si="12"/>
        <v>100</v>
      </c>
      <c r="T37" s="1219" t="s">
        <v>1393</v>
      </c>
      <c r="U37" s="1220">
        <f t="shared" si="13"/>
        <v>100</v>
      </c>
      <c r="V37" s="1219" t="s">
        <v>1393</v>
      </c>
      <c r="W37" s="1220">
        <f t="shared" si="14"/>
        <v>100</v>
      </c>
      <c r="X37" s="1214"/>
      <c r="Y37" s="3400"/>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96"/>
      <c r="Q38" s="794" t="str">
        <f t="shared" si="11"/>
        <v>写字楼等级</v>
      </c>
      <c r="R38" s="1215" t="s">
        <v>1393</v>
      </c>
      <c r="S38" s="1216">
        <f t="shared" si="12"/>
        <v>100</v>
      </c>
      <c r="T38" s="1215" t="s">
        <v>1393</v>
      </c>
      <c r="U38" s="1216">
        <f t="shared" si="13"/>
        <v>100</v>
      </c>
      <c r="V38" s="1215" t="s">
        <v>1393</v>
      </c>
      <c r="W38" s="1216">
        <f t="shared" si="14"/>
        <v>100</v>
      </c>
      <c r="X38" s="1217"/>
      <c r="Y38" s="3400"/>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96" t="s">
        <v>1421</v>
      </c>
      <c r="Q39" s="625" t="str">
        <f t="shared" si="11"/>
        <v>物业管理</v>
      </c>
      <c r="R39" s="1219" t="s">
        <v>1393</v>
      </c>
      <c r="S39" s="1220">
        <f t="shared" si="12"/>
        <v>100</v>
      </c>
      <c r="T39" s="1219" t="s">
        <v>1393</v>
      </c>
      <c r="U39" s="1220">
        <f t="shared" si="13"/>
        <v>100</v>
      </c>
      <c r="V39" s="1219" t="s">
        <v>1393</v>
      </c>
      <c r="W39" s="1220">
        <f t="shared" si="14"/>
        <v>100</v>
      </c>
      <c r="X39" s="1214"/>
      <c r="Y39" s="3400"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96"/>
      <c r="Q40" s="625" t="str">
        <f t="shared" si="11"/>
        <v>市政基础设施</v>
      </c>
      <c r="R40" s="1219" t="s">
        <v>1393</v>
      </c>
      <c r="S40" s="1220">
        <f t="shared" si="12"/>
        <v>100</v>
      </c>
      <c r="T40" s="1219" t="s">
        <v>1393</v>
      </c>
      <c r="U40" s="1220">
        <f t="shared" si="13"/>
        <v>100</v>
      </c>
      <c r="V40" s="1219" t="s">
        <v>1393</v>
      </c>
      <c r="W40" s="1220">
        <f t="shared" si="14"/>
        <v>100</v>
      </c>
      <c r="X40" s="1214"/>
      <c r="Y40" s="3400"/>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96"/>
      <c r="Q41" s="625" t="str">
        <f t="shared" si="11"/>
        <v>层高</v>
      </c>
      <c r="R41" s="1219" t="s">
        <v>1393</v>
      </c>
      <c r="S41" s="1220">
        <f t="shared" si="12"/>
        <v>100</v>
      </c>
      <c r="T41" s="1219" t="s">
        <v>1393</v>
      </c>
      <c r="U41" s="1220">
        <f t="shared" si="13"/>
        <v>100</v>
      </c>
      <c r="V41" s="1219" t="s">
        <v>1393</v>
      </c>
      <c r="W41" s="1220">
        <f t="shared" si="14"/>
        <v>100</v>
      </c>
      <c r="X41" s="1214"/>
      <c r="Y41" s="3400"/>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96"/>
      <c r="Q42" s="1415" t="str">
        <f t="shared" si="11"/>
        <v>单套建筑面积</v>
      </c>
      <c r="R42" s="1221" t="s">
        <v>1393</v>
      </c>
      <c r="S42" s="1222">
        <f t="shared" si="12"/>
        <v>100</v>
      </c>
      <c r="T42" s="1221" t="s">
        <v>1393</v>
      </c>
      <c r="U42" s="1222">
        <f t="shared" si="13"/>
        <v>100</v>
      </c>
      <c r="V42" s="1221" t="s">
        <v>1393</v>
      </c>
      <c r="W42" s="1222">
        <f t="shared" si="14"/>
        <v>100</v>
      </c>
      <c r="X42" s="1223"/>
      <c r="Y42" s="3400"/>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v>2</v>
      </c>
      <c r="L43" s="1184"/>
      <c r="M43" s="1122"/>
      <c r="N43" s="1122"/>
      <c r="O43" s="1122"/>
      <c r="P43" s="3396"/>
      <c r="Q43" s="625" t="str">
        <f t="shared" si="11"/>
        <v>内部装修</v>
      </c>
      <c r="R43" s="1219" t="s">
        <v>1393</v>
      </c>
      <c r="S43" s="1220">
        <f t="shared" si="12"/>
        <v>100</v>
      </c>
      <c r="T43" s="1219" t="s">
        <v>1393</v>
      </c>
      <c r="U43" s="1220">
        <f t="shared" si="13"/>
        <v>100</v>
      </c>
      <c r="V43" s="1219" t="s">
        <v>1393</v>
      </c>
      <c r="W43" s="1220">
        <f t="shared" si="14"/>
        <v>100</v>
      </c>
      <c r="X43" s="1214"/>
      <c r="Y43" s="3400"/>
      <c r="Z43" s="1204" t="str">
        <f t="shared" si="15"/>
        <v>内部装修</v>
      </c>
      <c r="AA43" s="1204">
        <f t="shared" si="3"/>
        <v>1</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96"/>
      <c r="Q44" s="625" t="str">
        <f t="shared" si="11"/>
        <v>内部装修维护情况</v>
      </c>
      <c r="R44" s="1219" t="s">
        <v>1393</v>
      </c>
      <c r="S44" s="1220">
        <f t="shared" si="12"/>
        <v>100</v>
      </c>
      <c r="T44" s="1219" t="s">
        <v>1393</v>
      </c>
      <c r="U44" s="1220">
        <f t="shared" si="13"/>
        <v>100</v>
      </c>
      <c r="V44" s="1219" t="s">
        <v>1393</v>
      </c>
      <c r="W44" s="1220">
        <f t="shared" si="14"/>
        <v>100</v>
      </c>
      <c r="X44" s="1214"/>
      <c r="Y44" s="3400"/>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96"/>
      <c r="Q45" s="794">
        <f t="shared" si="11"/>
        <v>111</v>
      </c>
      <c r="R45" s="1215" t="s">
        <v>1393</v>
      </c>
      <c r="S45" s="1216">
        <f t="shared" si="12"/>
        <v>100</v>
      </c>
      <c r="T45" s="1215" t="s">
        <v>1393</v>
      </c>
      <c r="U45" s="1216">
        <f t="shared" si="13"/>
        <v>100</v>
      </c>
      <c r="V45" s="1215" t="s">
        <v>1393</v>
      </c>
      <c r="W45" s="1216">
        <f t="shared" si="14"/>
        <v>100</v>
      </c>
      <c r="X45" s="1217"/>
      <c r="Y45" s="3400"/>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96"/>
      <c r="Q46" s="625">
        <f t="shared" si="11"/>
        <v>111</v>
      </c>
      <c r="R46" s="1219" t="s">
        <v>1393</v>
      </c>
      <c r="S46" s="1220">
        <f t="shared" si="12"/>
        <v>100</v>
      </c>
      <c r="T46" s="1219" t="s">
        <v>1393</v>
      </c>
      <c r="U46" s="1220">
        <f t="shared" si="13"/>
        <v>100</v>
      </c>
      <c r="V46" s="1219" t="s">
        <v>1393</v>
      </c>
      <c r="W46" s="1220">
        <f t="shared" si="14"/>
        <v>100</v>
      </c>
      <c r="X46" s="1214"/>
      <c r="Y46" s="3400"/>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97"/>
      <c r="Q47" s="625">
        <f t="shared" si="11"/>
        <v>111</v>
      </c>
      <c r="R47" s="1219" t="s">
        <v>1393</v>
      </c>
      <c r="S47" s="1220">
        <f t="shared" si="12"/>
        <v>100</v>
      </c>
      <c r="T47" s="1219" t="s">
        <v>1393</v>
      </c>
      <c r="U47" s="1220">
        <f t="shared" si="13"/>
        <v>100</v>
      </c>
      <c r="V47" s="1219" t="s">
        <v>1393</v>
      </c>
      <c r="W47" s="1220">
        <f t="shared" si="14"/>
        <v>100</v>
      </c>
      <c r="X47" s="1214"/>
      <c r="Y47" s="3401"/>
      <c r="Z47" s="1204">
        <f t="shared" si="15"/>
        <v>111</v>
      </c>
      <c r="AA47" s="1204">
        <f t="shared" si="3"/>
        <v>1</v>
      </c>
      <c r="AB47" s="1204">
        <f t="shared" si="4"/>
        <v>1</v>
      </c>
      <c r="AC47" s="2097">
        <f t="shared" si="5"/>
        <v>1</v>
      </c>
    </row>
    <row r="48" spans="1:29" ht="15">
      <c r="A48" s="1105" t="s">
        <v>1437</v>
      </c>
      <c r="B48" s="1398"/>
      <c r="C48" s="1399" t="s">
        <v>124</v>
      </c>
      <c r="D48" s="1108"/>
      <c r="E48" s="1109">
        <v>20770</v>
      </c>
      <c r="F48" s="1110"/>
      <c r="G48" s="1109">
        <v>20770</v>
      </c>
      <c r="H48" s="1112"/>
      <c r="I48" s="1109">
        <f>Sheet1!O39</f>
        <v>19277</v>
      </c>
      <c r="J48" s="1112"/>
      <c r="K48" s="1195"/>
      <c r="L48" s="1196"/>
      <c r="M48" s="1122"/>
      <c r="N48" s="1122"/>
      <c r="O48" s="1122"/>
      <c r="P48" s="3385" t="str">
        <f>A48</f>
        <v>成交单价（元/平方米）</v>
      </c>
      <c r="Q48" s="3386"/>
      <c r="R48" s="3384">
        <f>E48</f>
        <v>20770</v>
      </c>
      <c r="S48" s="3384"/>
      <c r="T48" s="3384">
        <f>G48</f>
        <v>20770</v>
      </c>
      <c r="U48" s="3384"/>
      <c r="V48" s="3384">
        <f>I48</f>
        <v>19277</v>
      </c>
      <c r="W48" s="3384"/>
      <c r="X48" s="1162"/>
      <c r="Y48" s="1229"/>
      <c r="Z48" s="1162"/>
      <c r="AA48" s="1162"/>
      <c r="AB48" s="1162"/>
      <c r="AC48" s="1067"/>
    </row>
    <row r="49" spans="1:29" ht="15">
      <c r="A49" s="1113" t="s">
        <v>1438</v>
      </c>
      <c r="B49" s="1400"/>
      <c r="C49" s="1401">
        <f>R50</f>
        <v>20777</v>
      </c>
      <c r="D49" s="1116" t="s">
        <v>1439</v>
      </c>
      <c r="E49" s="1402">
        <f>R49</f>
        <v>20363</v>
      </c>
      <c r="F49" s="1117"/>
      <c r="G49" s="1401">
        <f>T49</f>
        <v>22096</v>
      </c>
      <c r="H49" s="1117"/>
      <c r="I49" s="1402">
        <f>V49</f>
        <v>19873</v>
      </c>
      <c r="J49" s="1117"/>
      <c r="K49" s="1197">
        <f>F49+H49+J49</f>
        <v>0</v>
      </c>
      <c r="L49" s="1196"/>
      <c r="M49" s="1122"/>
      <c r="N49" s="1122"/>
      <c r="O49" s="1122"/>
      <c r="P49" s="3385" t="str">
        <f>A49</f>
        <v>比较价值（元/平方米）</v>
      </c>
      <c r="Q49" s="3386"/>
      <c r="R49" s="3384">
        <f>IF(F1="售价",ROUND(PRODUCT(R48,AA7:AA47),0),ROUND(PRODUCT(R48,AA7:AA47),1))</f>
        <v>20363</v>
      </c>
      <c r="S49" s="3384"/>
      <c r="T49" s="3384">
        <f>IF(F1="售价",ROUND(PRODUCT(T48,AB7:AB47),0),ROUND(PRODUCT(T48,AB7:AB47),1))</f>
        <v>22096</v>
      </c>
      <c r="U49" s="3384"/>
      <c r="V49" s="3384">
        <f>IF(F1="售价",ROUND(PRODUCT(V48,AC7:AC47),0),ROUND(PRODUCT(V48,AC7:AC47),1))</f>
        <v>19873</v>
      </c>
      <c r="W49" s="3384"/>
      <c r="X49" s="1162"/>
      <c r="Y49" s="1162"/>
      <c r="Z49" s="1162"/>
      <c r="AA49" s="1162"/>
      <c r="AB49" s="1162"/>
      <c r="AC49" s="1067"/>
    </row>
    <row r="50" spans="1:29" ht="15">
      <c r="A50" s="1119" t="s">
        <v>1440</v>
      </c>
      <c r="B50" s="1120"/>
      <c r="C50" s="1032">
        <f>R50</f>
        <v>20777</v>
      </c>
      <c r="D50" s="1032"/>
      <c r="E50" s="1032"/>
      <c r="F50" s="1032"/>
      <c r="G50" s="1032"/>
      <c r="H50" s="1032"/>
      <c r="I50" s="1032"/>
      <c r="J50" s="1121"/>
      <c r="K50" s="1198"/>
      <c r="L50" s="1196"/>
      <c r="M50" s="1122"/>
      <c r="N50" s="1122"/>
      <c r="O50" s="1122"/>
      <c r="P50" s="3387" t="str">
        <f>A50</f>
        <v>估价对象XX用房的比较价值（楼面单价，元/平方米）</v>
      </c>
      <c r="Q50" s="3388"/>
      <c r="R50" s="3389">
        <f>IF(F1="售价",ROUND(IF(D49="简单平均",AVERAGE(R49:V49),R49*F49+T49*H49+V49*J49),0),ROUND(IF(D49="简单平均",AVERAGE(R49:V49),R49*F49+T49*H49+V49*J49),1))</f>
        <v>20777</v>
      </c>
      <c r="S50" s="3389"/>
      <c r="T50" s="3389"/>
      <c r="U50" s="3389"/>
      <c r="V50" s="3389"/>
      <c r="W50" s="3389"/>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1.9987231743849199E-2</v>
      </c>
      <c r="F53" s="1126" t="str">
        <f>IF(OR(E53&gt;=0.3,E53&lt;=-0.3),"超过30%","")</f>
        <v/>
      </c>
      <c r="G53" s="1125">
        <f>IF(G48&lt;G49,G49/G48-1,G48/G49-1)</f>
        <v>6.3842079922965755E-2</v>
      </c>
      <c r="H53" s="1126" t="str">
        <f>IF(OR(G53&gt;=0.3,G53&lt;=-0.3),"超过30%","")</f>
        <v/>
      </c>
      <c r="I53" s="1125">
        <f>IF(I48&lt;I49,I49/I48-1,I48/I49-1)</f>
        <v>3.0917673911915688E-2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8.51053381132445E-2</v>
      </c>
      <c r="F54" s="1126" t="str">
        <f>IF(OR(E54&gt;=0.2,E54&lt;=-0.2),"超过20%","")</f>
        <v/>
      </c>
      <c r="G54" s="1125">
        <f>IF(G49&lt;I49,I49/G49-1,G49/I49-1)</f>
        <v>0.11186031298747046</v>
      </c>
      <c r="H54" s="1126" t="str">
        <f>IF(OR(G54&gt;=0.2,G54&lt;=-0.2),"超过20%","")</f>
        <v/>
      </c>
      <c r="I54" s="1125">
        <f>IF(I49&lt;E49,E49/I49-1,I49/E49-1)</f>
        <v>2.4656569214512203E-2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v>
      </c>
      <c r="F55" s="1126" t="str">
        <f>IF(OR(E55&gt;=0.3,E55&lt;=-0.3),"超过30%","")</f>
        <v/>
      </c>
      <c r="G55" s="1125">
        <f>IF(G48&lt;I48,I48/G48-1,G48/I48-1)</f>
        <v>7.7449810655184859E-2</v>
      </c>
      <c r="H55" s="1126" t="str">
        <f>IF(OR(G55&gt;=0.3,G55&lt;=-0.3),"超过30%","")</f>
        <v/>
      </c>
      <c r="I55" s="1125">
        <f>IF(I48&lt;E48,E48/I48-1,I48/E48-1)</f>
        <v>7.7449810655184859E-2</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2025-11</v>
      </c>
      <c r="D59" s="1407">
        <f>EDATE(C59,-1)</f>
        <v>45931</v>
      </c>
      <c r="E59" s="1407">
        <f>EDATE(D59,-1)</f>
        <v>45901</v>
      </c>
      <c r="F59" s="1407">
        <f t="shared" ref="F59:O59" si="16">EDATE(E59,-1)</f>
        <v>45870</v>
      </c>
      <c r="G59" s="1407">
        <f t="shared" si="16"/>
        <v>45839</v>
      </c>
      <c r="H59" s="1407">
        <f t="shared" si="16"/>
        <v>45809</v>
      </c>
      <c r="I59" s="1407">
        <f t="shared" si="16"/>
        <v>45778</v>
      </c>
      <c r="J59" s="1407">
        <f t="shared" si="16"/>
        <v>45748</v>
      </c>
      <c r="K59" s="1407">
        <f t="shared" si="16"/>
        <v>45717</v>
      </c>
      <c r="L59" s="1407">
        <f t="shared" si="16"/>
        <v>45689</v>
      </c>
      <c r="M59" s="1407">
        <f t="shared" si="16"/>
        <v>45658</v>
      </c>
      <c r="N59" s="1407">
        <f t="shared" si="16"/>
        <v>45627</v>
      </c>
      <c r="O59" s="1407">
        <f t="shared" si="16"/>
        <v>45597</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v>100</v>
      </c>
      <c r="F60" s="1245">
        <v>100</v>
      </c>
      <c r="G60" s="1245">
        <v>100</v>
      </c>
      <c r="H60" s="1245">
        <v>100</v>
      </c>
      <c r="I60" s="1245">
        <v>100</v>
      </c>
      <c r="J60" s="1245">
        <v>100</v>
      </c>
      <c r="K60" s="1245">
        <v>100</v>
      </c>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102</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24468</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407" t="s">
        <v>1379</v>
      </c>
      <c r="D4" s="3408"/>
      <c r="E4" s="3409" t="s">
        <v>1380</v>
      </c>
      <c r="F4" s="3410"/>
      <c r="G4" s="3407" t="s">
        <v>1381</v>
      </c>
      <c r="H4" s="3408"/>
      <c r="I4" s="3407" t="s">
        <v>1382</v>
      </c>
      <c r="J4" s="3408"/>
      <c r="K4" s="1171" t="s">
        <v>1383</v>
      </c>
      <c r="L4" s="1172"/>
      <c r="M4" s="1122"/>
      <c r="N4" s="1122"/>
      <c r="O4" s="1122"/>
      <c r="P4" s="3414" t="s">
        <v>1384</v>
      </c>
      <c r="Q4" s="3415"/>
      <c r="R4" s="3418" t="s">
        <v>1380</v>
      </c>
      <c r="S4" s="3419"/>
      <c r="T4" s="3418" t="s">
        <v>1381</v>
      </c>
      <c r="U4" s="3419"/>
      <c r="V4" s="3384" t="s">
        <v>1382</v>
      </c>
      <c r="W4" s="3384"/>
      <c r="X4" s="1214"/>
      <c r="Y4" s="3418" t="s">
        <v>1384</v>
      </c>
      <c r="Z4" s="3419"/>
      <c r="AA4" s="3413" t="s">
        <v>1380</v>
      </c>
      <c r="AB4" s="3384" t="s">
        <v>1381</v>
      </c>
      <c r="AC4" s="3413" t="s">
        <v>1382</v>
      </c>
    </row>
    <row r="5" spans="1:29" ht="15">
      <c r="A5" s="1029"/>
      <c r="B5" s="1030"/>
      <c r="C5" s="3423" t="s">
        <v>1385</v>
      </c>
      <c r="D5" s="3412"/>
      <c r="E5" s="3424"/>
      <c r="F5" s="3425"/>
      <c r="G5" s="3423"/>
      <c r="H5" s="3412"/>
      <c r="I5" s="3423"/>
      <c r="J5" s="3412"/>
      <c r="K5" s="1171"/>
      <c r="L5" s="1172"/>
      <c r="M5" s="1122"/>
      <c r="N5" s="1122"/>
      <c r="O5" s="1122"/>
      <c r="P5" s="3416"/>
      <c r="Q5" s="3374"/>
      <c r="R5" s="3379"/>
      <c r="S5" s="3380"/>
      <c r="T5" s="3379"/>
      <c r="U5" s="3380"/>
      <c r="V5" s="3384"/>
      <c r="W5" s="3384"/>
      <c r="X5" s="1214"/>
      <c r="Y5" s="3379"/>
      <c r="Z5" s="3380"/>
      <c r="AA5" s="3366"/>
      <c r="AB5" s="3384"/>
      <c r="AC5" s="3366"/>
    </row>
    <row r="6" spans="1:29" ht="15">
      <c r="A6" s="1031"/>
      <c r="B6" s="1032"/>
      <c r="C6" s="3402" t="s">
        <v>1389</v>
      </c>
      <c r="D6" s="3403"/>
      <c r="E6" s="3404" t="s">
        <v>1389</v>
      </c>
      <c r="F6" s="3405"/>
      <c r="G6" s="3402" t="s">
        <v>1389</v>
      </c>
      <c r="H6" s="3403"/>
      <c r="I6" s="3402" t="s">
        <v>1389</v>
      </c>
      <c r="J6" s="3403"/>
      <c r="K6" s="1171" t="s">
        <v>1390</v>
      </c>
      <c r="L6" s="1172"/>
      <c r="M6" s="1122"/>
      <c r="N6" s="1122"/>
      <c r="O6" s="1122"/>
      <c r="P6" s="3417"/>
      <c r="Q6" s="3376"/>
      <c r="R6" s="3379"/>
      <c r="S6" s="3380"/>
      <c r="T6" s="3381"/>
      <c r="U6" s="3382"/>
      <c r="V6" s="3384"/>
      <c r="W6" s="3384"/>
      <c r="X6" s="1214"/>
      <c r="Y6" s="3381"/>
      <c r="Z6" s="3382"/>
      <c r="AA6" s="3367"/>
      <c r="AB6" s="3384"/>
      <c r="AC6" s="3367"/>
    </row>
    <row r="7" spans="1:29" s="1008" customFormat="1" ht="15">
      <c r="A7" s="1033" t="s">
        <v>1391</v>
      </c>
      <c r="B7" s="1034"/>
      <c r="C7" s="1035">
        <f>'数据-取费表'!B2</f>
        <v>45975</v>
      </c>
      <c r="D7" s="1036">
        <v>100</v>
      </c>
      <c r="E7" s="1037">
        <v>45901</v>
      </c>
      <c r="F7" s="1038">
        <f>SUMIF(58:58,YEAR(E7)&amp;"-"&amp;MONTH(E7),59:59)</f>
        <v>100.5</v>
      </c>
      <c r="G7" s="1037">
        <v>45901</v>
      </c>
      <c r="H7" s="1036">
        <f>SUMIF(58:58,YEAR(G7)&amp;"-"&amp;MONTH(G7),59:59)</f>
        <v>100.5</v>
      </c>
      <c r="I7" s="1037">
        <v>45901</v>
      </c>
      <c r="J7" s="1036">
        <f>SUMIF(58:58,YEAR(I7)&amp;"-"&amp;MONTH(I7),59:59)</f>
        <v>100.5</v>
      </c>
      <c r="K7" s="1173"/>
      <c r="L7" s="1174"/>
      <c r="M7" s="1175"/>
      <c r="N7" s="1175"/>
      <c r="O7" s="1175"/>
      <c r="P7" s="3390" t="s">
        <v>1392</v>
      </c>
      <c r="Q7" s="3406"/>
      <c r="R7" s="1215" t="s">
        <v>1393</v>
      </c>
      <c r="S7" s="1216">
        <f t="shared" ref="S7:S15" si="0">F7</f>
        <v>100.5</v>
      </c>
      <c r="T7" s="1215" t="s">
        <v>1393</v>
      </c>
      <c r="U7" s="1216">
        <f t="shared" ref="U7:U15" si="1">H7</f>
        <v>100.5</v>
      </c>
      <c r="V7" s="1215" t="s">
        <v>1393</v>
      </c>
      <c r="W7" s="1216">
        <f t="shared" ref="W7:W15" si="2">J7</f>
        <v>100.5</v>
      </c>
      <c r="X7" s="1217"/>
      <c r="Y7" s="3390" t="s">
        <v>1392</v>
      </c>
      <c r="Z7" s="3391"/>
      <c r="AA7" s="1227">
        <f>D7/F7</f>
        <v>0.99502487562189057</v>
      </c>
      <c r="AB7" s="1227">
        <f>D7/H7</f>
        <v>0.99502487562189057</v>
      </c>
      <c r="AC7" s="1227">
        <f>D7/J7</f>
        <v>0.99502487562189057</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90" t="s">
        <v>1397</v>
      </c>
      <c r="Q8" s="3391"/>
      <c r="R8" s="1215" t="s">
        <v>1393</v>
      </c>
      <c r="S8" s="1216">
        <f t="shared" si="0"/>
        <v>102</v>
      </c>
      <c r="T8" s="1215" t="s">
        <v>1393</v>
      </c>
      <c r="U8" s="1216">
        <f t="shared" si="1"/>
        <v>102</v>
      </c>
      <c r="V8" s="1215" t="s">
        <v>1393</v>
      </c>
      <c r="W8" s="1216">
        <f t="shared" si="2"/>
        <v>102</v>
      </c>
      <c r="X8" s="1217"/>
      <c r="Y8" s="3390" t="s">
        <v>1397</v>
      </c>
      <c r="Z8" s="3391"/>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85" t="s">
        <v>1400</v>
      </c>
      <c r="Q9" s="794" t="str">
        <f t="shared" ref="Q9:Q15" si="6">B9</f>
        <v>用途</v>
      </c>
      <c r="R9" s="1215" t="s">
        <v>1393</v>
      </c>
      <c r="S9" s="1216">
        <f t="shared" si="0"/>
        <v>100</v>
      </c>
      <c r="T9" s="1215" t="s">
        <v>1393</v>
      </c>
      <c r="U9" s="1216">
        <f t="shared" si="1"/>
        <v>100</v>
      </c>
      <c r="V9" s="1215" t="s">
        <v>1393</v>
      </c>
      <c r="W9" s="1216">
        <f t="shared" si="2"/>
        <v>100</v>
      </c>
      <c r="X9" s="1217"/>
      <c r="Y9" s="3272"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85"/>
      <c r="Q10" s="794" t="str">
        <f t="shared" si="6"/>
        <v>土地使用年限（年）</v>
      </c>
      <c r="R10" s="1215" t="s">
        <v>1393</v>
      </c>
      <c r="S10" s="1216">
        <f t="shared" si="0"/>
        <v>100</v>
      </c>
      <c r="T10" s="1215" t="s">
        <v>1393</v>
      </c>
      <c r="U10" s="1216">
        <f t="shared" si="1"/>
        <v>100</v>
      </c>
      <c r="V10" s="1215" t="s">
        <v>1393</v>
      </c>
      <c r="W10" s="1216">
        <f t="shared" si="2"/>
        <v>100</v>
      </c>
      <c r="X10" s="1217"/>
      <c r="Y10" s="3272"/>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85"/>
      <c r="Q11" s="794" t="str">
        <f t="shared" si="6"/>
        <v>容积率</v>
      </c>
      <c r="R11" s="1215" t="s">
        <v>1393</v>
      </c>
      <c r="S11" s="1216">
        <f t="shared" si="0"/>
        <v>100</v>
      </c>
      <c r="T11" s="1215" t="s">
        <v>1393</v>
      </c>
      <c r="U11" s="1216">
        <f t="shared" si="1"/>
        <v>100</v>
      </c>
      <c r="V11" s="1215" t="s">
        <v>1393</v>
      </c>
      <c r="W11" s="1216">
        <f t="shared" si="2"/>
        <v>100</v>
      </c>
      <c r="X11" s="1217"/>
      <c r="Y11" s="3272"/>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85"/>
      <c r="Q12" s="794">
        <f t="shared" si="6"/>
        <v>111</v>
      </c>
      <c r="R12" s="1215" t="s">
        <v>1393</v>
      </c>
      <c r="S12" s="1216">
        <f t="shared" si="0"/>
        <v>100</v>
      </c>
      <c r="T12" s="1215" t="s">
        <v>1393</v>
      </c>
      <c r="U12" s="1216">
        <f t="shared" si="1"/>
        <v>100</v>
      </c>
      <c r="V12" s="1215" t="s">
        <v>1393</v>
      </c>
      <c r="W12" s="1216">
        <f t="shared" si="2"/>
        <v>100</v>
      </c>
      <c r="X12" s="1217"/>
      <c r="Y12" s="3272"/>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85"/>
      <c r="Q13" s="794">
        <f t="shared" si="6"/>
        <v>111</v>
      </c>
      <c r="R13" s="1215" t="s">
        <v>1393</v>
      </c>
      <c r="S13" s="1216">
        <f t="shared" si="0"/>
        <v>100</v>
      </c>
      <c r="T13" s="1215" t="s">
        <v>1393</v>
      </c>
      <c r="U13" s="1216">
        <f t="shared" si="1"/>
        <v>100</v>
      </c>
      <c r="V13" s="1215" t="s">
        <v>1393</v>
      </c>
      <c r="W13" s="1216">
        <f t="shared" si="2"/>
        <v>100</v>
      </c>
      <c r="X13" s="1217"/>
      <c r="Y13" s="3272"/>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85"/>
      <c r="Q14" s="794">
        <f t="shared" si="6"/>
        <v>111</v>
      </c>
      <c r="R14" s="1215" t="s">
        <v>1393</v>
      </c>
      <c r="S14" s="1216">
        <f t="shared" si="0"/>
        <v>100</v>
      </c>
      <c r="T14" s="1215" t="s">
        <v>1393</v>
      </c>
      <c r="U14" s="1216">
        <f t="shared" si="1"/>
        <v>100</v>
      </c>
      <c r="V14" s="1215" t="s">
        <v>1393</v>
      </c>
      <c r="W14" s="1216">
        <f t="shared" si="2"/>
        <v>100</v>
      </c>
      <c r="X14" s="1217"/>
      <c r="Y14" s="3272"/>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93" t="s">
        <v>1406</v>
      </c>
      <c r="Q15" s="625" t="str">
        <f t="shared" si="6"/>
        <v>商业繁华度</v>
      </c>
      <c r="R15" s="1219" t="s">
        <v>1393</v>
      </c>
      <c r="S15" s="1220">
        <f t="shared" si="0"/>
        <v>100</v>
      </c>
      <c r="T15" s="1219" t="s">
        <v>1393</v>
      </c>
      <c r="U15" s="1220">
        <f t="shared" si="1"/>
        <v>100</v>
      </c>
      <c r="V15" s="1219" t="s">
        <v>1393</v>
      </c>
      <c r="W15" s="1220">
        <f t="shared" si="2"/>
        <v>103</v>
      </c>
      <c r="X15" s="1214"/>
      <c r="Y15" s="3398"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94"/>
      <c r="Q16" s="625"/>
      <c r="R16" s="1219"/>
      <c r="S16" s="1220"/>
      <c r="T16" s="1219"/>
      <c r="U16" s="1220"/>
      <c r="V16" s="1219"/>
      <c r="W16" s="1220"/>
      <c r="X16" s="1214"/>
      <c r="Y16" s="3399"/>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94"/>
      <c r="Q17" s="625" t="str">
        <f>B17</f>
        <v>交通便捷度</v>
      </c>
      <c r="R17" s="1219" t="s">
        <v>1393</v>
      </c>
      <c r="S17" s="1220">
        <f>F17</f>
        <v>100</v>
      </c>
      <c r="T17" s="1219" t="s">
        <v>1393</v>
      </c>
      <c r="U17" s="1220">
        <f>H17</f>
        <v>100</v>
      </c>
      <c r="V17" s="1219" t="s">
        <v>1393</v>
      </c>
      <c r="W17" s="1220">
        <f>J17</f>
        <v>102</v>
      </c>
      <c r="X17" s="1214"/>
      <c r="Y17" s="3399"/>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94"/>
      <c r="Q18" s="625"/>
      <c r="R18" s="1219"/>
      <c r="S18" s="1220"/>
      <c r="T18" s="1219"/>
      <c r="U18" s="1220"/>
      <c r="V18" s="1219"/>
      <c r="W18" s="1220"/>
      <c r="X18" s="1214"/>
      <c r="Y18" s="3399"/>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94"/>
      <c r="Q19" s="625" t="str">
        <f>B19</f>
        <v>公共配套设施</v>
      </c>
      <c r="R19" s="1219" t="s">
        <v>1393</v>
      </c>
      <c r="S19" s="1220">
        <f>F19</f>
        <v>100</v>
      </c>
      <c r="T19" s="1219" t="s">
        <v>1393</v>
      </c>
      <c r="U19" s="1220">
        <f>H19</f>
        <v>100</v>
      </c>
      <c r="V19" s="1219" t="s">
        <v>1393</v>
      </c>
      <c r="W19" s="1220">
        <f>J19</f>
        <v>100</v>
      </c>
      <c r="X19" s="1214"/>
      <c r="Y19" s="3399"/>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94"/>
      <c r="Q20" s="625"/>
      <c r="R20" s="1219"/>
      <c r="S20" s="1220"/>
      <c r="T20" s="1219"/>
      <c r="U20" s="1220"/>
      <c r="V20" s="1219"/>
      <c r="W20" s="1220"/>
      <c r="X20" s="1214"/>
      <c r="Y20" s="3399"/>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94"/>
      <c r="Q21" s="625" t="str">
        <f>B21</f>
        <v>基础设施水平</v>
      </c>
      <c r="R21" s="1219" t="s">
        <v>1393</v>
      </c>
      <c r="S21" s="1220">
        <f>F21</f>
        <v>100</v>
      </c>
      <c r="T21" s="1219" t="s">
        <v>1393</v>
      </c>
      <c r="U21" s="1220">
        <f>H21</f>
        <v>100</v>
      </c>
      <c r="V21" s="1219" t="s">
        <v>1393</v>
      </c>
      <c r="W21" s="1220">
        <f>J21</f>
        <v>100</v>
      </c>
      <c r="X21" s="1214"/>
      <c r="Y21" s="3399"/>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94"/>
      <c r="Q22" s="625"/>
      <c r="R22" s="1219"/>
      <c r="S22" s="1220"/>
      <c r="T22" s="1219"/>
      <c r="U22" s="1220"/>
      <c r="V22" s="1219"/>
      <c r="W22" s="1220"/>
      <c r="X22" s="1214"/>
      <c r="Y22" s="3399"/>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94"/>
      <c r="Q23" s="625" t="str">
        <f>B23</f>
        <v>自然及人文环境</v>
      </c>
      <c r="R23" s="1219" t="s">
        <v>1393</v>
      </c>
      <c r="S23" s="1220">
        <f>F23</f>
        <v>100</v>
      </c>
      <c r="T23" s="1219" t="s">
        <v>1393</v>
      </c>
      <c r="U23" s="1220">
        <f>H23</f>
        <v>100</v>
      </c>
      <c r="V23" s="1219" t="s">
        <v>1393</v>
      </c>
      <c r="W23" s="1220">
        <f>J23</f>
        <v>100</v>
      </c>
      <c r="X23" s="1214"/>
      <c r="Y23" s="3399"/>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94"/>
      <c r="Q24" s="625"/>
      <c r="R24" s="1219"/>
      <c r="S24" s="1220"/>
      <c r="T24" s="1219"/>
      <c r="U24" s="1220"/>
      <c r="V24" s="1219"/>
      <c r="W24" s="1220"/>
      <c r="X24" s="1214"/>
      <c r="Y24" s="3399"/>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94"/>
      <c r="Q25" s="625" t="str">
        <f t="shared" ref="Q25:Q46" si="11">B25</f>
        <v>临街状况</v>
      </c>
      <c r="R25" s="1219" t="s">
        <v>1393</v>
      </c>
      <c r="S25" s="1220">
        <f>F25</f>
        <v>100</v>
      </c>
      <c r="T25" s="1219" t="s">
        <v>1393</v>
      </c>
      <c r="U25" s="1220">
        <f>H25</f>
        <v>100</v>
      </c>
      <c r="V25" s="1219" t="s">
        <v>1393</v>
      </c>
      <c r="W25" s="1220">
        <f>J25</f>
        <v>100</v>
      </c>
      <c r="X25" s="1214"/>
      <c r="Y25" s="3399"/>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94"/>
      <c r="Q26" s="625" t="str">
        <f t="shared" si="11"/>
        <v>平面位置/可视性</v>
      </c>
      <c r="R26" s="1219" t="s">
        <v>1393</v>
      </c>
      <c r="S26" s="1220">
        <f>F26</f>
        <v>100</v>
      </c>
      <c r="T26" s="1219" t="s">
        <v>1393</v>
      </c>
      <c r="U26" s="1220">
        <f>H26</f>
        <v>100</v>
      </c>
      <c r="V26" s="1219" t="s">
        <v>1393</v>
      </c>
      <c r="W26" s="1220">
        <f>J26</f>
        <v>100</v>
      </c>
      <c r="X26" s="1214"/>
      <c r="Y26" s="3399"/>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94"/>
      <c r="Q27" s="794" t="str">
        <f t="shared" si="11"/>
        <v>人流量</v>
      </c>
      <c r="R27" s="1215" t="s">
        <v>1393</v>
      </c>
      <c r="S27" s="1216">
        <f>F27</f>
        <v>100</v>
      </c>
      <c r="T27" s="1215" t="s">
        <v>1393</v>
      </c>
      <c r="U27" s="1216">
        <f>H27</f>
        <v>100</v>
      </c>
      <c r="V27" s="1215" t="s">
        <v>1393</v>
      </c>
      <c r="W27" s="1216">
        <f>J27</f>
        <v>100</v>
      </c>
      <c r="X27" s="1217"/>
      <c r="Y27" s="3399"/>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94"/>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99"/>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94"/>
      <c r="Q29" s="625">
        <f t="shared" si="11"/>
        <v>111</v>
      </c>
      <c r="R29" s="1219" t="s">
        <v>1393</v>
      </c>
      <c r="S29" s="1220">
        <f t="shared" si="12"/>
        <v>100</v>
      </c>
      <c r="T29" s="1219" t="s">
        <v>1393</v>
      </c>
      <c r="U29" s="1220">
        <f t="shared" si="13"/>
        <v>100</v>
      </c>
      <c r="V29" s="1219" t="s">
        <v>1393</v>
      </c>
      <c r="W29" s="1220">
        <f t="shared" si="14"/>
        <v>100</v>
      </c>
      <c r="X29" s="1214"/>
      <c r="Y29" s="3399"/>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94"/>
      <c r="Q30" s="625">
        <f t="shared" si="11"/>
        <v>111</v>
      </c>
      <c r="R30" s="1219" t="s">
        <v>1393</v>
      </c>
      <c r="S30" s="1220">
        <f t="shared" si="12"/>
        <v>100</v>
      </c>
      <c r="T30" s="1219" t="s">
        <v>1393</v>
      </c>
      <c r="U30" s="1220">
        <f t="shared" si="13"/>
        <v>100</v>
      </c>
      <c r="V30" s="1219" t="s">
        <v>1393</v>
      </c>
      <c r="W30" s="1220">
        <f t="shared" si="14"/>
        <v>100</v>
      </c>
      <c r="X30" s="1214"/>
      <c r="Y30" s="3399"/>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94"/>
      <c r="Q31" s="625">
        <f t="shared" si="11"/>
        <v>111</v>
      </c>
      <c r="R31" s="1219" t="s">
        <v>1393</v>
      </c>
      <c r="S31" s="1220">
        <f t="shared" si="12"/>
        <v>100</v>
      </c>
      <c r="T31" s="1219" t="s">
        <v>1393</v>
      </c>
      <c r="U31" s="1220">
        <f t="shared" si="13"/>
        <v>100</v>
      </c>
      <c r="V31" s="1219" t="s">
        <v>1393</v>
      </c>
      <c r="W31" s="1220">
        <f t="shared" si="14"/>
        <v>100</v>
      </c>
      <c r="X31" s="1214"/>
      <c r="Y31" s="3399"/>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95" t="s">
        <v>1421</v>
      </c>
      <c r="Q32" s="625" t="str">
        <f t="shared" si="11"/>
        <v>商业类型</v>
      </c>
      <c r="R32" s="1219" t="s">
        <v>1393</v>
      </c>
      <c r="S32" s="1220">
        <f t="shared" si="12"/>
        <v>100</v>
      </c>
      <c r="T32" s="1219" t="s">
        <v>1393</v>
      </c>
      <c r="U32" s="1220">
        <f t="shared" si="13"/>
        <v>100</v>
      </c>
      <c r="V32" s="1219" t="s">
        <v>1393</v>
      </c>
      <c r="W32" s="1220">
        <f t="shared" si="14"/>
        <v>100</v>
      </c>
      <c r="X32" s="1214"/>
      <c r="Y32" s="3400"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158.43</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96"/>
      <c r="Q33" s="1415" t="str">
        <f t="shared" si="11"/>
        <v>项目建筑规模</v>
      </c>
      <c r="R33" s="1221" t="s">
        <v>1393</v>
      </c>
      <c r="S33" s="1222">
        <f t="shared" si="12"/>
        <v>99</v>
      </c>
      <c r="T33" s="1221" t="s">
        <v>1393</v>
      </c>
      <c r="U33" s="1222">
        <f t="shared" si="13"/>
        <v>100</v>
      </c>
      <c r="V33" s="1221" t="s">
        <v>1393</v>
      </c>
      <c r="W33" s="1222">
        <f t="shared" si="14"/>
        <v>100</v>
      </c>
      <c r="X33" s="1223"/>
      <c r="Y33" s="3400"/>
      <c r="Z33" s="1228" t="str">
        <f t="shared" si="15"/>
        <v>项目建筑规模</v>
      </c>
      <c r="AA33" s="1204">
        <f t="shared" si="3"/>
        <v>1.0101010101010102</v>
      </c>
      <c r="AB33" s="1204">
        <f t="shared" si="4"/>
        <v>1</v>
      </c>
      <c r="AC33" s="1204">
        <f t="shared" si="5"/>
        <v>1</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96"/>
      <c r="Q34" s="625" t="str">
        <f t="shared" si="11"/>
        <v>建筑结构</v>
      </c>
      <c r="R34" s="1219" t="s">
        <v>1393</v>
      </c>
      <c r="S34" s="1220">
        <f t="shared" si="12"/>
        <v>100</v>
      </c>
      <c r="T34" s="1219" t="s">
        <v>1393</v>
      </c>
      <c r="U34" s="1220">
        <f t="shared" si="13"/>
        <v>100</v>
      </c>
      <c r="V34" s="1219" t="s">
        <v>1393</v>
      </c>
      <c r="W34" s="1220">
        <f t="shared" si="14"/>
        <v>100</v>
      </c>
      <c r="X34" s="1214"/>
      <c r="Y34" s="3400"/>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96"/>
      <c r="Q35" s="625" t="str">
        <f t="shared" si="11"/>
        <v>公共部分装修</v>
      </c>
      <c r="R35" s="1219" t="s">
        <v>1393</v>
      </c>
      <c r="S35" s="1220">
        <f t="shared" si="12"/>
        <v>100</v>
      </c>
      <c r="T35" s="1219" t="s">
        <v>1393</v>
      </c>
      <c r="U35" s="1220">
        <f t="shared" si="13"/>
        <v>100</v>
      </c>
      <c r="V35" s="1219" t="s">
        <v>1393</v>
      </c>
      <c r="W35" s="1220">
        <f t="shared" si="14"/>
        <v>100</v>
      </c>
      <c r="X35" s="1214"/>
      <c r="Y35" s="3400"/>
      <c r="Z35" s="1204" t="str">
        <f t="shared" si="15"/>
        <v>公共部分装修</v>
      </c>
      <c r="AA35" s="1204">
        <f t="shared" si="3"/>
        <v>1</v>
      </c>
      <c r="AB35" s="1204">
        <f t="shared" si="4"/>
        <v>1</v>
      </c>
      <c r="AC35" s="1204">
        <f t="shared" si="5"/>
        <v>1</v>
      </c>
    </row>
    <row r="36" spans="1:29" ht="15">
      <c r="A36" s="1098"/>
      <c r="B36" s="1046" t="s">
        <v>683</v>
      </c>
      <c r="C36" s="1391">
        <f>'数据-取费表'!N6</f>
        <v>0.84</v>
      </c>
      <c r="D36" s="759">
        <v>100</v>
      </c>
      <c r="E36" s="1391">
        <f>C36</f>
        <v>0.84</v>
      </c>
      <c r="F36" s="1199">
        <f>LOOKUP(E36,110:110,111:111)-LOOKUP(C36,110:110,111:111)+100</f>
        <v>100</v>
      </c>
      <c r="G36" s="1391">
        <f>E36</f>
        <v>0.84</v>
      </c>
      <c r="H36" s="1199">
        <f>LOOKUP(G36,110:110,111:111)-LOOKUP(C36,110:110,111:111)+100</f>
        <v>100</v>
      </c>
      <c r="I36" s="1391">
        <f>G36</f>
        <v>0.84</v>
      </c>
      <c r="J36" s="759">
        <f>LOOKUP(I36,110:110,111:111)-LOOKUP(C36,110:110,111:111)+100</f>
        <v>100</v>
      </c>
      <c r="K36" s="1190"/>
      <c r="L36" s="1184"/>
      <c r="M36" s="1122"/>
      <c r="N36" s="1122"/>
      <c r="O36" s="1122"/>
      <c r="P36" s="3396"/>
      <c r="Q36" s="625" t="str">
        <f t="shared" si="11"/>
        <v>成新度</v>
      </c>
      <c r="R36" s="1219" t="s">
        <v>1393</v>
      </c>
      <c r="S36" s="1220">
        <f t="shared" si="12"/>
        <v>100</v>
      </c>
      <c r="T36" s="1219" t="s">
        <v>1393</v>
      </c>
      <c r="U36" s="1220">
        <f t="shared" si="13"/>
        <v>100</v>
      </c>
      <c r="V36" s="1219" t="s">
        <v>1393</v>
      </c>
      <c r="W36" s="1220">
        <f t="shared" si="14"/>
        <v>100</v>
      </c>
      <c r="X36" s="1214"/>
      <c r="Y36" s="3400"/>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96"/>
      <c r="Q37" s="794" t="str">
        <f t="shared" si="11"/>
        <v>市政基础设施</v>
      </c>
      <c r="R37" s="1215" t="s">
        <v>1393</v>
      </c>
      <c r="S37" s="1216">
        <f t="shared" si="12"/>
        <v>100</v>
      </c>
      <c r="T37" s="1215" t="s">
        <v>1393</v>
      </c>
      <c r="U37" s="1216">
        <f t="shared" si="13"/>
        <v>100</v>
      </c>
      <c r="V37" s="1215" t="s">
        <v>1393</v>
      </c>
      <c r="W37" s="1216">
        <f t="shared" si="14"/>
        <v>100</v>
      </c>
      <c r="X37" s="1217"/>
      <c r="Y37" s="3400"/>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96" t="s">
        <v>1421</v>
      </c>
      <c r="Q38" s="625" t="str">
        <f t="shared" si="11"/>
        <v>业态</v>
      </c>
      <c r="R38" s="1219" t="s">
        <v>1393</v>
      </c>
      <c r="S38" s="1220">
        <f t="shared" si="12"/>
        <v>100</v>
      </c>
      <c r="T38" s="1219" t="s">
        <v>1393</v>
      </c>
      <c r="U38" s="1220">
        <f t="shared" si="13"/>
        <v>100</v>
      </c>
      <c r="V38" s="1219" t="s">
        <v>1393</v>
      </c>
      <c r="W38" s="1220">
        <f t="shared" si="14"/>
        <v>100</v>
      </c>
      <c r="X38" s="1214"/>
      <c r="Y38" s="3400"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96"/>
      <c r="Q39" s="625" t="str">
        <f t="shared" si="11"/>
        <v>层高</v>
      </c>
      <c r="R39" s="1219" t="s">
        <v>1393</v>
      </c>
      <c r="S39" s="1220">
        <f t="shared" si="12"/>
        <v>104</v>
      </c>
      <c r="T39" s="1219" t="s">
        <v>1393</v>
      </c>
      <c r="U39" s="1220">
        <f t="shared" si="13"/>
        <v>104</v>
      </c>
      <c r="V39" s="1219" t="s">
        <v>1393</v>
      </c>
      <c r="W39" s="1220">
        <f t="shared" si="14"/>
        <v>104</v>
      </c>
      <c r="X39" s="1214"/>
      <c r="Y39" s="3400"/>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96"/>
      <c r="Q40" s="625" t="str">
        <f t="shared" si="11"/>
        <v>单套建筑面积</v>
      </c>
      <c r="R40" s="1219" t="s">
        <v>1393</v>
      </c>
      <c r="S40" s="1220">
        <f t="shared" si="12"/>
        <v>100</v>
      </c>
      <c r="T40" s="1219" t="s">
        <v>1393</v>
      </c>
      <c r="U40" s="1220">
        <f t="shared" si="13"/>
        <v>100</v>
      </c>
      <c r="V40" s="1219" t="s">
        <v>1393</v>
      </c>
      <c r="W40" s="1220">
        <f t="shared" si="14"/>
        <v>100</v>
      </c>
      <c r="X40" s="1214"/>
      <c r="Y40" s="3400"/>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96"/>
      <c r="Q41" s="1415" t="str">
        <f t="shared" si="11"/>
        <v>进深比</v>
      </c>
      <c r="R41" s="1221" t="s">
        <v>1393</v>
      </c>
      <c r="S41" s="1222">
        <f t="shared" si="12"/>
        <v>100</v>
      </c>
      <c r="T41" s="1221" t="s">
        <v>1393</v>
      </c>
      <c r="U41" s="1222">
        <f t="shared" si="13"/>
        <v>100</v>
      </c>
      <c r="V41" s="1221" t="s">
        <v>1393</v>
      </c>
      <c r="W41" s="1222">
        <f t="shared" si="14"/>
        <v>100</v>
      </c>
      <c r="X41" s="1223"/>
      <c r="Y41" s="3400"/>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96"/>
      <c r="Q42" s="625" t="str">
        <f t="shared" si="11"/>
        <v>内部装修</v>
      </c>
      <c r="R42" s="1219" t="s">
        <v>1393</v>
      </c>
      <c r="S42" s="1220">
        <f t="shared" si="12"/>
        <v>100</v>
      </c>
      <c r="T42" s="1219" t="s">
        <v>1393</v>
      </c>
      <c r="U42" s="1220">
        <f t="shared" si="13"/>
        <v>100</v>
      </c>
      <c r="V42" s="1219" t="s">
        <v>1393</v>
      </c>
      <c r="W42" s="1220">
        <f t="shared" si="14"/>
        <v>100</v>
      </c>
      <c r="X42" s="1214"/>
      <c r="Y42" s="3400"/>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96"/>
      <c r="Q43" s="625" t="str">
        <f t="shared" si="11"/>
        <v>内部装修维护情况</v>
      </c>
      <c r="R43" s="1219" t="s">
        <v>1393</v>
      </c>
      <c r="S43" s="1220">
        <f t="shared" si="12"/>
        <v>100</v>
      </c>
      <c r="T43" s="1219" t="s">
        <v>1393</v>
      </c>
      <c r="U43" s="1220">
        <f t="shared" si="13"/>
        <v>100</v>
      </c>
      <c r="V43" s="1219" t="s">
        <v>1393</v>
      </c>
      <c r="W43" s="1220">
        <f t="shared" si="14"/>
        <v>100</v>
      </c>
      <c r="X43" s="1214"/>
      <c r="Y43" s="3400"/>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96"/>
      <c r="Q44" s="794" t="str">
        <f t="shared" si="11"/>
        <v>户型</v>
      </c>
      <c r="R44" s="1215" t="s">
        <v>1393</v>
      </c>
      <c r="S44" s="1216">
        <f t="shared" si="12"/>
        <v>90</v>
      </c>
      <c r="T44" s="1215" t="s">
        <v>1393</v>
      </c>
      <c r="U44" s="1216">
        <f t="shared" si="13"/>
        <v>90</v>
      </c>
      <c r="V44" s="1215" t="s">
        <v>1393</v>
      </c>
      <c r="W44" s="1216">
        <f t="shared" si="14"/>
        <v>90</v>
      </c>
      <c r="X44" s="1217"/>
      <c r="Y44" s="3400"/>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96"/>
      <c r="Q45" s="625">
        <f t="shared" si="11"/>
        <v>111</v>
      </c>
      <c r="R45" s="1219" t="s">
        <v>1393</v>
      </c>
      <c r="S45" s="1220">
        <f t="shared" si="12"/>
        <v>100</v>
      </c>
      <c r="T45" s="1219" t="s">
        <v>1393</v>
      </c>
      <c r="U45" s="1220">
        <f t="shared" si="13"/>
        <v>100</v>
      </c>
      <c r="V45" s="1219" t="s">
        <v>1393</v>
      </c>
      <c r="W45" s="1220">
        <f t="shared" si="14"/>
        <v>100</v>
      </c>
      <c r="X45" s="1214"/>
      <c r="Y45" s="3400"/>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97"/>
      <c r="Q46" s="625">
        <f t="shared" si="11"/>
        <v>111</v>
      </c>
      <c r="R46" s="1219" t="s">
        <v>1393</v>
      </c>
      <c r="S46" s="1220">
        <f t="shared" si="12"/>
        <v>100</v>
      </c>
      <c r="T46" s="1219" t="s">
        <v>1393</v>
      </c>
      <c r="U46" s="1220">
        <f t="shared" si="13"/>
        <v>100</v>
      </c>
      <c r="V46" s="1219" t="s">
        <v>1393</v>
      </c>
      <c r="W46" s="1220">
        <f t="shared" si="14"/>
        <v>100</v>
      </c>
      <c r="X46" s="1214"/>
      <c r="Y46" s="3401"/>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86" t="str">
        <f>A47</f>
        <v>成交单价（元/平方米）</v>
      </c>
      <c r="Q47" s="3386"/>
      <c r="R47" s="3384">
        <f>E47</f>
        <v>23131</v>
      </c>
      <c r="S47" s="3384"/>
      <c r="T47" s="3384">
        <f>G47</f>
        <v>24588</v>
      </c>
      <c r="U47" s="3384"/>
      <c r="V47" s="3384">
        <f>I47</f>
        <v>24559</v>
      </c>
      <c r="W47" s="3384"/>
      <c r="X47" s="1162"/>
      <c r="Y47" s="1229"/>
      <c r="Z47" s="1162"/>
      <c r="AA47" s="1162"/>
      <c r="AB47" s="1162"/>
      <c r="AC47" s="1162"/>
    </row>
    <row r="48" spans="1:29" ht="15">
      <c r="A48" s="1113" t="s">
        <v>1438</v>
      </c>
      <c r="B48" s="1400"/>
      <c r="C48" s="1401">
        <f>R49</f>
        <v>24468</v>
      </c>
      <c r="D48" s="1116" t="s">
        <v>1439</v>
      </c>
      <c r="E48" s="1402">
        <f>R48</f>
        <v>24351</v>
      </c>
      <c r="F48" s="1117">
        <v>0.4</v>
      </c>
      <c r="G48" s="1401">
        <f>T48</f>
        <v>25626</v>
      </c>
      <c r="H48" s="1117">
        <v>0.2</v>
      </c>
      <c r="I48" s="1402">
        <f>V48</f>
        <v>23426</v>
      </c>
      <c r="J48" s="1117">
        <v>0.4</v>
      </c>
      <c r="K48" s="1197">
        <f>F48+H48+J48</f>
        <v>1</v>
      </c>
      <c r="L48" s="1196"/>
      <c r="M48" s="1122"/>
      <c r="N48" s="1122"/>
      <c r="O48" s="1122"/>
      <c r="P48" s="3386" t="str">
        <f>A48</f>
        <v>比较价值（元/平方米）</v>
      </c>
      <c r="Q48" s="3386"/>
      <c r="R48" s="3384">
        <f>IF(F1="售价",ROUND(PRODUCT(R47,AA7:AA46),0),ROUND(PRODUCT(R47,AA7:AA46),1))</f>
        <v>24351</v>
      </c>
      <c r="S48" s="3384"/>
      <c r="T48" s="3384">
        <f>IF(F1="售价",ROUND(PRODUCT(T47,AB7:AB46),0),ROUND(PRODUCT(T47,AB7:AB46),1))</f>
        <v>25626</v>
      </c>
      <c r="U48" s="3384"/>
      <c r="V48" s="3384">
        <f>IF(F1="售价",ROUND(PRODUCT(V47,AC7:AC46),0),ROUND(PRODUCT(V47,AC7:AC46),1))</f>
        <v>23426</v>
      </c>
      <c r="W48" s="3384"/>
      <c r="X48" s="1162"/>
      <c r="Y48" s="1162"/>
      <c r="Z48" s="1162"/>
      <c r="AA48" s="1162"/>
      <c r="AB48" s="1162"/>
      <c r="AC48" s="1162"/>
    </row>
    <row r="49" spans="1:29" ht="15">
      <c r="A49" s="1119" t="s">
        <v>1440</v>
      </c>
      <c r="B49" s="1120"/>
      <c r="C49" s="1032">
        <f>R49</f>
        <v>24468</v>
      </c>
      <c r="D49" s="1032"/>
      <c r="E49" s="1032"/>
      <c r="F49" s="1032"/>
      <c r="G49" s="1032"/>
      <c r="H49" s="1032"/>
      <c r="I49" s="1032"/>
      <c r="J49" s="1032"/>
      <c r="K49" s="1198"/>
      <c r="L49" s="1196"/>
      <c r="M49" s="1122"/>
      <c r="N49" s="1122"/>
      <c r="O49" s="1122"/>
      <c r="P49" s="3420" t="str">
        <f>A49</f>
        <v>估价对象XX用房的比较价值（楼面单价，元/平方米）</v>
      </c>
      <c r="Q49" s="3421"/>
      <c r="R49" s="3422">
        <f>IF(F1="售价",ROUND(IF(D48="简单平均",AVERAGE(R48:V48),R48*F48+T48*H48+V48*J48),0),ROUND(IF(D48="简单平均",AVERAGE(R48:V48),R48*F48+T48*H48+V48*J48),1))</f>
        <v>24468</v>
      </c>
      <c r="S49" s="3422"/>
      <c r="T49" s="3422"/>
      <c r="U49" s="3422"/>
      <c r="V49" s="3422"/>
      <c r="W49" s="3422"/>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5.2743072067787722E-2</v>
      </c>
      <c r="F52" s="1126" t="str">
        <f>IF(OR(E52&gt;=0.3,E52&lt;=-0.3),"超过30%","")</f>
        <v/>
      </c>
      <c r="G52" s="1125">
        <f>IF(G47&lt;G48,G48/G47-1,G47/G48-1)</f>
        <v>4.221571498291854E-2</v>
      </c>
      <c r="H52" s="1126" t="str">
        <f>IF(OR(G52&gt;=0.3,G52&lt;=-0.3),"超过30%","")</f>
        <v/>
      </c>
      <c r="I52" s="1125">
        <f>IF(I47&lt;I48,I48/I47-1,I47/I48-1)</f>
        <v>4.8365064458294249E-2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5.2359246026857154E-2</v>
      </c>
      <c r="F53" s="1126" t="str">
        <f>IF(OR(E53&gt;=0.2,E53&lt;=-0.2),"超过20%","")</f>
        <v/>
      </c>
      <c r="G53" s="1125">
        <f>IF(G48&lt;I48,I48/G48-1,G48/I48-1)</f>
        <v>9.3912746520959711E-2</v>
      </c>
      <c r="H53" s="1126" t="str">
        <f>IF(OR(G53&gt;=0.2,G53&lt;=-0.2),"超过20%","")</f>
        <v/>
      </c>
      <c r="I53" s="1125">
        <f>IF(I48&lt;E48,E48/I48-1,I48/E48-1)</f>
        <v>3.9486041150857965E-2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2025-11</v>
      </c>
      <c r="D58" s="1407">
        <f>EDATE(C58,-1)</f>
        <v>45931</v>
      </c>
      <c r="E58" s="1407">
        <f t="shared" ref="E58:O58" si="16">EDATE(D58,-1)</f>
        <v>45901</v>
      </c>
      <c r="F58" s="1407">
        <f t="shared" si="16"/>
        <v>45870</v>
      </c>
      <c r="G58" s="1407">
        <f t="shared" si="16"/>
        <v>45839</v>
      </c>
      <c r="H58" s="1407">
        <f t="shared" si="16"/>
        <v>45809</v>
      </c>
      <c r="I58" s="1407">
        <f t="shared" si="16"/>
        <v>45778</v>
      </c>
      <c r="J58" s="1407">
        <f t="shared" si="16"/>
        <v>45748</v>
      </c>
      <c r="K58" s="1407">
        <f t="shared" si="16"/>
        <v>45717</v>
      </c>
      <c r="L58" s="1407">
        <f t="shared" si="16"/>
        <v>45689</v>
      </c>
      <c r="M58" s="1407">
        <f t="shared" si="16"/>
        <v>45658</v>
      </c>
      <c r="N58" s="1407">
        <f t="shared" si="16"/>
        <v>45627</v>
      </c>
      <c r="O58" s="1407">
        <f t="shared" si="16"/>
        <v>45597</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32" sqref="D32:D3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37.42</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262.03530000000001</v>
      </c>
      <c r="C2" s="1826" t="s">
        <v>1187</v>
      </c>
      <c r="D2" s="1827">
        <f ca="1">C40+J29+L46</f>
        <v>2620353</v>
      </c>
      <c r="E2" s="1828" t="s">
        <v>1462</v>
      </c>
      <c r="F2" s="1829"/>
      <c r="G2" s="1830"/>
      <c r="H2" s="1831"/>
      <c r="I2" s="1831"/>
      <c r="J2" s="1831"/>
      <c r="K2" s="1986"/>
      <c r="L2" s="1831"/>
      <c r="M2" s="1831"/>
    </row>
    <row r="3" spans="1:37" ht="18" customHeight="1">
      <c r="A3" s="1832" t="s">
        <v>1188</v>
      </c>
      <c r="B3" s="1833">
        <f ca="1">IF(ISERROR(D2/F43),0,ROUND(D2/F43,0))</f>
        <v>16540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156328</v>
      </c>
      <c r="D5" s="1842" t="s">
        <v>1197</v>
      </c>
      <c r="E5" s="1843"/>
      <c r="F5" s="1844"/>
      <c r="G5" s="718"/>
      <c r="H5" s="1839">
        <v>1</v>
      </c>
      <c r="I5" s="1840" t="s">
        <v>1196</v>
      </c>
      <c r="J5" s="1841">
        <f ca="1">J6+J10+J12</f>
        <v>0</v>
      </c>
      <c r="K5" s="1842" t="s">
        <v>1197</v>
      </c>
      <c r="L5" s="1843"/>
      <c r="M5" s="1844"/>
    </row>
    <row r="6" spans="1:37" ht="18" customHeight="1">
      <c r="A6" s="1845" t="s">
        <v>939</v>
      </c>
      <c r="B6" s="3362" t="s">
        <v>1198</v>
      </c>
      <c r="C6" s="1846">
        <f ca="1">ROUND(F6*F8*F7*(1-F9),0)</f>
        <v>156133</v>
      </c>
      <c r="D6" s="1847" t="s">
        <v>1463</v>
      </c>
      <c r="E6" s="1848" t="s">
        <v>1200</v>
      </c>
      <c r="F6" s="1849">
        <f ca="1">INDIRECT("'数据-取费表'!u"&amp;$G$1)</f>
        <v>3</v>
      </c>
      <c r="G6" s="718"/>
      <c r="H6" s="1845" t="s">
        <v>939</v>
      </c>
      <c r="I6" s="3362" t="s">
        <v>1198</v>
      </c>
      <c r="J6" s="1919">
        <f ca="1">ROUND(M6*M8*M7*(1-M9),0)</f>
        <v>0</v>
      </c>
      <c r="K6" s="1989" t="s">
        <v>1464</v>
      </c>
      <c r="L6" s="1848" t="s">
        <v>1200</v>
      </c>
      <c r="M6" s="1849">
        <f ca="1">INDIRECT("'数据-取费表'!z"&amp;$G$1)</f>
        <v>0</v>
      </c>
    </row>
    <row r="7" spans="1:37" ht="18" customHeight="1">
      <c r="A7" s="1850"/>
      <c r="B7" s="3363"/>
      <c r="C7" s="1851"/>
      <c r="D7" s="1852"/>
      <c r="E7" s="1853" t="s">
        <v>1202</v>
      </c>
      <c r="F7" s="1849">
        <f ca="1">IF(INDIRECT("'数据-取费表'!ah"&amp;$G$1)="",INDIRECT("'数据-取费表'!k"&amp;$G$1),INDIRECT("'数据-取费表'!ah"&amp;$G$1))</f>
        <v>158.43</v>
      </c>
      <c r="G7" s="718"/>
      <c r="H7" s="1854"/>
      <c r="I7" s="3363"/>
      <c r="J7" s="1855"/>
      <c r="K7" s="1852"/>
      <c r="L7" s="1848" t="s">
        <v>1202</v>
      </c>
      <c r="M7" s="1849">
        <f ca="1">F7</f>
        <v>158.43</v>
      </c>
    </row>
    <row r="8" spans="1:37" ht="18" customHeight="1">
      <c r="A8" s="1854"/>
      <c r="B8" s="3363"/>
      <c r="C8" s="1855"/>
      <c r="D8" s="1852"/>
      <c r="E8" s="1848" t="s">
        <v>1203</v>
      </c>
      <c r="F8" s="1849">
        <f ca="1">INDIRECT("'数据-取费表'!ai"&amp;$G$1)</f>
        <v>365</v>
      </c>
      <c r="G8" s="718"/>
      <c r="H8" s="1854"/>
      <c r="I8" s="3363"/>
      <c r="J8" s="1855"/>
      <c r="K8" s="1852"/>
      <c r="L8" s="1848" t="s">
        <v>1203</v>
      </c>
      <c r="M8" s="1849">
        <f ca="1">INDIRECT("'数据-取费表'!ai"&amp;$G$1)</f>
        <v>365</v>
      </c>
    </row>
    <row r="9" spans="1:37" ht="18" customHeight="1">
      <c r="A9" s="1854"/>
      <c r="B9" s="3364"/>
      <c r="C9" s="1855"/>
      <c r="D9" s="1852"/>
      <c r="E9" s="1848" t="s">
        <v>1204</v>
      </c>
      <c r="F9" s="1856">
        <f ca="1">INDIRECT("'数据-取费表'!w"&amp;$G$1)</f>
        <v>0.1</v>
      </c>
      <c r="G9" s="718"/>
      <c r="H9" s="1854"/>
      <c r="I9" s="3364"/>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195</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886733</v>
      </c>
      <c r="D13" s="1875" t="s">
        <v>1212</v>
      </c>
      <c r="E13" s="1875" t="s">
        <v>1213</v>
      </c>
      <c r="F13" s="1876">
        <f ca="1">INDIRECT("'数据-取费表'!y"&amp;$G$1)</f>
        <v>0.84</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712935</v>
      </c>
      <c r="D14" s="1879" t="s">
        <v>1215</v>
      </c>
      <c r="E14" s="1880"/>
      <c r="F14" s="1881"/>
      <c r="G14" s="718"/>
      <c r="H14" s="1877" t="s">
        <v>939</v>
      </c>
      <c r="I14" s="1848" t="s">
        <v>1216</v>
      </c>
      <c r="J14" s="950">
        <f ca="1">C29</f>
        <v>1055635</v>
      </c>
      <c r="K14" s="1998"/>
      <c r="L14" s="1999"/>
      <c r="M14" s="2000"/>
    </row>
    <row r="15" spans="1:37" s="1816" customFormat="1" ht="18" customHeight="1">
      <c r="A15" s="1877" t="s">
        <v>966</v>
      </c>
      <c r="B15" s="1848" t="s">
        <v>1145</v>
      </c>
      <c r="C15" s="950">
        <f ca="1">ROUND(C14*F15,0)</f>
        <v>42776</v>
      </c>
      <c r="D15" s="1882" t="s">
        <v>1217</v>
      </c>
      <c r="E15" s="1882" t="s">
        <v>1218</v>
      </c>
      <c r="F15" s="1883">
        <f>'数据-取费表'!B33</f>
        <v>0.06</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2111</v>
      </c>
      <c r="K16" s="1897" t="s">
        <v>1221</v>
      </c>
      <c r="L16" s="1898"/>
      <c r="M16" s="1844"/>
    </row>
    <row r="17" spans="1:37" s="1816" customFormat="1" ht="18" customHeight="1">
      <c r="A17" s="1877" t="s">
        <v>1222</v>
      </c>
      <c r="B17" s="1848" t="s">
        <v>1223</v>
      </c>
      <c r="C17" s="950">
        <f ca="1">ROUND(F17*(F43+INDIRECT("'数据-取费表'!S"&amp;$G$1)),0)</f>
        <v>31686</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14259</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5.5000000000000007E-2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801656</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24050</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2111</v>
      </c>
      <c r="K22" s="1901" t="s">
        <v>1247</v>
      </c>
      <c r="L22" s="1848" t="s">
        <v>1218</v>
      </c>
      <c r="M22" s="1913">
        <f ca="1">INDIRECT("'数据-取费表'!Ak"&amp;$G$1)</f>
        <v>2E-3</v>
      </c>
    </row>
    <row r="23" spans="1:37" s="1816" customFormat="1" ht="18" customHeight="1">
      <c r="A23" s="1877" t="s">
        <v>962</v>
      </c>
      <c r="B23" s="1848" t="s">
        <v>1248</v>
      </c>
      <c r="C23" s="950">
        <f ca="1">IF('数据-取费表'!B22&lt;=1,ROUND(C19*F24*F23/2,0)+ROUND(C20*F24*F23/2,0),ROUND(C19*(POWER((1+F24),F23/2)-1),0)+ROUND(C20*(POWER((1+F24),F23/2)-1),0))</f>
        <v>25845</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-2111</v>
      </c>
      <c r="K25" s="1916" t="s">
        <v>1259</v>
      </c>
      <c r="L25" s="1917"/>
      <c r="M25" s="1918"/>
    </row>
    <row r="26" spans="1:37" ht="18" customHeight="1">
      <c r="A26" s="1877" t="s">
        <v>962</v>
      </c>
      <c r="B26" s="1848" t="s">
        <v>1260</v>
      </c>
      <c r="C26" s="950">
        <f ca="1">ROUND((C19+C20)*F26,0)</f>
        <v>123856</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5.2400000000000002E-2</v>
      </c>
      <c r="D28" s="1889" t="s">
        <v>1272</v>
      </c>
      <c r="E28" s="1848" t="s">
        <v>1218</v>
      </c>
      <c r="F28" s="1886">
        <f>'数据-取费表'!B41</f>
        <v>5.5000000000000007E-2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1055635</v>
      </c>
      <c r="D29" s="1894"/>
      <c r="E29" s="1870"/>
      <c r="F29" s="1895"/>
      <c r="G29" s="1884"/>
      <c r="H29" s="1896" t="s">
        <v>1275</v>
      </c>
      <c r="I29" s="1925" t="s">
        <v>1276</v>
      </c>
      <c r="J29" s="1926">
        <f ca="1">ROUND(J26/(1+F40)^F41,0)</f>
        <v>0</v>
      </c>
      <c r="K29" s="1927" t="s">
        <v>1277</v>
      </c>
      <c r="L29" s="1928"/>
      <c r="M29" s="1929">
        <f ca="1">INDIRECT("'数据-取费表'!k"&amp;$G$1)</f>
        <v>158.43</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29802</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26022</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8178</v>
      </c>
      <c r="D32" s="1901" t="s">
        <v>1231</v>
      </c>
      <c r="E32" s="1848" t="s">
        <v>1218</v>
      </c>
      <c r="F32" s="1892">
        <f>'数据-取费表'!B41</f>
        <v>5.5000000000000007E-2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17844</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2111</v>
      </c>
      <c r="D36" s="1901" t="s">
        <v>1279</v>
      </c>
      <c r="E36" s="1848" t="s">
        <v>1218</v>
      </c>
      <c r="F36" s="1913">
        <f ca="1">INDIRECT("'数据-取费表'!Ak"&amp;$G$1)</f>
        <v>2E-3</v>
      </c>
      <c r="G36" s="718"/>
      <c r="H36" s="1905"/>
      <c r="I36" s="2005"/>
      <c r="J36" s="2006"/>
      <c r="K36" s="2012"/>
      <c r="L36" s="1905"/>
      <c r="M36" s="1905"/>
    </row>
    <row r="37" spans="1:18" ht="18" customHeight="1">
      <c r="A37" s="1877" t="s">
        <v>988</v>
      </c>
      <c r="B37" s="1848" t="s">
        <v>1250</v>
      </c>
      <c r="C37" s="950">
        <f ca="1">ROUND(C13*F37,0)</f>
        <v>887</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782</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126526</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2592152</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37.42</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16361</v>
      </c>
      <c r="D43" s="1927" t="s">
        <v>1282</v>
      </c>
      <c r="E43" s="1928" t="s">
        <v>1283</v>
      </c>
      <c r="F43" s="1929">
        <f ca="1">INDIRECT("'数据-取费表'!k"&amp;$G$1)</f>
        <v>158.43</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-263.93099999999998</v>
      </c>
      <c r="D45" s="1934" t="s">
        <v>1470</v>
      </c>
      <c r="E45" s="1930"/>
      <c r="F45" s="1930"/>
      <c r="O45" s="2014" t="s">
        <v>1284</v>
      </c>
      <c r="P45" s="1920"/>
      <c r="Q45" s="1920"/>
      <c r="R45" s="1920"/>
    </row>
    <row r="46" spans="1:18" s="718" customFormat="1">
      <c r="A46" s="1935" t="s">
        <v>1285</v>
      </c>
      <c r="C46" s="1936">
        <f ca="1">ROUND(C45,0)</f>
        <v>-264</v>
      </c>
      <c r="D46" s="1937" t="str">
        <f>C2</f>
        <v>万元</v>
      </c>
      <c r="I46" s="2015" t="s">
        <v>1286</v>
      </c>
      <c r="J46" s="2016"/>
      <c r="K46" s="2017"/>
      <c r="L46" s="2018">
        <f ca="1">IF(M47="住宅",0,IF(L48&gt;J51,L60,J60))</f>
        <v>28201</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2592152</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37.42</v>
      </c>
      <c r="O48" s="2026" t="s">
        <v>1047</v>
      </c>
      <c r="P48" s="2027" t="s">
        <v>1298</v>
      </c>
      <c r="Q48" s="2063">
        <f ca="1">J60</f>
        <v>28201</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2015</v>
      </c>
      <c r="K49" s="2030" t="s">
        <v>1304</v>
      </c>
      <c r="L49" s="2033"/>
      <c r="O49" s="2034" t="s">
        <v>1305</v>
      </c>
      <c r="P49" s="2027" t="s">
        <v>1306</v>
      </c>
      <c r="Q49" s="2063">
        <f ca="1">C29</f>
        <v>1055635</v>
      </c>
      <c r="R49" s="2063" t="s">
        <v>1294</v>
      </c>
    </row>
    <row r="50" spans="1:18" s="718" customFormat="1">
      <c r="A50" s="1953"/>
      <c r="B50" s="915"/>
      <c r="C50" s="1954"/>
      <c r="D50" s="1955"/>
      <c r="E50" s="1956" t="s">
        <v>1202</v>
      </c>
      <c r="F50" s="1957">
        <f ca="1">F7</f>
        <v>158.43</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50</v>
      </c>
      <c r="K51" s="2038" t="s">
        <v>1312</v>
      </c>
      <c r="L51" s="2039">
        <f ca="1">ROUND(-PV(INDIRECT("'数据-取费表'!h"&amp;$G$1),J51,(C39-C13*C76),0),0)</f>
        <v>1176680</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37.42</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37.42</v>
      </c>
      <c r="K53" s="3360" t="s">
        <v>1322</v>
      </c>
      <c r="L53" s="3361"/>
      <c r="O53" s="2026" t="s">
        <v>1147</v>
      </c>
      <c r="P53" s="2027" t="s">
        <v>1323</v>
      </c>
      <c r="Q53" s="2063">
        <f ca="1">Q47+Q48</f>
        <v>2620353</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0.21</v>
      </c>
      <c r="K55" s="2049" t="s">
        <v>1327</v>
      </c>
      <c r="L55" s="2050"/>
      <c r="O55" s="2019" t="s">
        <v>1287</v>
      </c>
      <c r="P55" s="2020" t="s">
        <v>1288</v>
      </c>
      <c r="Q55" s="2062" t="s">
        <v>1289</v>
      </c>
      <c r="R55" s="2062" t="s">
        <v>1290</v>
      </c>
    </row>
    <row r="56" spans="1:18" s="718" customFormat="1" ht="36" customHeight="1">
      <c r="A56" s="1965">
        <v>2</v>
      </c>
      <c r="B56" s="1966" t="s">
        <v>1211</v>
      </c>
      <c r="C56" s="376">
        <f ca="1">C13</f>
        <v>886733</v>
      </c>
      <c r="D56" s="1967"/>
      <c r="E56" s="1968"/>
      <c r="F56" s="1964"/>
      <c r="I56" s="2051" t="s">
        <v>1328</v>
      </c>
      <c r="J56" s="2052" t="s">
        <v>534</v>
      </c>
      <c r="K56" s="2028" t="s">
        <v>1329</v>
      </c>
      <c r="L56" s="2031" t="str">
        <f ca="1">IF(L48&lt;J51,"——",L48-J51)</f>
        <v>——</v>
      </c>
      <c r="O56" s="2026" t="s">
        <v>1044</v>
      </c>
      <c r="P56" s="2027" t="s">
        <v>1293</v>
      </c>
      <c r="Q56" s="2063">
        <f ca="1">C40+J29</f>
        <v>2592152</v>
      </c>
      <c r="R56" s="2063" t="s">
        <v>1294</v>
      </c>
    </row>
    <row r="57" spans="1:18" s="718" customFormat="1" ht="24">
      <c r="A57" s="1969"/>
      <c r="B57" s="1970" t="s">
        <v>1274</v>
      </c>
      <c r="C57" s="386">
        <f ca="1">C29</f>
        <v>1055635</v>
      </c>
      <c r="D57" s="1971"/>
      <c r="E57" s="1972"/>
      <c r="F57" s="1973"/>
      <c r="I57" s="2053" t="s">
        <v>1330</v>
      </c>
      <c r="J57" s="2054">
        <f ca="1">IF(OR(M47="住宅",J51&lt;L48,J56="是"),"——",J51-L48)</f>
        <v>12.579999999999998</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2998</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422254</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IF(项目基本情况!B11="自然人","——",ROUND(C48*F60/(1+'数据-取费表'!C42),0))</f>
        <v>0</v>
      </c>
      <c r="D60" s="1978" t="s">
        <v>1231</v>
      </c>
      <c r="E60" s="1970" t="s">
        <v>1218</v>
      </c>
      <c r="F60" s="1892">
        <f t="shared" ref="F60:F66" si="0">F32</f>
        <v>5.5000000000000007E-2</v>
      </c>
      <c r="I60" s="2056" t="s">
        <v>1339</v>
      </c>
      <c r="J60" s="2057">
        <f ca="1">IF(OR(M47="住宅",J51&lt;L48,J56="是"),"0",ROUND(J59/(1+J52)^J53,0))</f>
        <v>28201</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0</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2592152</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2111</v>
      </c>
      <c r="D64" s="1978" t="s">
        <v>1279</v>
      </c>
      <c r="E64" s="1970" t="s">
        <v>1218</v>
      </c>
      <c r="F64" s="1913">
        <f t="shared" ca="1" si="0"/>
        <v>2E-3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887</v>
      </c>
      <c r="D65" s="1978" t="s">
        <v>1251</v>
      </c>
      <c r="E65" s="1970" t="s">
        <v>1218</v>
      </c>
      <c r="F65" s="1914">
        <f t="shared" ca="1" si="0"/>
        <v>1E-3</v>
      </c>
      <c r="I65" s="2059" t="s">
        <v>1352</v>
      </c>
      <c r="J65" s="1139">
        <v>40</v>
      </c>
      <c r="K65" s="1139">
        <v>30</v>
      </c>
      <c r="L65" s="1139">
        <v>50</v>
      </c>
      <c r="M65" s="2061">
        <v>0.02</v>
      </c>
      <c r="O65" s="2026" t="s">
        <v>1044</v>
      </c>
      <c r="P65" s="2027" t="s">
        <v>1293</v>
      </c>
      <c r="Q65" s="2063">
        <f ca="1">C40+J29</f>
        <v>2592152</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-2998</v>
      </c>
      <c r="D67" s="1977" t="s">
        <v>1259</v>
      </c>
      <c r="E67" s="2066"/>
      <c r="F67" s="2067"/>
      <c r="O67" s="2034" t="s">
        <v>1305</v>
      </c>
      <c r="P67" s="2027" t="s">
        <v>1336</v>
      </c>
      <c r="Q67" s="2087">
        <f ca="1">L51</f>
        <v>1176680</v>
      </c>
      <c r="R67" s="2063" t="s">
        <v>1353</v>
      </c>
    </row>
    <row r="68" spans="1:18" s="718" customFormat="1" ht="15.75">
      <c r="A68" s="2068" t="s">
        <v>1263</v>
      </c>
      <c r="B68" s="2069" t="s">
        <v>1280</v>
      </c>
      <c r="C68" s="1919">
        <f ca="1">ROUND(C67*(1-((1+F70)/(1+F68))^F69)/(F68-F70),0)</f>
        <v>-47158</v>
      </c>
      <c r="D68" s="1980" t="s">
        <v>1265</v>
      </c>
      <c r="E68" s="1970" t="s">
        <v>1266</v>
      </c>
      <c r="F68" s="1856">
        <f ca="1">F40</f>
        <v>5.5E-2</v>
      </c>
      <c r="O68" s="2034" t="s">
        <v>1309</v>
      </c>
      <c r="P68" s="2086" t="s">
        <v>1354</v>
      </c>
      <c r="Q68" s="2063">
        <f ca="1">ROUND(Q69-Q70*Q71,0)</f>
        <v>64455</v>
      </c>
      <c r="R68" s="2063" t="s">
        <v>1355</v>
      </c>
    </row>
    <row r="69" spans="1:18" s="718" customFormat="1">
      <c r="A69" s="2070"/>
      <c r="B69" s="2071"/>
      <c r="C69" s="1855"/>
      <c r="D69" s="2072" t="s">
        <v>1269</v>
      </c>
      <c r="E69" s="1970" t="s">
        <v>1270</v>
      </c>
      <c r="F69" s="1923">
        <f ca="1">F41</f>
        <v>37.42</v>
      </c>
      <c r="O69" s="2034" t="s">
        <v>1356</v>
      </c>
      <c r="P69" s="2086" t="s">
        <v>1357</v>
      </c>
      <c r="Q69" s="2063">
        <f ca="1">C39</f>
        <v>126526</v>
      </c>
      <c r="R69" s="2063" t="s">
        <v>1294</v>
      </c>
    </row>
    <row r="70" spans="1:18" s="718" customFormat="1">
      <c r="A70" s="2073"/>
      <c r="B70" s="2074"/>
      <c r="C70" s="1874"/>
      <c r="D70" s="1982"/>
      <c r="E70" s="1970" t="s">
        <v>1273</v>
      </c>
      <c r="F70" s="1960"/>
      <c r="O70" s="2034" t="s">
        <v>1358</v>
      </c>
      <c r="P70" s="2086" t="s">
        <v>1359</v>
      </c>
      <c r="Q70" s="2063">
        <f ca="1">C13</f>
        <v>886733</v>
      </c>
      <c r="R70" s="2063" t="s">
        <v>1294</v>
      </c>
    </row>
    <row r="71" spans="1:18" s="718" customFormat="1">
      <c r="A71" s="2075" t="s">
        <v>1275</v>
      </c>
      <c r="B71" s="2076" t="s">
        <v>1281</v>
      </c>
      <c r="C71" s="1926">
        <f ca="1">ROUND(C68/F71,0)</f>
        <v>-298</v>
      </c>
      <c r="D71" s="2077" t="s">
        <v>1282</v>
      </c>
      <c r="E71" s="2078" t="s">
        <v>1283</v>
      </c>
      <c r="F71" s="1929">
        <f ca="1">F43</f>
        <v>158.43</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62071</v>
      </c>
      <c r="D75" s="718"/>
      <c r="E75" s="718"/>
      <c r="F75" s="718"/>
      <c r="K75" s="2013"/>
      <c r="L75" s="718"/>
      <c r="O75" s="2026" t="s">
        <v>1147</v>
      </c>
      <c r="P75" s="2027" t="s">
        <v>1323</v>
      </c>
      <c r="Q75" s="2063">
        <f ca="1">Q65+Q66</f>
        <v>2592152</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0.50900000000000001</v>
      </c>
    </row>
    <row r="80" spans="1:18">
      <c r="B80" s="2080" t="s">
        <v>1369</v>
      </c>
      <c r="C80" s="419">
        <f ca="1">ROUND(C75/C39,3)</f>
        <v>0.49099999999999999</v>
      </c>
    </row>
    <row r="81" spans="2:3">
      <c r="B81" s="416" t="s">
        <v>1370</v>
      </c>
      <c r="C81" s="386"/>
    </row>
    <row r="82" spans="2:3">
      <c r="B82" s="418" t="s">
        <v>1123</v>
      </c>
      <c r="C82" s="420">
        <f ca="1">1-C83</f>
        <v>0.65799999999999992</v>
      </c>
    </row>
    <row r="83" spans="2:3">
      <c r="B83" s="418" t="s">
        <v>1124</v>
      </c>
      <c r="C83" s="419">
        <f ca="1">ROUND(C13/C40,3)</f>
        <v>0.34200000000000003</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38" t="s">
        <v>1479</v>
      </c>
      <c r="K2" s="3439"/>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32" t="s">
        <v>1487</v>
      </c>
      <c r="K3" s="3433"/>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32" t="s">
        <v>1489</v>
      </c>
      <c r="K4" s="3433"/>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42" t="s">
        <v>1493</v>
      </c>
      <c r="B6" s="3443"/>
      <c r="C6" s="3444"/>
      <c r="D6" s="1671"/>
      <c r="E6" s="1672"/>
      <c r="F6" s="1673"/>
      <c r="G6" s="1674"/>
      <c r="H6" s="1662"/>
      <c r="I6" s="1747"/>
      <c r="J6" s="3426">
        <v>1</v>
      </c>
      <c r="K6" s="3429"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26"/>
      <c r="K7" s="3430"/>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40" t="s">
        <v>1507</v>
      </c>
      <c r="C8" s="3441"/>
      <c r="D8" s="1685" t="s">
        <v>1508</v>
      </c>
      <c r="E8" s="1686" t="s">
        <v>1509</v>
      </c>
      <c r="F8" s="1687" t="s">
        <v>1510</v>
      </c>
      <c r="G8" s="1688"/>
      <c r="H8" s="1662"/>
      <c r="I8" s="1747"/>
      <c r="J8" s="3426"/>
      <c r="K8" s="3430"/>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40" t="s">
        <v>1513</v>
      </c>
      <c r="C9" s="3441"/>
      <c r="D9" s="1685">
        <f>ROUND(D6*E9,0)</f>
        <v>0</v>
      </c>
      <c r="E9" s="1689"/>
      <c r="F9" s="1690" t="s">
        <v>1514</v>
      </c>
      <c r="G9" s="1674"/>
      <c r="H9" s="1662"/>
      <c r="I9" s="1747"/>
      <c r="J9" s="3426"/>
      <c r="K9" s="3430"/>
      <c r="L9" s="1767" t="s">
        <v>1515</v>
      </c>
      <c r="M9" s="1768"/>
      <c r="N9" s="1667"/>
      <c r="O9" s="1769"/>
      <c r="P9" s="1769"/>
      <c r="Q9" s="1700">
        <v>365</v>
      </c>
      <c r="R9" s="1801">
        <f t="shared" si="0"/>
        <v>0</v>
      </c>
      <c r="S9" s="1716"/>
      <c r="T9" s="1716"/>
      <c r="U9" s="1716"/>
      <c r="V9" s="1747"/>
    </row>
    <row r="10" spans="1:22" s="1644" customFormat="1" ht="13.15" customHeight="1">
      <c r="A10" s="1682">
        <v>2</v>
      </c>
      <c r="B10" s="3440" t="s">
        <v>1516</v>
      </c>
      <c r="C10" s="3441"/>
      <c r="D10" s="1685">
        <f>ROUND(D6*E10,0)</f>
        <v>0</v>
      </c>
      <c r="E10" s="1689"/>
      <c r="F10" s="1690" t="s">
        <v>1517</v>
      </c>
      <c r="G10" s="1674"/>
      <c r="H10" s="1662"/>
      <c r="I10" s="1747"/>
      <c r="J10" s="3426"/>
      <c r="K10" s="3430"/>
      <c r="L10" s="1767" t="s">
        <v>1518</v>
      </c>
      <c r="M10" s="1768"/>
      <c r="N10" s="1667"/>
      <c r="O10" s="1769"/>
      <c r="P10" s="1769"/>
      <c r="Q10" s="1700">
        <v>365</v>
      </c>
      <c r="R10" s="1801">
        <f t="shared" si="0"/>
        <v>0</v>
      </c>
      <c r="S10" s="1716"/>
      <c r="T10" s="1716"/>
      <c r="U10" s="1716"/>
      <c r="V10" s="1747"/>
    </row>
    <row r="11" spans="1:22" s="1644" customFormat="1" ht="13.15" customHeight="1">
      <c r="A11" s="1682">
        <v>3</v>
      </c>
      <c r="B11" s="3440" t="s">
        <v>1519</v>
      </c>
      <c r="C11" s="3441"/>
      <c r="D11" s="1685">
        <f>D12+D14+D15+D16</f>
        <v>0</v>
      </c>
      <c r="E11" s="1691" t="e">
        <f>D11/D6</f>
        <v>#DIV/0!</v>
      </c>
      <c r="F11" s="1687"/>
      <c r="G11" s="1688"/>
      <c r="H11" s="1662"/>
      <c r="I11" s="1747"/>
      <c r="J11" s="3426"/>
      <c r="K11" s="3430"/>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34" t="s">
        <v>1522</v>
      </c>
      <c r="C12" s="3435"/>
      <c r="D12" s="1695">
        <f>ROUND(D13*1.2%*(1-30%),0)</f>
        <v>0</v>
      </c>
      <c r="E12" s="1696">
        <v>1.2E-2</v>
      </c>
      <c r="F12" s="1687" t="s">
        <v>1523</v>
      </c>
      <c r="G12" s="1688"/>
      <c r="H12" s="1662"/>
      <c r="I12" s="1747"/>
      <c r="J12" s="3426"/>
      <c r="K12" s="3430"/>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26"/>
      <c r="K13" s="3430"/>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34" t="s">
        <v>1528</v>
      </c>
      <c r="C14" s="3435"/>
      <c r="D14" s="1695">
        <f>ROUND(E14*B5/10000,0)</f>
        <v>0</v>
      </c>
      <c r="E14" s="1700"/>
      <c r="F14" s="1687" t="s">
        <v>1529</v>
      </c>
      <c r="G14" s="1688"/>
      <c r="H14" s="1662"/>
      <c r="I14" s="1747"/>
      <c r="J14" s="3426"/>
      <c r="K14" s="3431"/>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34" t="s">
        <v>1532</v>
      </c>
      <c r="C15" s="3435"/>
      <c r="D15" s="1695">
        <f>ROUND(D6*E15,0)</f>
        <v>0</v>
      </c>
      <c r="E15" s="1696">
        <v>5.5E-2</v>
      </c>
      <c r="F15" s="1687" t="s">
        <v>1533</v>
      </c>
      <c r="G15" s="1674"/>
      <c r="H15" s="1662"/>
      <c r="I15" s="1747"/>
      <c r="J15" s="3426">
        <v>2</v>
      </c>
      <c r="K15" s="3429"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34" t="s">
        <v>1540</v>
      </c>
      <c r="C16" s="3435"/>
      <c r="D16" s="1701">
        <f>D6*E16</f>
        <v>0</v>
      </c>
      <c r="E16" s="1702"/>
      <c r="F16" s="1690" t="s">
        <v>1541</v>
      </c>
      <c r="G16" s="1674"/>
      <c r="H16" s="1662"/>
      <c r="I16" s="1747"/>
      <c r="J16" s="3426"/>
      <c r="K16" s="3430"/>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36" t="s">
        <v>1543</v>
      </c>
      <c r="C17" s="3437"/>
      <c r="D17" s="1704">
        <f>ROUND(D6*E17,0)</f>
        <v>0</v>
      </c>
      <c r="E17" s="1705"/>
      <c r="F17" s="1706" t="s">
        <v>1544</v>
      </c>
      <c r="G17" s="1674"/>
      <c r="H17" s="1662"/>
      <c r="I17" s="1747"/>
      <c r="J17" s="3426"/>
      <c r="K17" s="3430"/>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26"/>
      <c r="K18" s="3430"/>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26"/>
      <c r="K19" s="3431"/>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26">
        <v>3</v>
      </c>
      <c r="K20" s="3429"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26"/>
      <c r="K21" s="3430"/>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26"/>
      <c r="K22" s="3430"/>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26"/>
      <c r="K23" s="3430"/>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26"/>
      <c r="K24" s="3431"/>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27">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28"/>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38" t="s">
        <v>1479</v>
      </c>
      <c r="K32" s="3439"/>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32" t="s">
        <v>1487</v>
      </c>
      <c r="K33" s="3433"/>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32" t="s">
        <v>1489</v>
      </c>
      <c r="K34" s="3433"/>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26">
        <v>1</v>
      </c>
      <c r="K36" s="3429"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26"/>
      <c r="K37" s="3430"/>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26"/>
      <c r="K38" s="3430"/>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26"/>
      <c r="K39" s="3430"/>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26"/>
      <c r="K40" s="3431"/>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27">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28"/>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262.03530000000001</v>
      </c>
      <c r="C2" s="1629" t="s">
        <v>1590</v>
      </c>
      <c r="D2" s="1630" t="s">
        <v>1591</v>
      </c>
      <c r="E2" s="1631">
        <f>SUM(E6:E13)</f>
        <v>158.43</v>
      </c>
      <c r="F2" s="1627"/>
      <c r="G2" s="1507"/>
      <c r="H2" s="1507"/>
      <c r="I2" s="1507"/>
      <c r="J2" s="1507"/>
      <c r="K2" s="1507"/>
      <c r="L2" s="1507"/>
      <c r="M2" s="1507"/>
      <c r="N2" s="1507"/>
      <c r="O2" s="1507"/>
      <c r="P2" s="1507"/>
      <c r="Q2" s="1507"/>
      <c r="R2" s="1507"/>
      <c r="S2" s="1507"/>
    </row>
    <row r="3" spans="1:22" ht="15.75">
      <c r="A3" s="1628" t="s">
        <v>1031</v>
      </c>
      <c r="B3" s="1632">
        <f ca="1">ROUND(B2*10000/E2,0)</f>
        <v>16540</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45" t="s">
        <v>1594</v>
      </c>
      <c r="C5" s="3446"/>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262.03530000000001</v>
      </c>
      <c r="C6" s="1629" t="s">
        <v>1590</v>
      </c>
      <c r="D6" s="1627"/>
      <c r="E6" s="1639">
        <f>IF(OR(A6=0,F6="否"),0,'数据-取费表'!K6+'数据-取费表'!S6)</f>
        <v>158.43</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158.43</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407" t="s">
        <v>1379</v>
      </c>
      <c r="D4" s="3408"/>
      <c r="E4" s="3409" t="s">
        <v>1380</v>
      </c>
      <c r="F4" s="3410"/>
      <c r="G4" s="3407" t="s">
        <v>1381</v>
      </c>
      <c r="H4" s="3408"/>
      <c r="I4" s="3407" t="s">
        <v>1382</v>
      </c>
      <c r="J4" s="3408"/>
      <c r="K4" s="1561" t="s">
        <v>1383</v>
      </c>
      <c r="L4" s="1172"/>
      <c r="M4" s="1122"/>
      <c r="N4" s="1122"/>
      <c r="O4" s="1122"/>
      <c r="P4" s="3414" t="s">
        <v>1384</v>
      </c>
      <c r="Q4" s="3415"/>
      <c r="R4" s="3418" t="s">
        <v>1380</v>
      </c>
      <c r="S4" s="3419"/>
      <c r="T4" s="3418" t="s">
        <v>1381</v>
      </c>
      <c r="U4" s="3419"/>
      <c r="V4" s="3384" t="s">
        <v>1382</v>
      </c>
      <c r="W4" s="3384"/>
      <c r="X4" s="1214"/>
      <c r="Y4" s="3418" t="s">
        <v>1384</v>
      </c>
      <c r="Z4" s="3419"/>
      <c r="AA4" s="3413" t="s">
        <v>1380</v>
      </c>
      <c r="AB4" s="3413" t="s">
        <v>1381</v>
      </c>
      <c r="AC4" s="3413" t="s">
        <v>1382</v>
      </c>
    </row>
    <row r="5" spans="1:29" ht="15">
      <c r="A5" s="1029"/>
      <c r="B5" s="1030"/>
      <c r="C5" s="3423" t="s">
        <v>1385</v>
      </c>
      <c r="D5" s="3412"/>
      <c r="E5" s="3424" t="s">
        <v>1386</v>
      </c>
      <c r="F5" s="3425"/>
      <c r="G5" s="3423" t="s">
        <v>1387</v>
      </c>
      <c r="H5" s="3412"/>
      <c r="I5" s="3423" t="s">
        <v>1388</v>
      </c>
      <c r="J5" s="3412"/>
      <c r="K5" s="1562"/>
      <c r="L5" s="1172"/>
      <c r="M5" s="1122"/>
      <c r="N5" s="1122"/>
      <c r="O5" s="1122"/>
      <c r="P5" s="3416"/>
      <c r="Q5" s="3374"/>
      <c r="R5" s="3379"/>
      <c r="S5" s="3380"/>
      <c r="T5" s="3379"/>
      <c r="U5" s="3380"/>
      <c r="V5" s="3384"/>
      <c r="W5" s="3384"/>
      <c r="X5" s="1214"/>
      <c r="Y5" s="3379"/>
      <c r="Z5" s="3380"/>
      <c r="AA5" s="3366"/>
      <c r="AB5" s="3366"/>
      <c r="AC5" s="3366"/>
    </row>
    <row r="6" spans="1:29" ht="15">
      <c r="A6" s="1031"/>
      <c r="B6" s="1032"/>
      <c r="C6" s="3402" t="s">
        <v>1389</v>
      </c>
      <c r="D6" s="3403"/>
      <c r="E6" s="3404" t="s">
        <v>1389</v>
      </c>
      <c r="F6" s="3405"/>
      <c r="G6" s="3402" t="s">
        <v>1389</v>
      </c>
      <c r="H6" s="3403"/>
      <c r="I6" s="3402" t="s">
        <v>1389</v>
      </c>
      <c r="J6" s="3403"/>
      <c r="K6" s="1562" t="s">
        <v>1390</v>
      </c>
      <c r="L6" s="1172"/>
      <c r="M6" s="1122"/>
      <c r="N6" s="1122"/>
      <c r="O6" s="1122"/>
      <c r="P6" s="3417"/>
      <c r="Q6" s="3376"/>
      <c r="R6" s="3379"/>
      <c r="S6" s="3380"/>
      <c r="T6" s="3381"/>
      <c r="U6" s="3382"/>
      <c r="V6" s="3384"/>
      <c r="W6" s="3384"/>
      <c r="X6" s="1214"/>
      <c r="Y6" s="3381"/>
      <c r="Z6" s="3382"/>
      <c r="AA6" s="3367"/>
      <c r="AB6" s="3367"/>
      <c r="AC6" s="3367"/>
    </row>
    <row r="7" spans="1:29" s="1008" customFormat="1" ht="15">
      <c r="A7" s="1033" t="s">
        <v>1391</v>
      </c>
      <c r="B7" s="1034"/>
      <c r="C7" s="1035">
        <f>'数据-取费表'!B2</f>
        <v>45975</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90" t="s">
        <v>1392</v>
      </c>
      <c r="Q7" s="3406"/>
      <c r="R7" s="1215" t="s">
        <v>1393</v>
      </c>
      <c r="S7" s="1216">
        <f t="shared" ref="S7:S15" si="0">F7</f>
        <v>0</v>
      </c>
      <c r="T7" s="1215" t="s">
        <v>1393</v>
      </c>
      <c r="U7" s="1216">
        <f t="shared" ref="U7:U15" si="1">H7</f>
        <v>0</v>
      </c>
      <c r="V7" s="1215" t="s">
        <v>1393</v>
      </c>
      <c r="W7" s="1216">
        <f t="shared" ref="W7:W15" si="2">J7</f>
        <v>0</v>
      </c>
      <c r="X7" s="1217"/>
      <c r="Y7" s="3390" t="s">
        <v>1392</v>
      </c>
      <c r="Z7" s="3391"/>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90" t="s">
        <v>1397</v>
      </c>
      <c r="Q8" s="3391"/>
      <c r="R8" s="1215" t="s">
        <v>1393</v>
      </c>
      <c r="S8" s="1216">
        <f t="shared" si="0"/>
        <v>100</v>
      </c>
      <c r="T8" s="1215" t="s">
        <v>1393</v>
      </c>
      <c r="U8" s="1216">
        <f t="shared" si="1"/>
        <v>100</v>
      </c>
      <c r="V8" s="1215" t="s">
        <v>1393</v>
      </c>
      <c r="W8" s="1216">
        <f t="shared" si="2"/>
        <v>100</v>
      </c>
      <c r="X8" s="1217"/>
      <c r="Y8" s="3390" t="s">
        <v>1397</v>
      </c>
      <c r="Z8" s="3391"/>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85" t="s">
        <v>1400</v>
      </c>
      <c r="Q9" s="794" t="str">
        <f t="shared" ref="Q9:Q15" si="6">B9</f>
        <v>用途</v>
      </c>
      <c r="R9" s="1215" t="s">
        <v>1393</v>
      </c>
      <c r="S9" s="1216">
        <f t="shared" si="0"/>
        <v>100</v>
      </c>
      <c r="T9" s="1215" t="s">
        <v>1393</v>
      </c>
      <c r="U9" s="1216">
        <f t="shared" si="1"/>
        <v>100</v>
      </c>
      <c r="V9" s="1215" t="s">
        <v>1393</v>
      </c>
      <c r="W9" s="1216">
        <f t="shared" si="2"/>
        <v>100</v>
      </c>
      <c r="X9" s="1217"/>
      <c r="Y9" s="3272"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85"/>
      <c r="Q10" s="794" t="str">
        <f t="shared" si="6"/>
        <v>土地使用年限（年）</v>
      </c>
      <c r="R10" s="1215" t="s">
        <v>1393</v>
      </c>
      <c r="S10" s="1216">
        <f t="shared" si="0"/>
        <v>100</v>
      </c>
      <c r="T10" s="1215" t="s">
        <v>1393</v>
      </c>
      <c r="U10" s="1216">
        <f t="shared" si="1"/>
        <v>100</v>
      </c>
      <c r="V10" s="1215" t="s">
        <v>1393</v>
      </c>
      <c r="W10" s="1216">
        <f t="shared" si="2"/>
        <v>100</v>
      </c>
      <c r="X10" s="1217"/>
      <c r="Y10" s="3272"/>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85"/>
      <c r="Q11" s="794" t="str">
        <f t="shared" si="6"/>
        <v>容积率</v>
      </c>
      <c r="R11" s="1215" t="s">
        <v>1393</v>
      </c>
      <c r="S11" s="1216" t="e">
        <f t="shared" si="0"/>
        <v>#N/A</v>
      </c>
      <c r="T11" s="1215" t="s">
        <v>1393</v>
      </c>
      <c r="U11" s="1216" t="e">
        <f t="shared" si="1"/>
        <v>#N/A</v>
      </c>
      <c r="V11" s="1215" t="s">
        <v>1393</v>
      </c>
      <c r="W11" s="1216" t="e">
        <f t="shared" si="2"/>
        <v>#N/A</v>
      </c>
      <c r="X11" s="1217"/>
      <c r="Y11" s="3272"/>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85"/>
      <c r="Q12" s="794">
        <f t="shared" si="6"/>
        <v>111</v>
      </c>
      <c r="R12" s="1215" t="s">
        <v>1393</v>
      </c>
      <c r="S12" s="1216">
        <f t="shared" si="0"/>
        <v>100</v>
      </c>
      <c r="T12" s="1215" t="s">
        <v>1393</v>
      </c>
      <c r="U12" s="1216">
        <f t="shared" si="1"/>
        <v>100</v>
      </c>
      <c r="V12" s="1215" t="s">
        <v>1393</v>
      </c>
      <c r="W12" s="1216">
        <f t="shared" si="2"/>
        <v>100</v>
      </c>
      <c r="X12" s="1217"/>
      <c r="Y12" s="3272"/>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85"/>
      <c r="Q13" s="794">
        <f t="shared" si="6"/>
        <v>111</v>
      </c>
      <c r="R13" s="1215" t="s">
        <v>1393</v>
      </c>
      <c r="S13" s="1216">
        <f t="shared" si="0"/>
        <v>100</v>
      </c>
      <c r="T13" s="1215" t="s">
        <v>1393</v>
      </c>
      <c r="U13" s="1216">
        <f t="shared" si="1"/>
        <v>100</v>
      </c>
      <c r="V13" s="1215" t="s">
        <v>1393</v>
      </c>
      <c r="W13" s="1216">
        <f t="shared" si="2"/>
        <v>100</v>
      </c>
      <c r="X13" s="1217"/>
      <c r="Y13" s="3272"/>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85"/>
      <c r="Q14" s="794">
        <f t="shared" si="6"/>
        <v>111</v>
      </c>
      <c r="R14" s="1215" t="s">
        <v>1393</v>
      </c>
      <c r="S14" s="1216">
        <f t="shared" si="0"/>
        <v>100</v>
      </c>
      <c r="T14" s="1215" t="s">
        <v>1393</v>
      </c>
      <c r="U14" s="1216">
        <f t="shared" si="1"/>
        <v>100</v>
      </c>
      <c r="V14" s="1215" t="s">
        <v>1393</v>
      </c>
      <c r="W14" s="1216">
        <f t="shared" si="2"/>
        <v>100</v>
      </c>
      <c r="X14" s="1217"/>
      <c r="Y14" s="3272"/>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93" t="s">
        <v>1406</v>
      </c>
      <c r="Q15" s="625" t="str">
        <f t="shared" si="6"/>
        <v>居住社区成熟度</v>
      </c>
      <c r="R15" s="1219" t="s">
        <v>1393</v>
      </c>
      <c r="S15" s="1220">
        <f t="shared" si="0"/>
        <v>100</v>
      </c>
      <c r="T15" s="1219" t="s">
        <v>1393</v>
      </c>
      <c r="U15" s="1220">
        <f t="shared" si="1"/>
        <v>100</v>
      </c>
      <c r="V15" s="1219" t="s">
        <v>1393</v>
      </c>
      <c r="W15" s="1220">
        <f t="shared" si="2"/>
        <v>100</v>
      </c>
      <c r="X15" s="1214"/>
      <c r="Y15" s="3398"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94"/>
      <c r="Q16" s="625"/>
      <c r="R16" s="1219"/>
      <c r="S16" s="1220"/>
      <c r="T16" s="1219"/>
      <c r="U16" s="1220"/>
      <c r="V16" s="1219"/>
      <c r="W16" s="1220"/>
      <c r="X16" s="1214"/>
      <c r="Y16" s="3399"/>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94"/>
      <c r="Q17" s="625" t="str">
        <f>B17</f>
        <v>交通便捷度</v>
      </c>
      <c r="R17" s="1219" t="s">
        <v>1393</v>
      </c>
      <c r="S17" s="1220">
        <f>F17</f>
        <v>100</v>
      </c>
      <c r="T17" s="1219" t="s">
        <v>1393</v>
      </c>
      <c r="U17" s="1220">
        <f>H17</f>
        <v>100</v>
      </c>
      <c r="V17" s="1219" t="s">
        <v>1393</v>
      </c>
      <c r="W17" s="1220">
        <f>J17</f>
        <v>100</v>
      </c>
      <c r="X17" s="1214"/>
      <c r="Y17" s="3399"/>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94"/>
      <c r="Q18" s="625"/>
      <c r="R18" s="1219"/>
      <c r="S18" s="1220"/>
      <c r="T18" s="1219"/>
      <c r="U18" s="1220"/>
      <c r="V18" s="1219"/>
      <c r="W18" s="1220"/>
      <c r="X18" s="1214"/>
      <c r="Y18" s="3399"/>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94"/>
      <c r="Q19" s="625" t="str">
        <f>B19</f>
        <v>公共配套设施</v>
      </c>
      <c r="R19" s="1219" t="s">
        <v>1393</v>
      </c>
      <c r="S19" s="1220">
        <f>F19</f>
        <v>100</v>
      </c>
      <c r="T19" s="1219" t="s">
        <v>1393</v>
      </c>
      <c r="U19" s="1220">
        <f>H19</f>
        <v>100</v>
      </c>
      <c r="V19" s="1219" t="s">
        <v>1393</v>
      </c>
      <c r="W19" s="1220">
        <f>J19</f>
        <v>100</v>
      </c>
      <c r="X19" s="1214"/>
      <c r="Y19" s="3399"/>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94"/>
      <c r="Q20" s="625"/>
      <c r="R20" s="1219"/>
      <c r="S20" s="1220"/>
      <c r="T20" s="1219"/>
      <c r="U20" s="1220"/>
      <c r="V20" s="1219"/>
      <c r="W20" s="1220"/>
      <c r="X20" s="1214"/>
      <c r="Y20" s="3399"/>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94"/>
      <c r="Q21" s="625" t="str">
        <f>B21</f>
        <v>基础设施水平</v>
      </c>
      <c r="R21" s="1219" t="s">
        <v>1393</v>
      </c>
      <c r="S21" s="1220">
        <f>F21</f>
        <v>100</v>
      </c>
      <c r="T21" s="1219" t="s">
        <v>1393</v>
      </c>
      <c r="U21" s="1220">
        <f>H21</f>
        <v>100</v>
      </c>
      <c r="V21" s="1219" t="s">
        <v>1393</v>
      </c>
      <c r="W21" s="1220">
        <f>J21</f>
        <v>100</v>
      </c>
      <c r="X21" s="1214"/>
      <c r="Y21" s="3399"/>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94"/>
      <c r="Q22" s="625"/>
      <c r="R22" s="1219"/>
      <c r="S22" s="1220"/>
      <c r="T22" s="1219"/>
      <c r="U22" s="1220"/>
      <c r="V22" s="1219"/>
      <c r="W22" s="1220"/>
      <c r="X22" s="1214"/>
      <c r="Y22" s="3399"/>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94"/>
      <c r="Q23" s="625" t="str">
        <f>B23</f>
        <v>自然及人文环境</v>
      </c>
      <c r="R23" s="1219" t="s">
        <v>1393</v>
      </c>
      <c r="S23" s="1220">
        <f>F23</f>
        <v>100</v>
      </c>
      <c r="T23" s="1219" t="s">
        <v>1393</v>
      </c>
      <c r="U23" s="1220">
        <f>H23</f>
        <v>100</v>
      </c>
      <c r="V23" s="1219" t="s">
        <v>1393</v>
      </c>
      <c r="W23" s="1220">
        <f>J23</f>
        <v>100</v>
      </c>
      <c r="X23" s="1214"/>
      <c r="Y23" s="3399"/>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94"/>
      <c r="Q24" s="625"/>
      <c r="R24" s="1219"/>
      <c r="S24" s="1220"/>
      <c r="T24" s="1219"/>
      <c r="U24" s="1220"/>
      <c r="V24" s="1219"/>
      <c r="W24" s="1220"/>
      <c r="X24" s="1214"/>
      <c r="Y24" s="3399"/>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94"/>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99"/>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94"/>
      <c r="Q26" s="625" t="str">
        <f t="shared" si="11"/>
        <v>朝向</v>
      </c>
      <c r="R26" s="1219" t="s">
        <v>1393</v>
      </c>
      <c r="S26" s="1220">
        <f t="shared" si="12"/>
        <v>100</v>
      </c>
      <c r="T26" s="1219" t="s">
        <v>1393</v>
      </c>
      <c r="U26" s="1220">
        <f t="shared" si="13"/>
        <v>100</v>
      </c>
      <c r="V26" s="1219" t="s">
        <v>1393</v>
      </c>
      <c r="W26" s="1220">
        <f t="shared" si="14"/>
        <v>100</v>
      </c>
      <c r="X26" s="1214"/>
      <c r="Y26" s="3399"/>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94"/>
      <c r="Q27" s="794">
        <f t="shared" si="11"/>
        <v>111</v>
      </c>
      <c r="R27" s="1215" t="s">
        <v>1393</v>
      </c>
      <c r="S27" s="1216">
        <f t="shared" si="12"/>
        <v>100</v>
      </c>
      <c r="T27" s="1215" t="s">
        <v>1393</v>
      </c>
      <c r="U27" s="1216">
        <f t="shared" si="13"/>
        <v>100</v>
      </c>
      <c r="V27" s="1215" t="s">
        <v>1393</v>
      </c>
      <c r="W27" s="1216">
        <f t="shared" si="14"/>
        <v>100</v>
      </c>
      <c r="X27" s="1217"/>
      <c r="Y27" s="3399"/>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94"/>
      <c r="Q28" s="625">
        <f t="shared" si="11"/>
        <v>111</v>
      </c>
      <c r="R28" s="1219" t="s">
        <v>1393</v>
      </c>
      <c r="S28" s="1220">
        <f t="shared" si="12"/>
        <v>100</v>
      </c>
      <c r="T28" s="1219" t="s">
        <v>1393</v>
      </c>
      <c r="U28" s="1220">
        <f t="shared" si="13"/>
        <v>100</v>
      </c>
      <c r="V28" s="1219" t="s">
        <v>1393</v>
      </c>
      <c r="W28" s="1220">
        <f t="shared" si="14"/>
        <v>100</v>
      </c>
      <c r="X28" s="1214"/>
      <c r="Y28" s="3399"/>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94"/>
      <c r="Q29" s="625">
        <f t="shared" si="11"/>
        <v>111</v>
      </c>
      <c r="R29" s="1219" t="s">
        <v>1393</v>
      </c>
      <c r="S29" s="1220">
        <f t="shared" si="12"/>
        <v>100</v>
      </c>
      <c r="T29" s="1219" t="s">
        <v>1393</v>
      </c>
      <c r="U29" s="1220">
        <f t="shared" si="13"/>
        <v>100</v>
      </c>
      <c r="V29" s="1219" t="s">
        <v>1393</v>
      </c>
      <c r="W29" s="1220">
        <f t="shared" si="14"/>
        <v>100</v>
      </c>
      <c r="X29" s="1214"/>
      <c r="Y29" s="3399"/>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94"/>
      <c r="Q30" s="625">
        <f t="shared" si="11"/>
        <v>111</v>
      </c>
      <c r="R30" s="1219" t="s">
        <v>1393</v>
      </c>
      <c r="S30" s="1220">
        <f t="shared" si="12"/>
        <v>100</v>
      </c>
      <c r="T30" s="1219" t="s">
        <v>1393</v>
      </c>
      <c r="U30" s="1220">
        <f t="shared" si="13"/>
        <v>100</v>
      </c>
      <c r="V30" s="1219" t="s">
        <v>1393</v>
      </c>
      <c r="W30" s="1220">
        <f t="shared" si="14"/>
        <v>100</v>
      </c>
      <c r="X30" s="1214"/>
      <c r="Y30" s="3399"/>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94"/>
      <c r="Q31" s="625">
        <f t="shared" si="11"/>
        <v>111</v>
      </c>
      <c r="R31" s="1219" t="s">
        <v>1393</v>
      </c>
      <c r="S31" s="1220">
        <f t="shared" si="12"/>
        <v>100</v>
      </c>
      <c r="T31" s="1219" t="s">
        <v>1393</v>
      </c>
      <c r="U31" s="1220">
        <f t="shared" si="13"/>
        <v>100</v>
      </c>
      <c r="V31" s="1219" t="s">
        <v>1393</v>
      </c>
      <c r="W31" s="1220">
        <f t="shared" si="14"/>
        <v>100</v>
      </c>
      <c r="X31" s="1214"/>
      <c r="Y31" s="3399"/>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95" t="s">
        <v>1421</v>
      </c>
      <c r="Q32" s="625" t="str">
        <f t="shared" si="11"/>
        <v>建筑类型</v>
      </c>
      <c r="R32" s="1219" t="s">
        <v>1393</v>
      </c>
      <c r="S32" s="1220">
        <f t="shared" si="12"/>
        <v>100</v>
      </c>
      <c r="T32" s="1219" t="s">
        <v>1393</v>
      </c>
      <c r="U32" s="1220">
        <f t="shared" si="13"/>
        <v>100</v>
      </c>
      <c r="V32" s="1219" t="s">
        <v>1393</v>
      </c>
      <c r="W32" s="1220">
        <f t="shared" si="14"/>
        <v>100</v>
      </c>
      <c r="X32" s="1214"/>
      <c r="Y32" s="3400"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96"/>
      <c r="Q33" s="1415" t="str">
        <f t="shared" si="11"/>
        <v>项目建筑规模</v>
      </c>
      <c r="R33" s="1221" t="s">
        <v>1393</v>
      </c>
      <c r="S33" s="1222" t="e">
        <f t="shared" si="12"/>
        <v>#N/A</v>
      </c>
      <c r="T33" s="1221" t="s">
        <v>1393</v>
      </c>
      <c r="U33" s="1222" t="e">
        <f t="shared" si="13"/>
        <v>#N/A</v>
      </c>
      <c r="V33" s="1221" t="s">
        <v>1393</v>
      </c>
      <c r="W33" s="1222" t="e">
        <f t="shared" si="14"/>
        <v>#N/A</v>
      </c>
      <c r="X33" s="1223"/>
      <c r="Y33" s="3400"/>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96"/>
      <c r="Q34" s="625" t="str">
        <f t="shared" si="11"/>
        <v>建筑结构</v>
      </c>
      <c r="R34" s="1219" t="s">
        <v>1393</v>
      </c>
      <c r="S34" s="1220">
        <f t="shared" si="12"/>
        <v>100</v>
      </c>
      <c r="T34" s="1219" t="s">
        <v>1393</v>
      </c>
      <c r="U34" s="1220">
        <f t="shared" si="13"/>
        <v>100</v>
      </c>
      <c r="V34" s="1219" t="s">
        <v>1393</v>
      </c>
      <c r="W34" s="1220">
        <f t="shared" si="14"/>
        <v>100</v>
      </c>
      <c r="X34" s="1214"/>
      <c r="Y34" s="3400"/>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96"/>
      <c r="Q35" s="625" t="str">
        <f t="shared" si="11"/>
        <v>建筑品质</v>
      </c>
      <c r="R35" s="1219" t="s">
        <v>1393</v>
      </c>
      <c r="S35" s="1220">
        <f t="shared" si="12"/>
        <v>100</v>
      </c>
      <c r="T35" s="1219" t="s">
        <v>1393</v>
      </c>
      <c r="U35" s="1220">
        <f t="shared" si="13"/>
        <v>100</v>
      </c>
      <c r="V35" s="1219" t="s">
        <v>1393</v>
      </c>
      <c r="W35" s="1220">
        <f t="shared" si="14"/>
        <v>100</v>
      </c>
      <c r="X35" s="1214"/>
      <c r="Y35" s="3400"/>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96"/>
      <c r="Q36" s="625" t="str">
        <f t="shared" si="11"/>
        <v>公共部分装修</v>
      </c>
      <c r="R36" s="1219" t="s">
        <v>1393</v>
      </c>
      <c r="S36" s="1220">
        <f t="shared" si="12"/>
        <v>100</v>
      </c>
      <c r="T36" s="1219" t="s">
        <v>1393</v>
      </c>
      <c r="U36" s="1220">
        <f t="shared" si="13"/>
        <v>100</v>
      </c>
      <c r="V36" s="1219" t="s">
        <v>1393</v>
      </c>
      <c r="W36" s="1220">
        <f t="shared" si="14"/>
        <v>100</v>
      </c>
      <c r="X36" s="1214"/>
      <c r="Y36" s="3400"/>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96"/>
      <c r="Q37" s="794" t="str">
        <f t="shared" si="11"/>
        <v>成新度</v>
      </c>
      <c r="R37" s="1215" t="s">
        <v>1393</v>
      </c>
      <c r="S37" s="1216" t="e">
        <f t="shared" si="12"/>
        <v>#N/A</v>
      </c>
      <c r="T37" s="1215" t="s">
        <v>1393</v>
      </c>
      <c r="U37" s="1216" t="e">
        <f t="shared" si="13"/>
        <v>#N/A</v>
      </c>
      <c r="V37" s="1215" t="s">
        <v>1393</v>
      </c>
      <c r="W37" s="1216" t="e">
        <f t="shared" si="14"/>
        <v>#N/A</v>
      </c>
      <c r="X37" s="1217"/>
      <c r="Y37" s="3400"/>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96" t="s">
        <v>1421</v>
      </c>
      <c r="Q38" s="625" t="str">
        <f t="shared" si="11"/>
        <v>物业管理</v>
      </c>
      <c r="R38" s="1219" t="s">
        <v>1393</v>
      </c>
      <c r="S38" s="1220">
        <f t="shared" si="12"/>
        <v>100</v>
      </c>
      <c r="T38" s="1219" t="s">
        <v>1393</v>
      </c>
      <c r="U38" s="1220">
        <f t="shared" si="13"/>
        <v>100</v>
      </c>
      <c r="V38" s="1219" t="s">
        <v>1393</v>
      </c>
      <c r="W38" s="1220">
        <f t="shared" si="14"/>
        <v>100</v>
      </c>
      <c r="X38" s="1214"/>
      <c r="Y38" s="3400"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96"/>
      <c r="Q39" s="625" t="str">
        <f t="shared" si="11"/>
        <v>市政基础设施</v>
      </c>
      <c r="R39" s="1219" t="s">
        <v>1393</v>
      </c>
      <c r="S39" s="1220">
        <f t="shared" si="12"/>
        <v>100</v>
      </c>
      <c r="T39" s="1219" t="s">
        <v>1393</v>
      </c>
      <c r="U39" s="1220">
        <f t="shared" si="13"/>
        <v>100</v>
      </c>
      <c r="V39" s="1219" t="s">
        <v>1393</v>
      </c>
      <c r="W39" s="1220">
        <f t="shared" si="14"/>
        <v>100</v>
      </c>
      <c r="X39" s="1214"/>
      <c r="Y39" s="3400"/>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96"/>
      <c r="Q40" s="625" t="str">
        <f t="shared" si="11"/>
        <v>房型</v>
      </c>
      <c r="R40" s="1219" t="s">
        <v>1393</v>
      </c>
      <c r="S40" s="1220">
        <f t="shared" si="12"/>
        <v>100</v>
      </c>
      <c r="T40" s="1219" t="s">
        <v>1393</v>
      </c>
      <c r="U40" s="1220">
        <f t="shared" si="13"/>
        <v>100</v>
      </c>
      <c r="V40" s="1219" t="s">
        <v>1393</v>
      </c>
      <c r="W40" s="1220">
        <f t="shared" si="14"/>
        <v>100</v>
      </c>
      <c r="X40" s="1214"/>
      <c r="Y40" s="3400"/>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96"/>
      <c r="Q41" s="1415" t="str">
        <f t="shared" si="11"/>
        <v>单套/主力户型建筑面积</v>
      </c>
      <c r="R41" s="1221" t="s">
        <v>1393</v>
      </c>
      <c r="S41" s="1222">
        <f t="shared" si="12"/>
        <v>100</v>
      </c>
      <c r="T41" s="1221" t="s">
        <v>1393</v>
      </c>
      <c r="U41" s="1222">
        <f t="shared" si="13"/>
        <v>100</v>
      </c>
      <c r="V41" s="1221" t="s">
        <v>1393</v>
      </c>
      <c r="W41" s="1222">
        <f t="shared" si="14"/>
        <v>100</v>
      </c>
      <c r="X41" s="1223"/>
      <c r="Y41" s="3400"/>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96"/>
      <c r="Q42" s="625" t="str">
        <f t="shared" si="11"/>
        <v>内部装修</v>
      </c>
      <c r="R42" s="1219" t="s">
        <v>1393</v>
      </c>
      <c r="S42" s="1220">
        <f t="shared" si="12"/>
        <v>100</v>
      </c>
      <c r="T42" s="1219" t="s">
        <v>1393</v>
      </c>
      <c r="U42" s="1220">
        <f t="shared" si="13"/>
        <v>100</v>
      </c>
      <c r="V42" s="1219" t="s">
        <v>1393</v>
      </c>
      <c r="W42" s="1220">
        <f t="shared" si="14"/>
        <v>100</v>
      </c>
      <c r="X42" s="1214"/>
      <c r="Y42" s="3400"/>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96"/>
      <c r="Q43" s="625" t="str">
        <f t="shared" si="11"/>
        <v>内部装修维护情况</v>
      </c>
      <c r="R43" s="1219" t="s">
        <v>1393</v>
      </c>
      <c r="S43" s="1220">
        <f t="shared" si="12"/>
        <v>100</v>
      </c>
      <c r="T43" s="1219" t="s">
        <v>1393</v>
      </c>
      <c r="U43" s="1220">
        <f t="shared" si="13"/>
        <v>100</v>
      </c>
      <c r="V43" s="1219" t="s">
        <v>1393</v>
      </c>
      <c r="W43" s="1220">
        <f t="shared" si="14"/>
        <v>100</v>
      </c>
      <c r="X43" s="1214"/>
      <c r="Y43" s="3400"/>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96"/>
      <c r="Q44" s="794">
        <f t="shared" si="11"/>
        <v>111</v>
      </c>
      <c r="R44" s="1215" t="s">
        <v>1393</v>
      </c>
      <c r="S44" s="1216">
        <f t="shared" si="12"/>
        <v>100</v>
      </c>
      <c r="T44" s="1215" t="s">
        <v>1393</v>
      </c>
      <c r="U44" s="1216">
        <f t="shared" si="13"/>
        <v>100</v>
      </c>
      <c r="V44" s="1215" t="s">
        <v>1393</v>
      </c>
      <c r="W44" s="1216">
        <f t="shared" si="14"/>
        <v>100</v>
      </c>
      <c r="X44" s="1217"/>
      <c r="Y44" s="3400"/>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96"/>
      <c r="Q45" s="625">
        <f t="shared" si="11"/>
        <v>111</v>
      </c>
      <c r="R45" s="1219" t="s">
        <v>1393</v>
      </c>
      <c r="S45" s="1220">
        <f t="shared" si="12"/>
        <v>100</v>
      </c>
      <c r="T45" s="1219" t="s">
        <v>1393</v>
      </c>
      <c r="U45" s="1220">
        <f t="shared" si="13"/>
        <v>100</v>
      </c>
      <c r="V45" s="1219" t="s">
        <v>1393</v>
      </c>
      <c r="W45" s="1220">
        <f t="shared" si="14"/>
        <v>100</v>
      </c>
      <c r="X45" s="1214"/>
      <c r="Y45" s="3400"/>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97"/>
      <c r="Q46" s="625">
        <f t="shared" si="11"/>
        <v>111</v>
      </c>
      <c r="R46" s="1219" t="s">
        <v>1393</v>
      </c>
      <c r="S46" s="1220">
        <f t="shared" si="12"/>
        <v>100</v>
      </c>
      <c r="T46" s="1219" t="s">
        <v>1393</v>
      </c>
      <c r="U46" s="1220">
        <f t="shared" si="13"/>
        <v>100</v>
      </c>
      <c r="V46" s="1219" t="s">
        <v>1393</v>
      </c>
      <c r="W46" s="1220">
        <f t="shared" si="14"/>
        <v>100</v>
      </c>
      <c r="X46" s="1214"/>
      <c r="Y46" s="3401"/>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86" t="str">
        <f>A47</f>
        <v>成交单价（元/平方米）</v>
      </c>
      <c r="Q47" s="3386"/>
      <c r="R47" s="3384">
        <f>E47</f>
        <v>0</v>
      </c>
      <c r="S47" s="3384"/>
      <c r="T47" s="3384">
        <f>G47</f>
        <v>0</v>
      </c>
      <c r="U47" s="3384"/>
      <c r="V47" s="3384">
        <f>I47</f>
        <v>0</v>
      </c>
      <c r="W47" s="3384"/>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86" t="str">
        <f>A48</f>
        <v>比较价值（元/平方米）</v>
      </c>
      <c r="Q48" s="3386"/>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2025-11</v>
      </c>
      <c r="D58" s="1407">
        <f>EDATE(C58,-1)</f>
        <v>45931</v>
      </c>
      <c r="E58" s="1407">
        <f>EDATE(D58,-1)</f>
        <v>45901</v>
      </c>
      <c r="F58" s="1407">
        <f t="shared" ref="F58:O58" si="19">EDATE(E58,-1)</f>
        <v>45870</v>
      </c>
      <c r="G58" s="1407">
        <f t="shared" si="19"/>
        <v>45839</v>
      </c>
      <c r="H58" s="1407">
        <f t="shared" si="19"/>
        <v>45809</v>
      </c>
      <c r="I58" s="1407">
        <f t="shared" si="19"/>
        <v>45778</v>
      </c>
      <c r="J58" s="1407">
        <f t="shared" si="19"/>
        <v>45748</v>
      </c>
      <c r="K58" s="1407">
        <f t="shared" si="19"/>
        <v>45717</v>
      </c>
      <c r="L58" s="1407">
        <f t="shared" si="19"/>
        <v>45689</v>
      </c>
      <c r="M58" s="1407">
        <f t="shared" si="19"/>
        <v>45658</v>
      </c>
      <c r="N58" s="1407">
        <f t="shared" si="19"/>
        <v>45627</v>
      </c>
      <c r="O58" s="1407">
        <f t="shared" si="19"/>
        <v>45597</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158.43</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407" t="s">
        <v>1379</v>
      </c>
      <c r="D4" s="3408"/>
      <c r="E4" s="3409" t="s">
        <v>1380</v>
      </c>
      <c r="F4" s="3410"/>
      <c r="G4" s="3407" t="s">
        <v>1381</v>
      </c>
      <c r="H4" s="3408"/>
      <c r="I4" s="3407" t="s">
        <v>1382</v>
      </c>
      <c r="J4" s="3408"/>
      <c r="K4" s="1171" t="s">
        <v>1383</v>
      </c>
      <c r="L4" s="1487"/>
      <c r="M4" s="1157"/>
      <c r="N4" s="1157"/>
      <c r="O4" s="1157"/>
      <c r="P4" s="3414" t="s">
        <v>1384</v>
      </c>
      <c r="Q4" s="3415"/>
      <c r="R4" s="3418" t="s">
        <v>1380</v>
      </c>
      <c r="S4" s="3419"/>
      <c r="T4" s="3418" t="s">
        <v>1381</v>
      </c>
      <c r="U4" s="3419"/>
      <c r="V4" s="3384" t="s">
        <v>1382</v>
      </c>
      <c r="W4" s="3384"/>
      <c r="X4" s="1214"/>
      <c r="Y4" s="3418" t="s">
        <v>1384</v>
      </c>
      <c r="Z4" s="3419"/>
      <c r="AA4" s="3413" t="s">
        <v>1380</v>
      </c>
      <c r="AB4" s="3366" t="s">
        <v>1381</v>
      </c>
      <c r="AC4" s="3413" t="s">
        <v>1382</v>
      </c>
    </row>
    <row r="5" spans="1:29" ht="15">
      <c r="A5" s="1029"/>
      <c r="B5" s="1030"/>
      <c r="C5" s="3423" t="s">
        <v>1385</v>
      </c>
      <c r="D5" s="3412"/>
      <c r="E5" s="3424" t="s">
        <v>1386</v>
      </c>
      <c r="F5" s="3425"/>
      <c r="G5" s="3423" t="s">
        <v>1387</v>
      </c>
      <c r="H5" s="3412"/>
      <c r="I5" s="3423" t="s">
        <v>1388</v>
      </c>
      <c r="J5" s="3412"/>
      <c r="K5" s="1171"/>
      <c r="L5" s="1487"/>
      <c r="M5" s="1157"/>
      <c r="N5" s="1157"/>
      <c r="O5" s="1157"/>
      <c r="P5" s="3416"/>
      <c r="Q5" s="3374"/>
      <c r="R5" s="3379"/>
      <c r="S5" s="3380"/>
      <c r="T5" s="3379"/>
      <c r="U5" s="3380"/>
      <c r="V5" s="3384"/>
      <c r="W5" s="3384"/>
      <c r="X5" s="1214"/>
      <c r="Y5" s="3379"/>
      <c r="Z5" s="3380"/>
      <c r="AA5" s="3366"/>
      <c r="AB5" s="3366"/>
      <c r="AC5" s="3366"/>
    </row>
    <row r="6" spans="1:29" ht="15">
      <c r="A6" s="1031"/>
      <c r="B6" s="1032"/>
      <c r="C6" s="3402" t="s">
        <v>1389</v>
      </c>
      <c r="D6" s="3403"/>
      <c r="E6" s="3404" t="s">
        <v>1389</v>
      </c>
      <c r="F6" s="3405"/>
      <c r="G6" s="3402" t="s">
        <v>1389</v>
      </c>
      <c r="H6" s="3403"/>
      <c r="I6" s="3402" t="s">
        <v>1389</v>
      </c>
      <c r="J6" s="3403"/>
      <c r="K6" s="1171" t="s">
        <v>1390</v>
      </c>
      <c r="L6" s="1487"/>
      <c r="M6" s="1157"/>
      <c r="N6" s="1157"/>
      <c r="O6" s="1157"/>
      <c r="P6" s="3417"/>
      <c r="Q6" s="3376"/>
      <c r="R6" s="3379"/>
      <c r="S6" s="3380"/>
      <c r="T6" s="3381"/>
      <c r="U6" s="3382"/>
      <c r="V6" s="3384"/>
      <c r="W6" s="3384"/>
      <c r="X6" s="1214"/>
      <c r="Y6" s="3381"/>
      <c r="Z6" s="3382"/>
      <c r="AA6" s="3367"/>
      <c r="AB6" s="3367"/>
      <c r="AC6" s="3367"/>
    </row>
    <row r="7" spans="1:29" s="1008" customFormat="1" ht="15">
      <c r="A7" s="1033" t="s">
        <v>1391</v>
      </c>
      <c r="B7" s="1034"/>
      <c r="C7" s="1035">
        <f>'数据-取费表'!B2</f>
        <v>45975</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90" t="s">
        <v>1392</v>
      </c>
      <c r="Q7" s="3406"/>
      <c r="R7" s="1215" t="s">
        <v>1393</v>
      </c>
      <c r="S7" s="1216">
        <f t="shared" ref="S7:S15" si="0">F7</f>
        <v>0</v>
      </c>
      <c r="T7" s="1215" t="s">
        <v>1393</v>
      </c>
      <c r="U7" s="1216">
        <f t="shared" ref="U7:U15" si="1">H7</f>
        <v>0</v>
      </c>
      <c r="V7" s="1215" t="s">
        <v>1393</v>
      </c>
      <c r="W7" s="1216">
        <f t="shared" ref="W7:W15" si="2">J7</f>
        <v>0</v>
      </c>
      <c r="X7" s="1217"/>
      <c r="Y7" s="3390" t="s">
        <v>1392</v>
      </c>
      <c r="Z7" s="3391"/>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90" t="s">
        <v>1397</v>
      </c>
      <c r="Q8" s="3391"/>
      <c r="R8" s="1215" t="s">
        <v>1393</v>
      </c>
      <c r="S8" s="1216">
        <f t="shared" si="0"/>
        <v>100</v>
      </c>
      <c r="T8" s="1215" t="s">
        <v>1393</v>
      </c>
      <c r="U8" s="1216">
        <f t="shared" si="1"/>
        <v>100</v>
      </c>
      <c r="V8" s="1215" t="s">
        <v>1393</v>
      </c>
      <c r="W8" s="1216">
        <f t="shared" si="2"/>
        <v>100</v>
      </c>
      <c r="X8" s="1217"/>
      <c r="Y8" s="3390" t="s">
        <v>1397</v>
      </c>
      <c r="Z8" s="3391"/>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86" t="s">
        <v>1400</v>
      </c>
      <c r="Q9" s="794" t="str">
        <f t="shared" ref="Q9:Q15" si="6">B9</f>
        <v>用途</v>
      </c>
      <c r="R9" s="1215" t="s">
        <v>1393</v>
      </c>
      <c r="S9" s="1216">
        <f t="shared" si="0"/>
        <v>100</v>
      </c>
      <c r="T9" s="1215" t="s">
        <v>1393</v>
      </c>
      <c r="U9" s="1216">
        <f t="shared" si="1"/>
        <v>100</v>
      </c>
      <c r="V9" s="1215" t="s">
        <v>1393</v>
      </c>
      <c r="W9" s="1216">
        <f t="shared" si="2"/>
        <v>100</v>
      </c>
      <c r="X9" s="1217"/>
      <c r="Y9" s="3272"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86"/>
      <c r="Q10" s="794" t="str">
        <f t="shared" si="6"/>
        <v>土地使用年限（年）</v>
      </c>
      <c r="R10" s="1215" t="s">
        <v>1393</v>
      </c>
      <c r="S10" s="1216">
        <f t="shared" si="0"/>
        <v>100</v>
      </c>
      <c r="T10" s="1215" t="s">
        <v>1393</v>
      </c>
      <c r="U10" s="1216">
        <f t="shared" si="1"/>
        <v>100</v>
      </c>
      <c r="V10" s="1215" t="s">
        <v>1393</v>
      </c>
      <c r="W10" s="1216">
        <f t="shared" si="2"/>
        <v>100</v>
      </c>
      <c r="X10" s="1217"/>
      <c r="Y10" s="3272"/>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86"/>
      <c r="Q11" s="794" t="str">
        <f t="shared" si="6"/>
        <v>容积率</v>
      </c>
      <c r="R11" s="1215" t="s">
        <v>1393</v>
      </c>
      <c r="S11" s="1216">
        <f t="shared" si="0"/>
        <v>100</v>
      </c>
      <c r="T11" s="1215" t="s">
        <v>1393</v>
      </c>
      <c r="U11" s="1216">
        <f t="shared" si="1"/>
        <v>100</v>
      </c>
      <c r="V11" s="1215" t="s">
        <v>1393</v>
      </c>
      <c r="W11" s="1216">
        <f t="shared" si="2"/>
        <v>100</v>
      </c>
      <c r="X11" s="1217"/>
      <c r="Y11" s="3272"/>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86"/>
      <c r="Q12" s="794">
        <f t="shared" si="6"/>
        <v>111</v>
      </c>
      <c r="R12" s="1215" t="s">
        <v>1393</v>
      </c>
      <c r="S12" s="1216">
        <f t="shared" si="0"/>
        <v>100</v>
      </c>
      <c r="T12" s="1215" t="s">
        <v>1393</v>
      </c>
      <c r="U12" s="1216">
        <f t="shared" si="1"/>
        <v>100</v>
      </c>
      <c r="V12" s="1215" t="s">
        <v>1393</v>
      </c>
      <c r="W12" s="1216">
        <f t="shared" si="2"/>
        <v>100</v>
      </c>
      <c r="X12" s="1217"/>
      <c r="Y12" s="3272"/>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86"/>
      <c r="Q13" s="794">
        <f t="shared" si="6"/>
        <v>111</v>
      </c>
      <c r="R13" s="1215" t="s">
        <v>1393</v>
      </c>
      <c r="S13" s="1216">
        <f t="shared" si="0"/>
        <v>100</v>
      </c>
      <c r="T13" s="1215" t="s">
        <v>1393</v>
      </c>
      <c r="U13" s="1216">
        <f t="shared" si="1"/>
        <v>100</v>
      </c>
      <c r="V13" s="1215" t="s">
        <v>1393</v>
      </c>
      <c r="W13" s="1216">
        <f t="shared" si="2"/>
        <v>100</v>
      </c>
      <c r="X13" s="1217"/>
      <c r="Y13" s="3272"/>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86"/>
      <c r="Q14" s="794">
        <f t="shared" si="6"/>
        <v>111</v>
      </c>
      <c r="R14" s="1215" t="s">
        <v>1393</v>
      </c>
      <c r="S14" s="1216">
        <f t="shared" si="0"/>
        <v>100</v>
      </c>
      <c r="T14" s="1215" t="s">
        <v>1393</v>
      </c>
      <c r="U14" s="1216">
        <f t="shared" si="1"/>
        <v>100</v>
      </c>
      <c r="V14" s="1215" t="s">
        <v>1393</v>
      </c>
      <c r="W14" s="1216">
        <f t="shared" si="2"/>
        <v>100</v>
      </c>
      <c r="X14" s="1217"/>
      <c r="Y14" s="3272"/>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98" t="s">
        <v>1406</v>
      </c>
      <c r="Q15" s="625" t="str">
        <f t="shared" si="6"/>
        <v>产业集聚程度</v>
      </c>
      <c r="R15" s="1219" t="s">
        <v>1393</v>
      </c>
      <c r="S15" s="1220">
        <f t="shared" si="0"/>
        <v>100</v>
      </c>
      <c r="T15" s="1219" t="s">
        <v>1393</v>
      </c>
      <c r="U15" s="1220">
        <f t="shared" si="1"/>
        <v>100</v>
      </c>
      <c r="V15" s="1219" t="s">
        <v>1393</v>
      </c>
      <c r="W15" s="1220">
        <f t="shared" si="2"/>
        <v>100</v>
      </c>
      <c r="X15" s="1214"/>
      <c r="Y15" s="3398"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99"/>
      <c r="Q16" s="625"/>
      <c r="R16" s="1219"/>
      <c r="S16" s="1220"/>
      <c r="T16" s="1219"/>
      <c r="U16" s="1220"/>
      <c r="V16" s="1219"/>
      <c r="W16" s="1220"/>
      <c r="X16" s="1214"/>
      <c r="Y16" s="3399"/>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99"/>
      <c r="Q17" s="625" t="str">
        <f>B17</f>
        <v>交通便捷度</v>
      </c>
      <c r="R17" s="1219" t="s">
        <v>1393</v>
      </c>
      <c r="S17" s="1220">
        <f>F17</f>
        <v>100</v>
      </c>
      <c r="T17" s="1219" t="s">
        <v>1393</v>
      </c>
      <c r="U17" s="1220">
        <f>H17</f>
        <v>100</v>
      </c>
      <c r="V17" s="1219" t="s">
        <v>1393</v>
      </c>
      <c r="W17" s="1220">
        <f>J17</f>
        <v>100</v>
      </c>
      <c r="X17" s="1214"/>
      <c r="Y17" s="3399"/>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99"/>
      <c r="Q18" s="625"/>
      <c r="R18" s="1219"/>
      <c r="S18" s="1220"/>
      <c r="T18" s="1219"/>
      <c r="U18" s="1220"/>
      <c r="V18" s="1219"/>
      <c r="W18" s="1220"/>
      <c r="X18" s="1214"/>
      <c r="Y18" s="3399"/>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99"/>
      <c r="Q19" s="625" t="str">
        <f>B19</f>
        <v>公共配套设施</v>
      </c>
      <c r="R19" s="1219" t="s">
        <v>1393</v>
      </c>
      <c r="S19" s="1220">
        <f>F19</f>
        <v>100</v>
      </c>
      <c r="T19" s="1219" t="s">
        <v>1393</v>
      </c>
      <c r="U19" s="1220">
        <f>H19</f>
        <v>100</v>
      </c>
      <c r="V19" s="1219" t="s">
        <v>1393</v>
      </c>
      <c r="W19" s="1220">
        <f>J19</f>
        <v>100</v>
      </c>
      <c r="X19" s="1214"/>
      <c r="Y19" s="3399"/>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99"/>
      <c r="Q20" s="625"/>
      <c r="R20" s="1219"/>
      <c r="S20" s="1220"/>
      <c r="T20" s="1219"/>
      <c r="U20" s="1220"/>
      <c r="V20" s="1219"/>
      <c r="W20" s="1220"/>
      <c r="X20" s="1214"/>
      <c r="Y20" s="3399"/>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99"/>
      <c r="Q21" s="625" t="str">
        <f>B21</f>
        <v>基础设施水平</v>
      </c>
      <c r="R21" s="1219" t="s">
        <v>1393</v>
      </c>
      <c r="S21" s="1220">
        <f>F21</f>
        <v>100</v>
      </c>
      <c r="T21" s="1219" t="s">
        <v>1393</v>
      </c>
      <c r="U21" s="1220">
        <f>H21</f>
        <v>100</v>
      </c>
      <c r="V21" s="1219" t="s">
        <v>1393</v>
      </c>
      <c r="W21" s="1220">
        <f>J21</f>
        <v>100</v>
      </c>
      <c r="X21" s="1214"/>
      <c r="Y21" s="3399"/>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99"/>
      <c r="Q22" s="625"/>
      <c r="R22" s="1219"/>
      <c r="S22" s="1220"/>
      <c r="T22" s="1219"/>
      <c r="U22" s="1220"/>
      <c r="V22" s="1219"/>
      <c r="W22" s="1220"/>
      <c r="X22" s="1214"/>
      <c r="Y22" s="3399"/>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99"/>
      <c r="Q23" s="625" t="str">
        <f>B23</f>
        <v>环境质量</v>
      </c>
      <c r="R23" s="1219" t="s">
        <v>1393</v>
      </c>
      <c r="S23" s="1220">
        <f>F23</f>
        <v>100</v>
      </c>
      <c r="T23" s="1219" t="s">
        <v>1393</v>
      </c>
      <c r="U23" s="1220">
        <f>H23</f>
        <v>100</v>
      </c>
      <c r="V23" s="1219" t="s">
        <v>1393</v>
      </c>
      <c r="W23" s="1220">
        <f>J23</f>
        <v>100</v>
      </c>
      <c r="X23" s="1214"/>
      <c r="Y23" s="3399"/>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99"/>
      <c r="Q24" s="625"/>
      <c r="R24" s="1219"/>
      <c r="S24" s="1220"/>
      <c r="T24" s="1219"/>
      <c r="U24" s="1220"/>
      <c r="V24" s="1219"/>
      <c r="W24" s="1220"/>
      <c r="X24" s="1214"/>
      <c r="Y24" s="3399"/>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99"/>
      <c r="Q25" s="625">
        <f>B25</f>
        <v>111</v>
      </c>
      <c r="R25" s="1219" t="s">
        <v>1393</v>
      </c>
      <c r="S25" s="1220">
        <f>F25</f>
        <v>100</v>
      </c>
      <c r="T25" s="1219" t="s">
        <v>1393</v>
      </c>
      <c r="U25" s="1220">
        <f>H25</f>
        <v>100</v>
      </c>
      <c r="V25" s="1219" t="s">
        <v>1393</v>
      </c>
      <c r="W25" s="1220">
        <f>J25</f>
        <v>100</v>
      </c>
      <c r="X25" s="1214"/>
      <c r="Y25" s="3399"/>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99"/>
      <c r="Q26" s="625">
        <f t="shared" ref="Q26:Q40" si="11">B26</f>
        <v>111</v>
      </c>
      <c r="R26" s="1219" t="s">
        <v>1393</v>
      </c>
      <c r="S26" s="1220">
        <f>F26</f>
        <v>100</v>
      </c>
      <c r="T26" s="1219" t="s">
        <v>1393</v>
      </c>
      <c r="U26" s="1220">
        <f>H26</f>
        <v>100</v>
      </c>
      <c r="V26" s="1219" t="s">
        <v>1393</v>
      </c>
      <c r="W26" s="1220">
        <f>J26</f>
        <v>100</v>
      </c>
      <c r="X26" s="1214"/>
      <c r="Y26" s="3399"/>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99"/>
      <c r="Q27" s="794">
        <f t="shared" si="11"/>
        <v>111</v>
      </c>
      <c r="R27" s="1215" t="s">
        <v>1393</v>
      </c>
      <c r="S27" s="1216">
        <f>F27</f>
        <v>100</v>
      </c>
      <c r="T27" s="1215" t="s">
        <v>1393</v>
      </c>
      <c r="U27" s="1216">
        <f>H27</f>
        <v>100</v>
      </c>
      <c r="V27" s="1215" t="s">
        <v>1393</v>
      </c>
      <c r="W27" s="1216">
        <f>J27</f>
        <v>100</v>
      </c>
      <c r="X27" s="1217"/>
      <c r="Y27" s="3399"/>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99"/>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99"/>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7" t="s">
        <v>1421</v>
      </c>
      <c r="Q29" s="625" t="str">
        <f t="shared" si="11"/>
        <v>建筑类型</v>
      </c>
      <c r="R29" s="1219" t="s">
        <v>1393</v>
      </c>
      <c r="S29" s="1220">
        <f t="shared" si="12"/>
        <v>100</v>
      </c>
      <c r="T29" s="1219" t="s">
        <v>1393</v>
      </c>
      <c r="U29" s="1220">
        <f t="shared" si="13"/>
        <v>100</v>
      </c>
      <c r="V29" s="1219" t="s">
        <v>1393</v>
      </c>
      <c r="W29" s="1220">
        <f t="shared" si="14"/>
        <v>100</v>
      </c>
      <c r="X29" s="1214"/>
      <c r="Y29" s="3400"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400"/>
      <c r="Q30" s="1415" t="str">
        <f t="shared" si="11"/>
        <v>项目建筑规模</v>
      </c>
      <c r="R30" s="1221" t="s">
        <v>1393</v>
      </c>
      <c r="S30" s="1222" t="e">
        <f t="shared" si="12"/>
        <v>#N/A</v>
      </c>
      <c r="T30" s="1221" t="s">
        <v>1393</v>
      </c>
      <c r="U30" s="1222" t="e">
        <f t="shared" si="13"/>
        <v>#N/A</v>
      </c>
      <c r="V30" s="1221" t="s">
        <v>1393</v>
      </c>
      <c r="W30" s="1222" t="e">
        <f t="shared" si="14"/>
        <v>#N/A</v>
      </c>
      <c r="X30" s="1223"/>
      <c r="Y30" s="3400"/>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400"/>
      <c r="Q31" s="625" t="str">
        <f t="shared" si="11"/>
        <v>建筑结构</v>
      </c>
      <c r="R31" s="1219" t="s">
        <v>1393</v>
      </c>
      <c r="S31" s="1220">
        <f t="shared" si="12"/>
        <v>100</v>
      </c>
      <c r="T31" s="1219" t="s">
        <v>1393</v>
      </c>
      <c r="U31" s="1220">
        <f t="shared" si="13"/>
        <v>100</v>
      </c>
      <c r="V31" s="1219" t="s">
        <v>1393</v>
      </c>
      <c r="W31" s="1220">
        <f t="shared" si="14"/>
        <v>100</v>
      </c>
      <c r="X31" s="1214"/>
      <c r="Y31" s="3400"/>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400"/>
      <c r="Q32" s="625" t="str">
        <f t="shared" si="11"/>
        <v>公共部分装修</v>
      </c>
      <c r="R32" s="1219" t="s">
        <v>1393</v>
      </c>
      <c r="S32" s="1220">
        <f t="shared" si="12"/>
        <v>100</v>
      </c>
      <c r="T32" s="1219" t="s">
        <v>1393</v>
      </c>
      <c r="U32" s="1220">
        <f t="shared" si="13"/>
        <v>100</v>
      </c>
      <c r="V32" s="1219" t="s">
        <v>1393</v>
      </c>
      <c r="W32" s="1220">
        <f t="shared" si="14"/>
        <v>100</v>
      </c>
      <c r="X32" s="1214"/>
      <c r="Y32" s="3400"/>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400"/>
      <c r="Q33" s="625" t="str">
        <f t="shared" si="11"/>
        <v>成新度</v>
      </c>
      <c r="R33" s="1219" t="s">
        <v>1393</v>
      </c>
      <c r="S33" s="1220" t="e">
        <f t="shared" si="12"/>
        <v>#N/A</v>
      </c>
      <c r="T33" s="1219" t="s">
        <v>1393</v>
      </c>
      <c r="U33" s="1220" t="e">
        <f t="shared" si="13"/>
        <v>#N/A</v>
      </c>
      <c r="V33" s="1219" t="s">
        <v>1393</v>
      </c>
      <c r="W33" s="1220" t="e">
        <f t="shared" si="14"/>
        <v>#N/A</v>
      </c>
      <c r="X33" s="1214"/>
      <c r="Y33" s="3400"/>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400"/>
      <c r="Q34" s="794" t="str">
        <f t="shared" si="11"/>
        <v>物业管理</v>
      </c>
      <c r="R34" s="1215" t="s">
        <v>1393</v>
      </c>
      <c r="S34" s="1216">
        <f t="shared" si="12"/>
        <v>100</v>
      </c>
      <c r="T34" s="1215" t="s">
        <v>1393</v>
      </c>
      <c r="U34" s="1216">
        <f t="shared" si="13"/>
        <v>100</v>
      </c>
      <c r="V34" s="1215" t="s">
        <v>1393</v>
      </c>
      <c r="W34" s="1216">
        <f t="shared" si="14"/>
        <v>100</v>
      </c>
      <c r="X34" s="1217"/>
      <c r="Y34" s="3400"/>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400" t="s">
        <v>1421</v>
      </c>
      <c r="Q35" s="625" t="str">
        <f t="shared" si="11"/>
        <v>市政基础设施</v>
      </c>
      <c r="R35" s="1219" t="s">
        <v>1393</v>
      </c>
      <c r="S35" s="1220">
        <f t="shared" si="12"/>
        <v>100</v>
      </c>
      <c r="T35" s="1219" t="s">
        <v>1393</v>
      </c>
      <c r="U35" s="1220">
        <f t="shared" si="13"/>
        <v>100</v>
      </c>
      <c r="V35" s="1219" t="s">
        <v>1393</v>
      </c>
      <c r="W35" s="1220">
        <f t="shared" si="14"/>
        <v>100</v>
      </c>
      <c r="X35" s="1214"/>
      <c r="Y35" s="3400"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400"/>
      <c r="Q36" s="625" t="str">
        <f t="shared" si="11"/>
        <v>内部装修</v>
      </c>
      <c r="R36" s="1219" t="s">
        <v>1393</v>
      </c>
      <c r="S36" s="1220">
        <f t="shared" si="12"/>
        <v>100</v>
      </c>
      <c r="T36" s="1219" t="s">
        <v>1393</v>
      </c>
      <c r="U36" s="1220">
        <f t="shared" si="13"/>
        <v>100</v>
      </c>
      <c r="V36" s="1219" t="s">
        <v>1393</v>
      </c>
      <c r="W36" s="1220">
        <f t="shared" si="14"/>
        <v>100</v>
      </c>
      <c r="X36" s="1214"/>
      <c r="Y36" s="3400"/>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400"/>
      <c r="Q37" s="625" t="str">
        <f t="shared" si="11"/>
        <v>内部装修状况</v>
      </c>
      <c r="R37" s="1219" t="s">
        <v>1393</v>
      </c>
      <c r="S37" s="1220">
        <f t="shared" si="12"/>
        <v>100</v>
      </c>
      <c r="T37" s="1219" t="s">
        <v>1393</v>
      </c>
      <c r="U37" s="1220">
        <f t="shared" si="13"/>
        <v>100</v>
      </c>
      <c r="V37" s="1219" t="s">
        <v>1393</v>
      </c>
      <c r="W37" s="1220">
        <f t="shared" si="14"/>
        <v>100</v>
      </c>
      <c r="X37" s="1214"/>
      <c r="Y37" s="3400"/>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400"/>
      <c r="Q38" s="1415">
        <f t="shared" si="11"/>
        <v>111</v>
      </c>
      <c r="R38" s="1221" t="s">
        <v>1393</v>
      </c>
      <c r="S38" s="1222">
        <f t="shared" si="12"/>
        <v>100</v>
      </c>
      <c r="T38" s="1221" t="s">
        <v>1393</v>
      </c>
      <c r="U38" s="1222">
        <f t="shared" si="13"/>
        <v>100</v>
      </c>
      <c r="V38" s="1221" t="s">
        <v>1393</v>
      </c>
      <c r="W38" s="1222">
        <f t="shared" si="14"/>
        <v>100</v>
      </c>
      <c r="X38" s="1223"/>
      <c r="Y38" s="3400"/>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400"/>
      <c r="Q39" s="625">
        <f t="shared" si="11"/>
        <v>111</v>
      </c>
      <c r="R39" s="1219" t="s">
        <v>1393</v>
      </c>
      <c r="S39" s="1220">
        <f t="shared" si="12"/>
        <v>100</v>
      </c>
      <c r="T39" s="1219" t="s">
        <v>1393</v>
      </c>
      <c r="U39" s="1220">
        <f t="shared" si="13"/>
        <v>100</v>
      </c>
      <c r="V39" s="1219" t="s">
        <v>1393</v>
      </c>
      <c r="W39" s="1220">
        <f t="shared" si="14"/>
        <v>100</v>
      </c>
      <c r="X39" s="1214"/>
      <c r="Y39" s="3400"/>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401"/>
      <c r="Q40" s="625">
        <f t="shared" si="11"/>
        <v>111</v>
      </c>
      <c r="R40" s="1219" t="s">
        <v>1393</v>
      </c>
      <c r="S40" s="1220">
        <f t="shared" si="12"/>
        <v>100</v>
      </c>
      <c r="T40" s="1219" t="s">
        <v>1393</v>
      </c>
      <c r="U40" s="1220">
        <f t="shared" si="13"/>
        <v>100</v>
      </c>
      <c r="V40" s="1219" t="s">
        <v>1393</v>
      </c>
      <c r="W40" s="1220">
        <f t="shared" si="14"/>
        <v>100</v>
      </c>
      <c r="X40" s="1214"/>
      <c r="Y40" s="3401"/>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86" t="str">
        <f>A41</f>
        <v>成交单价（元/平方米）</v>
      </c>
      <c r="Q41" s="3386"/>
      <c r="R41" s="3384">
        <f>E41</f>
        <v>0</v>
      </c>
      <c r="S41" s="3384"/>
      <c r="T41" s="3384">
        <f>G41</f>
        <v>0</v>
      </c>
      <c r="U41" s="3384"/>
      <c r="V41" s="3384">
        <f>I41</f>
        <v>0</v>
      </c>
      <c r="W41" s="3384"/>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86" t="str">
        <f>A42</f>
        <v>比较价值（元/平方米）</v>
      </c>
      <c r="Q42" s="3386"/>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2025-11</v>
      </c>
      <c r="D52" s="1407">
        <f>EDATE(C52,-1)</f>
        <v>45931</v>
      </c>
      <c r="E52" s="1407">
        <f t="shared" ref="E52:O52" si="16">EDATE(D52,-1)</f>
        <v>45901</v>
      </c>
      <c r="F52" s="1407">
        <f t="shared" si="16"/>
        <v>45870</v>
      </c>
      <c r="G52" s="1407">
        <f t="shared" si="16"/>
        <v>45839</v>
      </c>
      <c r="H52" s="1407">
        <f t="shared" si="16"/>
        <v>45809</v>
      </c>
      <c r="I52" s="1407">
        <f t="shared" si="16"/>
        <v>45778</v>
      </c>
      <c r="J52" s="1407">
        <f t="shared" si="16"/>
        <v>45748</v>
      </c>
      <c r="K52" s="1407">
        <f t="shared" si="16"/>
        <v>45717</v>
      </c>
      <c r="L52" s="1407">
        <f t="shared" si="16"/>
        <v>45689</v>
      </c>
      <c r="M52" s="1407">
        <f t="shared" si="16"/>
        <v>45658</v>
      </c>
      <c r="N52" s="1407">
        <f t="shared" si="16"/>
        <v>45627</v>
      </c>
      <c r="O52" s="1407">
        <f t="shared" si="16"/>
        <v>45597</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估价对象为北京市房地产，为所有。根据《国有土地使用证》[]，估价对象（分摊）出让国有建设用地使用权面积为0平方米，建筑面积为158.43平方米。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估价对象为北京市房地产,属开发建设的办公项目，该项目尚在开发建设中。根据《国有土地使用证》[]，估价对象（分摊）出让国有建设用地使用权面积为0平方米，规划建筑面积为158.43平方米。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2025年11月14日（评估专业人员实地查勘之日）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407" t="s">
        <v>1379</v>
      </c>
      <c r="D4" s="3408"/>
      <c r="E4" s="3409" t="s">
        <v>1380</v>
      </c>
      <c r="F4" s="3410"/>
      <c r="G4" s="3407" t="s">
        <v>1381</v>
      </c>
      <c r="H4" s="3408"/>
      <c r="I4" s="3407" t="s">
        <v>1382</v>
      </c>
      <c r="J4" s="3408"/>
      <c r="K4" s="1171" t="s">
        <v>1383</v>
      </c>
      <c r="L4" s="1172"/>
      <c r="M4" s="1122"/>
      <c r="N4" s="1122"/>
      <c r="O4" s="1122"/>
      <c r="P4" s="3414" t="s">
        <v>1384</v>
      </c>
      <c r="Q4" s="3415"/>
      <c r="R4" s="3418" t="s">
        <v>1380</v>
      </c>
      <c r="S4" s="3419"/>
      <c r="T4" s="3418" t="s">
        <v>1381</v>
      </c>
      <c r="U4" s="3419"/>
      <c r="V4" s="3384" t="s">
        <v>1382</v>
      </c>
      <c r="W4" s="3384"/>
      <c r="X4" s="1214"/>
      <c r="Y4" s="3418" t="s">
        <v>1384</v>
      </c>
      <c r="Z4" s="3419"/>
      <c r="AA4" s="3413" t="s">
        <v>1380</v>
      </c>
      <c r="AB4" s="3366" t="s">
        <v>1381</v>
      </c>
      <c r="AC4" s="3413" t="s">
        <v>1382</v>
      </c>
    </row>
    <row r="5" spans="1:29" ht="15">
      <c r="A5" s="1029"/>
      <c r="B5" s="1030"/>
      <c r="C5" s="3423" t="s">
        <v>1385</v>
      </c>
      <c r="D5" s="3412"/>
      <c r="E5" s="3424" t="s">
        <v>1386</v>
      </c>
      <c r="F5" s="3425"/>
      <c r="G5" s="3423" t="s">
        <v>1387</v>
      </c>
      <c r="H5" s="3412"/>
      <c r="I5" s="3423" t="s">
        <v>1388</v>
      </c>
      <c r="J5" s="3412"/>
      <c r="K5" s="1171"/>
      <c r="L5" s="1172"/>
      <c r="M5" s="1122"/>
      <c r="N5" s="1122"/>
      <c r="O5" s="1122"/>
      <c r="P5" s="3416"/>
      <c r="Q5" s="3374"/>
      <c r="R5" s="3379"/>
      <c r="S5" s="3380"/>
      <c r="T5" s="3379"/>
      <c r="U5" s="3380"/>
      <c r="V5" s="3384"/>
      <c r="W5" s="3384"/>
      <c r="X5" s="1214"/>
      <c r="Y5" s="3379"/>
      <c r="Z5" s="3380"/>
      <c r="AA5" s="3366"/>
      <c r="AB5" s="3366"/>
      <c r="AC5" s="3366"/>
    </row>
    <row r="6" spans="1:29" ht="15">
      <c r="A6" s="1031"/>
      <c r="B6" s="1032"/>
      <c r="C6" s="3402" t="s">
        <v>1389</v>
      </c>
      <c r="D6" s="3403"/>
      <c r="E6" s="3404" t="s">
        <v>1389</v>
      </c>
      <c r="F6" s="3405"/>
      <c r="G6" s="3402" t="s">
        <v>1389</v>
      </c>
      <c r="H6" s="3403"/>
      <c r="I6" s="3402" t="s">
        <v>1389</v>
      </c>
      <c r="J6" s="3403"/>
      <c r="K6" s="1171" t="s">
        <v>1390</v>
      </c>
      <c r="L6" s="1172"/>
      <c r="M6" s="1122"/>
      <c r="N6" s="1122"/>
      <c r="O6" s="1122"/>
      <c r="P6" s="3417"/>
      <c r="Q6" s="3376"/>
      <c r="R6" s="3379"/>
      <c r="S6" s="3380"/>
      <c r="T6" s="3381"/>
      <c r="U6" s="3382"/>
      <c r="V6" s="3384"/>
      <c r="W6" s="3384"/>
      <c r="X6" s="1214"/>
      <c r="Y6" s="3381"/>
      <c r="Z6" s="3382"/>
      <c r="AA6" s="3367"/>
      <c r="AB6" s="3367"/>
      <c r="AC6" s="3367"/>
    </row>
    <row r="7" spans="1:29" s="1008" customFormat="1" ht="15">
      <c r="A7" s="1033" t="s">
        <v>1391</v>
      </c>
      <c r="B7" s="1034"/>
      <c r="C7" s="1035">
        <f>'数据-取费表'!B2</f>
        <v>45975</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90" t="s">
        <v>1392</v>
      </c>
      <c r="Q7" s="3406"/>
      <c r="R7" s="1215" t="s">
        <v>1393</v>
      </c>
      <c r="S7" s="1216">
        <f t="shared" ref="S7:S14" si="0">F7</f>
        <v>0</v>
      </c>
      <c r="T7" s="1215" t="s">
        <v>1393</v>
      </c>
      <c r="U7" s="1216">
        <f t="shared" ref="U7:U14" si="1">H7</f>
        <v>0</v>
      </c>
      <c r="V7" s="1215" t="s">
        <v>1393</v>
      </c>
      <c r="W7" s="1216">
        <f t="shared" ref="W7:W14" si="2">J7</f>
        <v>0</v>
      </c>
      <c r="X7" s="1217"/>
      <c r="Y7" s="3390" t="s">
        <v>1392</v>
      </c>
      <c r="Z7" s="3391"/>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90" t="s">
        <v>1397</v>
      </c>
      <c r="Q8" s="3391"/>
      <c r="R8" s="1215" t="s">
        <v>1393</v>
      </c>
      <c r="S8" s="1216">
        <f t="shared" si="0"/>
        <v>100</v>
      </c>
      <c r="T8" s="1215" t="s">
        <v>1393</v>
      </c>
      <c r="U8" s="1216">
        <f t="shared" si="1"/>
        <v>100</v>
      </c>
      <c r="V8" s="1215" t="s">
        <v>1393</v>
      </c>
      <c r="W8" s="1216">
        <f t="shared" si="2"/>
        <v>100</v>
      </c>
      <c r="X8" s="1217"/>
      <c r="Y8" s="3390" t="s">
        <v>1397</v>
      </c>
      <c r="Z8" s="3391"/>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86" t="s">
        <v>1400</v>
      </c>
      <c r="Q9" s="794" t="str">
        <f t="shared" ref="Q9:Q14" si="6">B9</f>
        <v>用途</v>
      </c>
      <c r="R9" s="1215" t="s">
        <v>1393</v>
      </c>
      <c r="S9" s="1216">
        <f t="shared" si="0"/>
        <v>100</v>
      </c>
      <c r="T9" s="1215" t="s">
        <v>1393</v>
      </c>
      <c r="U9" s="1216">
        <f t="shared" si="1"/>
        <v>100</v>
      </c>
      <c r="V9" s="1215" t="s">
        <v>1393</v>
      </c>
      <c r="W9" s="1216">
        <f t="shared" si="2"/>
        <v>100</v>
      </c>
      <c r="X9" s="1217"/>
      <c r="Y9" s="3272"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86"/>
      <c r="Q10" s="794" t="str">
        <f t="shared" si="6"/>
        <v>土地使用年限（年）</v>
      </c>
      <c r="R10" s="1215" t="s">
        <v>1393</v>
      </c>
      <c r="S10" s="1216">
        <f t="shared" si="0"/>
        <v>100</v>
      </c>
      <c r="T10" s="1215" t="s">
        <v>1393</v>
      </c>
      <c r="U10" s="1216">
        <f t="shared" si="1"/>
        <v>100</v>
      </c>
      <c r="V10" s="1215" t="s">
        <v>1393</v>
      </c>
      <c r="W10" s="1216">
        <f t="shared" si="2"/>
        <v>100</v>
      </c>
      <c r="X10" s="1217"/>
      <c r="Y10" s="3272"/>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86"/>
      <c r="Q11" s="794">
        <f t="shared" si="6"/>
        <v>111</v>
      </c>
      <c r="R11" s="1215" t="s">
        <v>1393</v>
      </c>
      <c r="S11" s="1216">
        <f t="shared" si="0"/>
        <v>100</v>
      </c>
      <c r="T11" s="1215" t="s">
        <v>1393</v>
      </c>
      <c r="U11" s="1216">
        <f t="shared" si="1"/>
        <v>100</v>
      </c>
      <c r="V11" s="1215" t="s">
        <v>1393</v>
      </c>
      <c r="W11" s="1216">
        <f t="shared" si="2"/>
        <v>100</v>
      </c>
      <c r="X11" s="1217"/>
      <c r="Y11" s="3272"/>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86"/>
      <c r="Q12" s="794">
        <f t="shared" si="6"/>
        <v>111</v>
      </c>
      <c r="R12" s="1215" t="s">
        <v>1393</v>
      </c>
      <c r="S12" s="1216">
        <f t="shared" si="0"/>
        <v>100</v>
      </c>
      <c r="T12" s="1215" t="s">
        <v>1393</v>
      </c>
      <c r="U12" s="1216">
        <f t="shared" si="1"/>
        <v>100</v>
      </c>
      <c r="V12" s="1215" t="s">
        <v>1393</v>
      </c>
      <c r="W12" s="1216">
        <f t="shared" si="2"/>
        <v>100</v>
      </c>
      <c r="X12" s="1217"/>
      <c r="Y12" s="3272"/>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86"/>
      <c r="Q13" s="794">
        <f t="shared" si="6"/>
        <v>111</v>
      </c>
      <c r="R13" s="1215" t="s">
        <v>1393</v>
      </c>
      <c r="S13" s="1216">
        <f t="shared" si="0"/>
        <v>100</v>
      </c>
      <c r="T13" s="1215" t="s">
        <v>1393</v>
      </c>
      <c r="U13" s="1216">
        <f t="shared" si="1"/>
        <v>100</v>
      </c>
      <c r="V13" s="1215" t="s">
        <v>1393</v>
      </c>
      <c r="W13" s="1216">
        <f t="shared" si="2"/>
        <v>100</v>
      </c>
      <c r="X13" s="1217"/>
      <c r="Y13" s="3272"/>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98" t="s">
        <v>1406</v>
      </c>
      <c r="Q14" s="625" t="str">
        <f t="shared" si="6"/>
        <v>交通便捷度</v>
      </c>
      <c r="R14" s="1219" t="s">
        <v>1393</v>
      </c>
      <c r="S14" s="1220">
        <f t="shared" si="0"/>
        <v>100</v>
      </c>
      <c r="T14" s="1219" t="s">
        <v>1393</v>
      </c>
      <c r="U14" s="1220">
        <f t="shared" si="1"/>
        <v>100</v>
      </c>
      <c r="V14" s="1219" t="s">
        <v>1393</v>
      </c>
      <c r="W14" s="1220">
        <f t="shared" si="2"/>
        <v>100</v>
      </c>
      <c r="X14" s="1214"/>
      <c r="Y14" s="3398"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99"/>
      <c r="Q15" s="625"/>
      <c r="R15" s="1219"/>
      <c r="S15" s="1220"/>
      <c r="T15" s="1219"/>
      <c r="U15" s="1220"/>
      <c r="V15" s="1219"/>
      <c r="W15" s="1220"/>
      <c r="X15" s="1214"/>
      <c r="Y15" s="3399"/>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99"/>
      <c r="Q16" s="625" t="str">
        <f>B16</f>
        <v>公共配套设施</v>
      </c>
      <c r="R16" s="1219" t="s">
        <v>1393</v>
      </c>
      <c r="S16" s="1220">
        <f>F16</f>
        <v>100</v>
      </c>
      <c r="T16" s="1219" t="s">
        <v>1393</v>
      </c>
      <c r="U16" s="1220">
        <f>H16</f>
        <v>100</v>
      </c>
      <c r="V16" s="1219" t="s">
        <v>1393</v>
      </c>
      <c r="W16" s="1220">
        <f>J16</f>
        <v>100</v>
      </c>
      <c r="X16" s="1214"/>
      <c r="Y16" s="3399"/>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99"/>
      <c r="Q17" s="625"/>
      <c r="R17" s="1219"/>
      <c r="S17" s="1220"/>
      <c r="T17" s="1219"/>
      <c r="U17" s="1220"/>
      <c r="V17" s="1219"/>
      <c r="W17" s="1220"/>
      <c r="X17" s="1214"/>
      <c r="Y17" s="3399"/>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99"/>
      <c r="Q18" s="625" t="str">
        <f>B18</f>
        <v>基础设施水平</v>
      </c>
      <c r="R18" s="1219" t="s">
        <v>1393</v>
      </c>
      <c r="S18" s="1220">
        <f>F18</f>
        <v>100</v>
      </c>
      <c r="T18" s="1219" t="s">
        <v>1393</v>
      </c>
      <c r="U18" s="1220">
        <f>H18</f>
        <v>100</v>
      </c>
      <c r="V18" s="1219" t="s">
        <v>1393</v>
      </c>
      <c r="W18" s="1220">
        <f>J18</f>
        <v>100</v>
      </c>
      <c r="X18" s="1214"/>
      <c r="Y18" s="3399"/>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99"/>
      <c r="Q19" s="625"/>
      <c r="R19" s="1219"/>
      <c r="S19" s="1220"/>
      <c r="T19" s="1219"/>
      <c r="U19" s="1220"/>
      <c r="V19" s="1219"/>
      <c r="W19" s="1220"/>
      <c r="X19" s="1214"/>
      <c r="Y19" s="3399"/>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99"/>
      <c r="Q20" s="625" t="str">
        <f>B20</f>
        <v>自然及人文环境</v>
      </c>
      <c r="R20" s="1219" t="s">
        <v>1393</v>
      </c>
      <c r="S20" s="1220">
        <f>F20</f>
        <v>100</v>
      </c>
      <c r="T20" s="1219" t="s">
        <v>1393</v>
      </c>
      <c r="U20" s="1220">
        <f>H20</f>
        <v>100</v>
      </c>
      <c r="V20" s="1219" t="s">
        <v>1393</v>
      </c>
      <c r="W20" s="1220">
        <f>J20</f>
        <v>100</v>
      </c>
      <c r="X20" s="1214"/>
      <c r="Y20" s="3399"/>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99"/>
      <c r="Q21" s="625"/>
      <c r="R21" s="1219"/>
      <c r="S21" s="1220"/>
      <c r="T21" s="1219"/>
      <c r="U21" s="1220"/>
      <c r="V21" s="1219"/>
      <c r="W21" s="1220"/>
      <c r="X21" s="1214"/>
      <c r="Y21" s="3399"/>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99"/>
      <c r="Q22" s="625" t="str">
        <f>B22</f>
        <v>楼层</v>
      </c>
      <c r="R22" s="1219" t="s">
        <v>1393</v>
      </c>
      <c r="S22" s="1220">
        <f>F22</f>
        <v>100</v>
      </c>
      <c r="T22" s="1219" t="s">
        <v>1393</v>
      </c>
      <c r="U22" s="1220">
        <f>H22</f>
        <v>100</v>
      </c>
      <c r="V22" s="1219" t="s">
        <v>1393</v>
      </c>
      <c r="W22" s="1220">
        <f>J22</f>
        <v>100</v>
      </c>
      <c r="X22" s="1214"/>
      <c r="Y22" s="3399"/>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99"/>
      <c r="Q23" s="625">
        <f>B23</f>
        <v>111</v>
      </c>
      <c r="R23" s="1219" t="s">
        <v>1393</v>
      </c>
      <c r="S23" s="1220">
        <f>F23</f>
        <v>100</v>
      </c>
      <c r="T23" s="1219" t="s">
        <v>1393</v>
      </c>
      <c r="U23" s="1220">
        <f>H23</f>
        <v>100</v>
      </c>
      <c r="V23" s="1219" t="s">
        <v>1393</v>
      </c>
      <c r="W23" s="1220">
        <f>J23</f>
        <v>100</v>
      </c>
      <c r="X23" s="1214"/>
      <c r="Y23" s="3399"/>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99"/>
      <c r="Q24" s="625">
        <f t="shared" ref="Q24:Q36" si="11">B24</f>
        <v>111</v>
      </c>
      <c r="R24" s="1219" t="s">
        <v>1393</v>
      </c>
      <c r="S24" s="1220">
        <f>F24</f>
        <v>100</v>
      </c>
      <c r="T24" s="1219" t="s">
        <v>1393</v>
      </c>
      <c r="U24" s="1220">
        <f>H24</f>
        <v>100</v>
      </c>
      <c r="V24" s="1219" t="s">
        <v>1393</v>
      </c>
      <c r="W24" s="1220">
        <f>J24</f>
        <v>100</v>
      </c>
      <c r="X24" s="1214"/>
      <c r="Y24" s="3399"/>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99"/>
      <c r="Q25" s="794">
        <f t="shared" si="11"/>
        <v>111</v>
      </c>
      <c r="R25" s="1215" t="s">
        <v>1393</v>
      </c>
      <c r="S25" s="1216">
        <f>F25</f>
        <v>100</v>
      </c>
      <c r="T25" s="1215" t="s">
        <v>1393</v>
      </c>
      <c r="U25" s="1216">
        <f>H25</f>
        <v>100</v>
      </c>
      <c r="V25" s="1215" t="s">
        <v>1393</v>
      </c>
      <c r="W25" s="1216">
        <f>J25</f>
        <v>100</v>
      </c>
      <c r="X25" s="1217"/>
      <c r="Y25" s="3399"/>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7"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400"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400"/>
      <c r="Q27" s="1415" t="str">
        <f t="shared" si="11"/>
        <v>项目停车位配比</v>
      </c>
      <c r="R27" s="1221" t="s">
        <v>1393</v>
      </c>
      <c r="S27" s="1222">
        <f t="shared" si="12"/>
        <v>100</v>
      </c>
      <c r="T27" s="1221" t="s">
        <v>1393</v>
      </c>
      <c r="U27" s="1222">
        <f t="shared" si="13"/>
        <v>100</v>
      </c>
      <c r="V27" s="1221" t="s">
        <v>1393</v>
      </c>
      <c r="W27" s="1222">
        <f t="shared" si="14"/>
        <v>100</v>
      </c>
      <c r="X27" s="1223"/>
      <c r="Y27" s="3400"/>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400"/>
      <c r="Q28" s="625" t="str">
        <f t="shared" si="11"/>
        <v>公共部分装修</v>
      </c>
      <c r="R28" s="1219" t="s">
        <v>1393</v>
      </c>
      <c r="S28" s="1220">
        <f t="shared" si="12"/>
        <v>100</v>
      </c>
      <c r="T28" s="1219" t="s">
        <v>1393</v>
      </c>
      <c r="U28" s="1220">
        <f t="shared" si="13"/>
        <v>100</v>
      </c>
      <c r="V28" s="1219" t="s">
        <v>1393</v>
      </c>
      <c r="W28" s="1220">
        <f t="shared" si="14"/>
        <v>100</v>
      </c>
      <c r="X28" s="1214"/>
      <c r="Y28" s="3400"/>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400"/>
      <c r="Q29" s="625" t="str">
        <f t="shared" si="11"/>
        <v>成新率</v>
      </c>
      <c r="R29" s="1219" t="s">
        <v>1393</v>
      </c>
      <c r="S29" s="1220" t="e">
        <f t="shared" si="12"/>
        <v>#N/A</v>
      </c>
      <c r="T29" s="1219" t="s">
        <v>1393</v>
      </c>
      <c r="U29" s="1220" t="e">
        <f t="shared" si="13"/>
        <v>#N/A</v>
      </c>
      <c r="V29" s="1219" t="s">
        <v>1393</v>
      </c>
      <c r="W29" s="1220" t="e">
        <f t="shared" si="14"/>
        <v>#N/A</v>
      </c>
      <c r="X29" s="1214"/>
      <c r="Y29" s="3400"/>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400"/>
      <c r="Q30" s="625" t="str">
        <f t="shared" si="11"/>
        <v>物业等级</v>
      </c>
      <c r="R30" s="1219" t="s">
        <v>1393</v>
      </c>
      <c r="S30" s="1220">
        <f t="shared" si="12"/>
        <v>100</v>
      </c>
      <c r="T30" s="1219" t="s">
        <v>1393</v>
      </c>
      <c r="U30" s="1220">
        <f t="shared" si="13"/>
        <v>100</v>
      </c>
      <c r="V30" s="1219" t="s">
        <v>1393</v>
      </c>
      <c r="W30" s="1220">
        <f t="shared" si="14"/>
        <v>100</v>
      </c>
      <c r="X30" s="1214"/>
      <c r="Y30" s="3400"/>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400"/>
      <c r="Q31" s="794" t="str">
        <f t="shared" si="11"/>
        <v>停车位面积</v>
      </c>
      <c r="R31" s="1215" t="s">
        <v>1393</v>
      </c>
      <c r="S31" s="1216" t="e">
        <f t="shared" si="12"/>
        <v>#N/A</v>
      </c>
      <c r="T31" s="1215" t="s">
        <v>1393</v>
      </c>
      <c r="U31" s="1216" t="e">
        <f t="shared" si="13"/>
        <v>#N/A</v>
      </c>
      <c r="V31" s="1215" t="s">
        <v>1393</v>
      </c>
      <c r="W31" s="1216" t="e">
        <f t="shared" si="14"/>
        <v>#N/A</v>
      </c>
      <c r="X31" s="1217"/>
      <c r="Y31" s="3400"/>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400" t="s">
        <v>1421</v>
      </c>
      <c r="Q32" s="625" t="str">
        <f t="shared" si="11"/>
        <v>车位类型</v>
      </c>
      <c r="R32" s="1219" t="s">
        <v>1393</v>
      </c>
      <c r="S32" s="1220">
        <f t="shared" si="12"/>
        <v>100</v>
      </c>
      <c r="T32" s="1219" t="s">
        <v>1393</v>
      </c>
      <c r="U32" s="1220">
        <f t="shared" si="13"/>
        <v>100</v>
      </c>
      <c r="V32" s="1219" t="s">
        <v>1393</v>
      </c>
      <c r="W32" s="1220">
        <f t="shared" si="14"/>
        <v>100</v>
      </c>
      <c r="X32" s="1214"/>
      <c r="Y32" s="3400"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400"/>
      <c r="Q33" s="625" t="str">
        <f t="shared" si="11"/>
        <v>是否直接入户</v>
      </c>
      <c r="R33" s="1219" t="s">
        <v>1393</v>
      </c>
      <c r="S33" s="1220">
        <f t="shared" si="12"/>
        <v>100</v>
      </c>
      <c r="T33" s="1219" t="s">
        <v>1393</v>
      </c>
      <c r="U33" s="1220">
        <f t="shared" si="13"/>
        <v>100</v>
      </c>
      <c r="V33" s="1219" t="s">
        <v>1393</v>
      </c>
      <c r="W33" s="1220">
        <f t="shared" si="14"/>
        <v>100</v>
      </c>
      <c r="X33" s="1214"/>
      <c r="Y33" s="3400"/>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400"/>
      <c r="Q34" s="625">
        <f t="shared" si="11"/>
        <v>111</v>
      </c>
      <c r="R34" s="1219" t="s">
        <v>1393</v>
      </c>
      <c r="S34" s="1220">
        <f t="shared" si="12"/>
        <v>100</v>
      </c>
      <c r="T34" s="1219" t="s">
        <v>1393</v>
      </c>
      <c r="U34" s="1220">
        <f t="shared" si="13"/>
        <v>100</v>
      </c>
      <c r="V34" s="1219" t="s">
        <v>1393</v>
      </c>
      <c r="W34" s="1220">
        <f t="shared" si="14"/>
        <v>100</v>
      </c>
      <c r="X34" s="1214"/>
      <c r="Y34" s="3400"/>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400"/>
      <c r="Q35" s="1415">
        <f t="shared" si="11"/>
        <v>111</v>
      </c>
      <c r="R35" s="1221" t="s">
        <v>1393</v>
      </c>
      <c r="S35" s="1222">
        <f t="shared" si="12"/>
        <v>100</v>
      </c>
      <c r="T35" s="1221" t="s">
        <v>1393</v>
      </c>
      <c r="U35" s="1222">
        <f t="shared" si="13"/>
        <v>100</v>
      </c>
      <c r="V35" s="1221" t="s">
        <v>1393</v>
      </c>
      <c r="W35" s="1222">
        <f t="shared" si="14"/>
        <v>100</v>
      </c>
      <c r="X35" s="1223"/>
      <c r="Y35" s="3400"/>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400"/>
      <c r="Q36" s="625">
        <f t="shared" si="11"/>
        <v>111</v>
      </c>
      <c r="R36" s="1219" t="s">
        <v>1393</v>
      </c>
      <c r="S36" s="1220">
        <f t="shared" si="12"/>
        <v>100</v>
      </c>
      <c r="T36" s="1219" t="s">
        <v>1393</v>
      </c>
      <c r="U36" s="1220">
        <f t="shared" si="13"/>
        <v>100</v>
      </c>
      <c r="V36" s="1219" t="s">
        <v>1393</v>
      </c>
      <c r="W36" s="1220">
        <f t="shared" si="14"/>
        <v>100</v>
      </c>
      <c r="X36" s="1214"/>
      <c r="Y36" s="3400"/>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86" t="str">
        <f>A37</f>
        <v>成交单价</v>
      </c>
      <c r="Q37" s="3386"/>
      <c r="R37" s="3384">
        <f>E37</f>
        <v>0</v>
      </c>
      <c r="S37" s="3384"/>
      <c r="T37" s="3384">
        <f>G37</f>
        <v>0</v>
      </c>
      <c r="U37" s="3384"/>
      <c r="V37" s="3384">
        <f>I37</f>
        <v>0</v>
      </c>
      <c r="W37" s="3384"/>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86" t="str">
        <f>A38</f>
        <v>比较价值（元/平方米）</v>
      </c>
      <c r="Q38" s="3386"/>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20" t="str">
        <f>A39</f>
        <v>估价对象XX用房的比较价值（楼面单价，元/平方米）</v>
      </c>
      <c r="Q39" s="3421"/>
      <c r="R39" s="3448" t="e">
        <f>IF(F1="售价",ROUND(IF(D38="简单平均",AVERAGE(R38:W38),R38*F38+T38*H38+V38*J38),0),ROUND(IF(D38="简单平均",AVERAGE(R38:V38),R38*F38+T38*H38+V38*J38),1))</f>
        <v>#DIV/0!</v>
      </c>
      <c r="S39" s="3448"/>
      <c r="T39" s="3448"/>
      <c r="U39" s="3448"/>
      <c r="V39" s="3448"/>
      <c r="W39" s="3448"/>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2025-11</v>
      </c>
      <c r="D48" s="1407">
        <f>EDATE(C48,-1)</f>
        <v>45931</v>
      </c>
      <c r="E48" s="1407">
        <f t="shared" ref="E48:O48" si="16">EDATE(D48,-1)</f>
        <v>45901</v>
      </c>
      <c r="F48" s="1407">
        <f t="shared" si="16"/>
        <v>45870</v>
      </c>
      <c r="G48" s="1407">
        <f t="shared" si="16"/>
        <v>45839</v>
      </c>
      <c r="H48" s="1407">
        <f t="shared" si="16"/>
        <v>45809</v>
      </c>
      <c r="I48" s="1407">
        <f t="shared" si="16"/>
        <v>45778</v>
      </c>
      <c r="J48" s="1407">
        <f t="shared" si="16"/>
        <v>45748</v>
      </c>
      <c r="K48" s="1407">
        <f t="shared" si="16"/>
        <v>45717</v>
      </c>
      <c r="L48" s="1407">
        <f t="shared" si="16"/>
        <v>45689</v>
      </c>
      <c r="M48" s="1407">
        <f t="shared" si="16"/>
        <v>45658</v>
      </c>
      <c r="N48" s="1407">
        <f t="shared" si="16"/>
        <v>45627</v>
      </c>
      <c r="O48" s="1407">
        <f t="shared" si="16"/>
        <v>45597</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7" t="s">
        <v>1379</v>
      </c>
      <c r="D4" s="3408"/>
      <c r="E4" s="3409" t="s">
        <v>1380</v>
      </c>
      <c r="F4" s="3410"/>
      <c r="G4" s="3407" t="s">
        <v>1381</v>
      </c>
      <c r="H4" s="3408"/>
      <c r="I4" s="3407" t="s">
        <v>1382</v>
      </c>
      <c r="J4" s="3408"/>
      <c r="K4" s="1171" t="s">
        <v>1383</v>
      </c>
      <c r="L4" s="1172"/>
      <c r="M4" s="1122"/>
      <c r="N4" s="1122"/>
      <c r="O4" s="1122"/>
      <c r="P4" s="3414" t="s">
        <v>1384</v>
      </c>
      <c r="Q4" s="3415"/>
      <c r="R4" s="3418" t="s">
        <v>1380</v>
      </c>
      <c r="S4" s="3419"/>
      <c r="T4" s="3418" t="s">
        <v>1381</v>
      </c>
      <c r="U4" s="3419"/>
      <c r="V4" s="3384" t="s">
        <v>1382</v>
      </c>
      <c r="W4" s="3384"/>
      <c r="X4" s="1214"/>
      <c r="Y4" s="3418" t="s">
        <v>1384</v>
      </c>
      <c r="Z4" s="3419"/>
      <c r="AA4" s="3413" t="s">
        <v>1380</v>
      </c>
      <c r="AB4" s="3366" t="s">
        <v>1381</v>
      </c>
      <c r="AC4" s="3413" t="s">
        <v>1382</v>
      </c>
    </row>
    <row r="5" spans="1:29" ht="15">
      <c r="A5" s="1029"/>
      <c r="B5" s="1030"/>
      <c r="C5" s="3423" t="s">
        <v>1385</v>
      </c>
      <c r="D5" s="3412"/>
      <c r="E5" s="3424" t="s">
        <v>1386</v>
      </c>
      <c r="F5" s="3425"/>
      <c r="G5" s="3423" t="s">
        <v>1387</v>
      </c>
      <c r="H5" s="3412"/>
      <c r="I5" s="3423" t="s">
        <v>1388</v>
      </c>
      <c r="J5" s="3412"/>
      <c r="K5" s="1171"/>
      <c r="L5" s="1172"/>
      <c r="M5" s="1122"/>
      <c r="N5" s="1122"/>
      <c r="O5" s="1122"/>
      <c r="P5" s="3416"/>
      <c r="Q5" s="3374"/>
      <c r="R5" s="3379"/>
      <c r="S5" s="3380"/>
      <c r="T5" s="3379"/>
      <c r="U5" s="3380"/>
      <c r="V5" s="3384"/>
      <c r="W5" s="3384"/>
      <c r="X5" s="1214"/>
      <c r="Y5" s="3379"/>
      <c r="Z5" s="3380"/>
      <c r="AA5" s="3366"/>
      <c r="AB5" s="3366"/>
      <c r="AC5" s="3366"/>
    </row>
    <row r="6" spans="1:29" ht="15">
      <c r="A6" s="1031"/>
      <c r="B6" s="1032"/>
      <c r="C6" s="3402" t="s">
        <v>1389</v>
      </c>
      <c r="D6" s="3403"/>
      <c r="E6" s="3404" t="s">
        <v>1389</v>
      </c>
      <c r="F6" s="3405"/>
      <c r="G6" s="3402" t="s">
        <v>1389</v>
      </c>
      <c r="H6" s="3403"/>
      <c r="I6" s="3402" t="s">
        <v>1389</v>
      </c>
      <c r="J6" s="3403"/>
      <c r="K6" s="1171" t="s">
        <v>1390</v>
      </c>
      <c r="L6" s="1172"/>
      <c r="M6" s="1122"/>
      <c r="N6" s="1122"/>
      <c r="O6" s="1122"/>
      <c r="P6" s="3417"/>
      <c r="Q6" s="3376"/>
      <c r="R6" s="3379"/>
      <c r="S6" s="3380"/>
      <c r="T6" s="3381"/>
      <c r="U6" s="3382"/>
      <c r="V6" s="3384"/>
      <c r="W6" s="3384"/>
      <c r="X6" s="1214"/>
      <c r="Y6" s="3381"/>
      <c r="Z6" s="3382"/>
      <c r="AA6" s="3367"/>
      <c r="AB6" s="3367"/>
      <c r="AC6" s="3367"/>
    </row>
    <row r="7" spans="1:29" s="1008" customFormat="1" ht="15">
      <c r="A7" s="1033" t="s">
        <v>1391</v>
      </c>
      <c r="B7" s="1034"/>
      <c r="C7" s="1035">
        <f>'数据-取费表'!B2</f>
        <v>45975</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90" t="s">
        <v>1392</v>
      </c>
      <c r="Q7" s="3406"/>
      <c r="R7" s="1215" t="s">
        <v>1393</v>
      </c>
      <c r="S7" s="1216">
        <f t="shared" ref="S7:S14" si="0">F7</f>
        <v>0</v>
      </c>
      <c r="T7" s="1215" t="s">
        <v>1393</v>
      </c>
      <c r="U7" s="1216">
        <f t="shared" ref="U7:U14" si="1">H7</f>
        <v>0</v>
      </c>
      <c r="V7" s="1215" t="s">
        <v>1393</v>
      </c>
      <c r="W7" s="1216">
        <f t="shared" ref="W7:W14" si="2">J7</f>
        <v>0</v>
      </c>
      <c r="X7" s="1217"/>
      <c r="Y7" s="3390" t="s">
        <v>1392</v>
      </c>
      <c r="Z7" s="3391"/>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90" t="s">
        <v>1397</v>
      </c>
      <c r="Q8" s="3391"/>
      <c r="R8" s="1215" t="s">
        <v>1393</v>
      </c>
      <c r="S8" s="1216">
        <f t="shared" si="0"/>
        <v>100</v>
      </c>
      <c r="T8" s="1215" t="s">
        <v>1393</v>
      </c>
      <c r="U8" s="1216">
        <f t="shared" si="1"/>
        <v>100</v>
      </c>
      <c r="V8" s="1215" t="s">
        <v>1393</v>
      </c>
      <c r="W8" s="1216">
        <f t="shared" si="2"/>
        <v>100</v>
      </c>
      <c r="X8" s="1217"/>
      <c r="Y8" s="3390" t="s">
        <v>1397</v>
      </c>
      <c r="Z8" s="3391"/>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86" t="s">
        <v>1400</v>
      </c>
      <c r="Q9" s="794" t="str">
        <f t="shared" ref="Q9:Q14" si="6">B9</f>
        <v>用途</v>
      </c>
      <c r="R9" s="1215" t="s">
        <v>1393</v>
      </c>
      <c r="S9" s="1216">
        <f t="shared" si="0"/>
        <v>100</v>
      </c>
      <c r="T9" s="1215" t="s">
        <v>1393</v>
      </c>
      <c r="U9" s="1216">
        <f t="shared" si="1"/>
        <v>100</v>
      </c>
      <c r="V9" s="1215" t="s">
        <v>1393</v>
      </c>
      <c r="W9" s="1216">
        <f t="shared" si="2"/>
        <v>100</v>
      </c>
      <c r="X9" s="1217"/>
      <c r="Y9" s="3272"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86"/>
      <c r="Q10" s="794" t="str">
        <f t="shared" si="6"/>
        <v>土地使用年限（年）</v>
      </c>
      <c r="R10" s="1215" t="s">
        <v>1393</v>
      </c>
      <c r="S10" s="1216">
        <f t="shared" si="0"/>
        <v>100</v>
      </c>
      <c r="T10" s="1215" t="s">
        <v>1393</v>
      </c>
      <c r="U10" s="1216">
        <f t="shared" si="1"/>
        <v>100</v>
      </c>
      <c r="V10" s="1215" t="s">
        <v>1393</v>
      </c>
      <c r="W10" s="1216">
        <f t="shared" si="2"/>
        <v>100</v>
      </c>
      <c r="X10" s="1217"/>
      <c r="Y10" s="3272"/>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86"/>
      <c r="Q11" s="794">
        <f t="shared" si="6"/>
        <v>111</v>
      </c>
      <c r="R11" s="1215" t="s">
        <v>1393</v>
      </c>
      <c r="S11" s="1216">
        <f t="shared" si="0"/>
        <v>100</v>
      </c>
      <c r="T11" s="1215" t="s">
        <v>1393</v>
      </c>
      <c r="U11" s="1216">
        <f t="shared" si="1"/>
        <v>100</v>
      </c>
      <c r="V11" s="1215" t="s">
        <v>1393</v>
      </c>
      <c r="W11" s="1216">
        <f t="shared" si="2"/>
        <v>100</v>
      </c>
      <c r="X11" s="1217"/>
      <c r="Y11" s="3272"/>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86"/>
      <c r="Q12" s="794">
        <f t="shared" si="6"/>
        <v>111</v>
      </c>
      <c r="R12" s="1215" t="s">
        <v>1393</v>
      </c>
      <c r="S12" s="1216">
        <f t="shared" si="0"/>
        <v>100</v>
      </c>
      <c r="T12" s="1215" t="s">
        <v>1393</v>
      </c>
      <c r="U12" s="1216">
        <f t="shared" si="1"/>
        <v>100</v>
      </c>
      <c r="V12" s="1215" t="s">
        <v>1393</v>
      </c>
      <c r="W12" s="1216">
        <f t="shared" si="2"/>
        <v>100</v>
      </c>
      <c r="X12" s="1217"/>
      <c r="Y12" s="3272"/>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86"/>
      <c r="Q13" s="794">
        <f t="shared" si="6"/>
        <v>111</v>
      </c>
      <c r="R13" s="1215" t="s">
        <v>1393</v>
      </c>
      <c r="S13" s="1216">
        <f t="shared" si="0"/>
        <v>100</v>
      </c>
      <c r="T13" s="1215" t="s">
        <v>1393</v>
      </c>
      <c r="U13" s="1216">
        <f t="shared" si="1"/>
        <v>100</v>
      </c>
      <c r="V13" s="1215" t="s">
        <v>1393</v>
      </c>
      <c r="W13" s="1216">
        <f t="shared" si="2"/>
        <v>100</v>
      </c>
      <c r="X13" s="1217"/>
      <c r="Y13" s="3272"/>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98" t="s">
        <v>1406</v>
      </c>
      <c r="Q14" s="625" t="str">
        <f t="shared" si="6"/>
        <v>交通便捷度</v>
      </c>
      <c r="R14" s="1219" t="s">
        <v>1393</v>
      </c>
      <c r="S14" s="1220">
        <f t="shared" si="0"/>
        <v>100</v>
      </c>
      <c r="T14" s="1219" t="s">
        <v>1393</v>
      </c>
      <c r="U14" s="1220">
        <f t="shared" si="1"/>
        <v>100</v>
      </c>
      <c r="V14" s="1219" t="s">
        <v>1393</v>
      </c>
      <c r="W14" s="1220">
        <f t="shared" si="2"/>
        <v>100</v>
      </c>
      <c r="X14" s="1214"/>
      <c r="Y14" s="3398"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99"/>
      <c r="Q15" s="625"/>
      <c r="R15" s="1219"/>
      <c r="S15" s="1220"/>
      <c r="T15" s="1219"/>
      <c r="U15" s="1220"/>
      <c r="V15" s="1219"/>
      <c r="W15" s="1220"/>
      <c r="X15" s="1214"/>
      <c r="Y15" s="3399"/>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99"/>
      <c r="Q16" s="625" t="str">
        <f>B16</f>
        <v>公共配套设施</v>
      </c>
      <c r="R16" s="1219" t="s">
        <v>1393</v>
      </c>
      <c r="S16" s="1220">
        <f>F16</f>
        <v>100</v>
      </c>
      <c r="T16" s="1219" t="s">
        <v>1393</v>
      </c>
      <c r="U16" s="1220">
        <f>H16</f>
        <v>100</v>
      </c>
      <c r="V16" s="1219" t="s">
        <v>1393</v>
      </c>
      <c r="W16" s="1220">
        <f>J16</f>
        <v>100</v>
      </c>
      <c r="X16" s="1214"/>
      <c r="Y16" s="3399"/>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99"/>
      <c r="Q17" s="625"/>
      <c r="R17" s="1219"/>
      <c r="S17" s="1220"/>
      <c r="T17" s="1219"/>
      <c r="U17" s="1220"/>
      <c r="V17" s="1219"/>
      <c r="W17" s="1220"/>
      <c r="X17" s="1214"/>
      <c r="Y17" s="3399"/>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99"/>
      <c r="Q18" s="625" t="str">
        <f>B18</f>
        <v>基础设施水平</v>
      </c>
      <c r="R18" s="1219" t="s">
        <v>1393</v>
      </c>
      <c r="S18" s="1220">
        <f>F18</f>
        <v>100</v>
      </c>
      <c r="T18" s="1219" t="s">
        <v>1393</v>
      </c>
      <c r="U18" s="1220">
        <f>H18</f>
        <v>100</v>
      </c>
      <c r="V18" s="1219" t="s">
        <v>1393</v>
      </c>
      <c r="W18" s="1220">
        <f>J18</f>
        <v>100</v>
      </c>
      <c r="X18" s="1214"/>
      <c r="Y18" s="3399"/>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99"/>
      <c r="Q19" s="625"/>
      <c r="R19" s="1219"/>
      <c r="S19" s="1220"/>
      <c r="T19" s="1219"/>
      <c r="U19" s="1220"/>
      <c r="V19" s="1219"/>
      <c r="W19" s="1220"/>
      <c r="X19" s="1214"/>
      <c r="Y19" s="3399"/>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99"/>
      <c r="Q20" s="625" t="str">
        <f>B20</f>
        <v>自然及人文环境</v>
      </c>
      <c r="R20" s="1219" t="s">
        <v>1393</v>
      </c>
      <c r="S20" s="1220">
        <f>F20</f>
        <v>100</v>
      </c>
      <c r="T20" s="1219" t="s">
        <v>1393</v>
      </c>
      <c r="U20" s="1220">
        <f>H20</f>
        <v>100</v>
      </c>
      <c r="V20" s="1219" t="s">
        <v>1393</v>
      </c>
      <c r="W20" s="1220">
        <f>J20</f>
        <v>100</v>
      </c>
      <c r="X20" s="1214"/>
      <c r="Y20" s="3399"/>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99"/>
      <c r="Q21" s="625"/>
      <c r="R21" s="1219"/>
      <c r="S21" s="1220"/>
      <c r="T21" s="1219"/>
      <c r="U21" s="1220"/>
      <c r="V21" s="1219"/>
      <c r="W21" s="1220"/>
      <c r="X21" s="1214"/>
      <c r="Y21" s="3399"/>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99"/>
      <c r="Q22" s="625" t="str">
        <f>B22</f>
        <v>楼层</v>
      </c>
      <c r="R22" s="1219" t="s">
        <v>1393</v>
      </c>
      <c r="S22" s="1220">
        <f>F22</f>
        <v>100</v>
      </c>
      <c r="T22" s="1219" t="s">
        <v>1393</v>
      </c>
      <c r="U22" s="1220">
        <f>H22</f>
        <v>100</v>
      </c>
      <c r="V22" s="1219" t="s">
        <v>1393</v>
      </c>
      <c r="W22" s="1220">
        <f>J22</f>
        <v>100</v>
      </c>
      <c r="X22" s="1214"/>
      <c r="Y22" s="3399"/>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99"/>
      <c r="Q23" s="625">
        <f>B23</f>
        <v>111</v>
      </c>
      <c r="R23" s="1219" t="s">
        <v>1393</v>
      </c>
      <c r="S23" s="1220">
        <f>F23</f>
        <v>100</v>
      </c>
      <c r="T23" s="1219" t="s">
        <v>1393</v>
      </c>
      <c r="U23" s="1220">
        <f>H23</f>
        <v>100</v>
      </c>
      <c r="V23" s="1219" t="s">
        <v>1393</v>
      </c>
      <c r="W23" s="1220">
        <f>J23</f>
        <v>100</v>
      </c>
      <c r="X23" s="1214"/>
      <c r="Y23" s="3399"/>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99"/>
      <c r="Q24" s="625">
        <f t="shared" ref="Q24:Q34" si="11">B24</f>
        <v>111</v>
      </c>
      <c r="R24" s="1219" t="s">
        <v>1393</v>
      </c>
      <c r="S24" s="1220">
        <f>F24</f>
        <v>100</v>
      </c>
      <c r="T24" s="1219" t="s">
        <v>1393</v>
      </c>
      <c r="U24" s="1220">
        <f>H24</f>
        <v>100</v>
      </c>
      <c r="V24" s="1219" t="s">
        <v>1393</v>
      </c>
      <c r="W24" s="1220">
        <f>J24</f>
        <v>100</v>
      </c>
      <c r="X24" s="1214"/>
      <c r="Y24" s="3399"/>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99"/>
      <c r="Q25" s="794">
        <f t="shared" si="11"/>
        <v>111</v>
      </c>
      <c r="R25" s="1215" t="s">
        <v>1393</v>
      </c>
      <c r="S25" s="1216">
        <f>F25</f>
        <v>100</v>
      </c>
      <c r="T25" s="1215" t="s">
        <v>1393</v>
      </c>
      <c r="U25" s="1216">
        <f>H25</f>
        <v>100</v>
      </c>
      <c r="V25" s="1215" t="s">
        <v>1393</v>
      </c>
      <c r="W25" s="1216">
        <f>J25</f>
        <v>100</v>
      </c>
      <c r="X25" s="1217"/>
      <c r="Y25" s="3399"/>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7"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400"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400"/>
      <c r="Q27" s="1415" t="str">
        <f t="shared" si="11"/>
        <v>成新率</v>
      </c>
      <c r="R27" s="1221" t="s">
        <v>1393</v>
      </c>
      <c r="S27" s="1222" t="e">
        <f t="shared" si="12"/>
        <v>#N/A</v>
      </c>
      <c r="T27" s="1221" t="s">
        <v>1393</v>
      </c>
      <c r="U27" s="1222" t="e">
        <f t="shared" si="13"/>
        <v>#N/A</v>
      </c>
      <c r="V27" s="1221" t="s">
        <v>1393</v>
      </c>
      <c r="W27" s="1222" t="e">
        <f t="shared" si="14"/>
        <v>#N/A</v>
      </c>
      <c r="X27" s="1223"/>
      <c r="Y27" s="3400"/>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400"/>
      <c r="Q28" s="625" t="str">
        <f t="shared" si="11"/>
        <v>物业等级</v>
      </c>
      <c r="R28" s="1219" t="s">
        <v>1393</v>
      </c>
      <c r="S28" s="1220">
        <f t="shared" si="12"/>
        <v>100</v>
      </c>
      <c r="T28" s="1219" t="s">
        <v>1393</v>
      </c>
      <c r="U28" s="1220">
        <f t="shared" si="13"/>
        <v>100</v>
      </c>
      <c r="V28" s="1219" t="s">
        <v>1393</v>
      </c>
      <c r="W28" s="1220">
        <f t="shared" si="14"/>
        <v>100</v>
      </c>
      <c r="X28" s="1214"/>
      <c r="Y28" s="3400"/>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400"/>
      <c r="Q29" s="625" t="str">
        <f t="shared" si="11"/>
        <v>有无电梯</v>
      </c>
      <c r="R29" s="1219" t="s">
        <v>1393</v>
      </c>
      <c r="S29" s="1220">
        <f t="shared" si="12"/>
        <v>100</v>
      </c>
      <c r="T29" s="1219" t="s">
        <v>1393</v>
      </c>
      <c r="U29" s="1220">
        <f t="shared" si="13"/>
        <v>100</v>
      </c>
      <c r="V29" s="1219" t="s">
        <v>1393</v>
      </c>
      <c r="W29" s="1220">
        <f t="shared" si="14"/>
        <v>100</v>
      </c>
      <c r="X29" s="1214"/>
      <c r="Y29" s="3400"/>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400"/>
      <c r="Q30" s="625" t="str">
        <f t="shared" si="11"/>
        <v>建筑面积</v>
      </c>
      <c r="R30" s="1219" t="s">
        <v>1393</v>
      </c>
      <c r="S30" s="1220" t="e">
        <f t="shared" si="12"/>
        <v>#N/A</v>
      </c>
      <c r="T30" s="1219" t="s">
        <v>1393</v>
      </c>
      <c r="U30" s="1220" t="e">
        <f t="shared" si="13"/>
        <v>#N/A</v>
      </c>
      <c r="V30" s="1219" t="s">
        <v>1393</v>
      </c>
      <c r="W30" s="1220" t="e">
        <f t="shared" si="14"/>
        <v>#N/A</v>
      </c>
      <c r="X30" s="1214"/>
      <c r="Y30" s="3400"/>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400"/>
      <c r="Q31" s="794" t="str">
        <f t="shared" si="11"/>
        <v>是否封闭</v>
      </c>
      <c r="R31" s="1215" t="s">
        <v>1393</v>
      </c>
      <c r="S31" s="1216">
        <f t="shared" si="12"/>
        <v>100</v>
      </c>
      <c r="T31" s="1215" t="s">
        <v>1393</v>
      </c>
      <c r="U31" s="1216">
        <f t="shared" si="13"/>
        <v>100</v>
      </c>
      <c r="V31" s="1215" t="s">
        <v>1393</v>
      </c>
      <c r="W31" s="1216">
        <f t="shared" si="14"/>
        <v>100</v>
      </c>
      <c r="X31" s="1217"/>
      <c r="Y31" s="3400"/>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400" t="s">
        <v>1421</v>
      </c>
      <c r="Q32" s="625">
        <f t="shared" si="11"/>
        <v>111</v>
      </c>
      <c r="R32" s="1219" t="s">
        <v>1393</v>
      </c>
      <c r="S32" s="1220">
        <f t="shared" si="12"/>
        <v>100</v>
      </c>
      <c r="T32" s="1219" t="s">
        <v>1393</v>
      </c>
      <c r="U32" s="1220">
        <f t="shared" si="13"/>
        <v>100</v>
      </c>
      <c r="V32" s="1219" t="s">
        <v>1393</v>
      </c>
      <c r="W32" s="1220">
        <f t="shared" si="14"/>
        <v>100</v>
      </c>
      <c r="X32" s="1214"/>
      <c r="Y32" s="3400"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400"/>
      <c r="Q33" s="625">
        <f t="shared" si="11"/>
        <v>111</v>
      </c>
      <c r="R33" s="1219" t="s">
        <v>1393</v>
      </c>
      <c r="S33" s="1220">
        <f t="shared" si="12"/>
        <v>100</v>
      </c>
      <c r="T33" s="1219" t="s">
        <v>1393</v>
      </c>
      <c r="U33" s="1220">
        <f t="shared" si="13"/>
        <v>100</v>
      </c>
      <c r="V33" s="1219" t="s">
        <v>1393</v>
      </c>
      <c r="W33" s="1220">
        <f t="shared" si="14"/>
        <v>100</v>
      </c>
      <c r="X33" s="1214"/>
      <c r="Y33" s="3400"/>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400"/>
      <c r="Q34" s="625">
        <f t="shared" si="11"/>
        <v>111</v>
      </c>
      <c r="R34" s="1219" t="s">
        <v>1393</v>
      </c>
      <c r="S34" s="1220">
        <f t="shared" si="12"/>
        <v>100</v>
      </c>
      <c r="T34" s="1219" t="s">
        <v>1393</v>
      </c>
      <c r="U34" s="1220">
        <f t="shared" si="13"/>
        <v>100</v>
      </c>
      <c r="V34" s="1219" t="s">
        <v>1393</v>
      </c>
      <c r="W34" s="1220">
        <f t="shared" si="14"/>
        <v>100</v>
      </c>
      <c r="X34" s="1214"/>
      <c r="Y34" s="3400"/>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86" t="str">
        <f>A35</f>
        <v>成交单价（元/平方米）</v>
      </c>
      <c r="Q35" s="3386"/>
      <c r="R35" s="3384">
        <f>E35</f>
        <v>0</v>
      </c>
      <c r="S35" s="3384"/>
      <c r="T35" s="3384">
        <f>G35</f>
        <v>0</v>
      </c>
      <c r="U35" s="3384"/>
      <c r="V35" s="3384">
        <f>I35</f>
        <v>0</v>
      </c>
      <c r="W35" s="3384"/>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86" t="str">
        <f>A36</f>
        <v>比较价值（元/平方米）</v>
      </c>
      <c r="Q36" s="3386"/>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20" t="str">
        <f>A37</f>
        <v>估价对象XX用房的比较价值（楼面单价，元/平方米）</v>
      </c>
      <c r="Q37" s="3421"/>
      <c r="R37" s="3448" t="e">
        <f>IF(F1="售价",ROUND(IF(D36="简单平均",AVERAGE(R36:W36),R36*F36+T36*H36+V36*J36),0),ROUND(IF(D36="简单平均",AVERAGE(R36:V36),R36*F36+T36*H36+V36*J36),1))</f>
        <v>#DIV/0!</v>
      </c>
      <c r="S37" s="3448"/>
      <c r="T37" s="3448"/>
      <c r="U37" s="3448"/>
      <c r="V37" s="3448"/>
      <c r="W37" s="3448"/>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2025-11</v>
      </c>
      <c r="D46" s="1407">
        <f>EDATE(C46,-1)</f>
        <v>45931</v>
      </c>
      <c r="E46" s="1407">
        <f t="shared" ref="E46:O46" si="16">EDATE(D46,-1)</f>
        <v>45901</v>
      </c>
      <c r="F46" s="1407">
        <f t="shared" si="16"/>
        <v>45870</v>
      </c>
      <c r="G46" s="1407">
        <f t="shared" si="16"/>
        <v>45839</v>
      </c>
      <c r="H46" s="1407">
        <f t="shared" si="16"/>
        <v>45809</v>
      </c>
      <c r="I46" s="1407">
        <f t="shared" si="16"/>
        <v>45778</v>
      </c>
      <c r="J46" s="1407">
        <f t="shared" si="16"/>
        <v>45748</v>
      </c>
      <c r="K46" s="1407">
        <f t="shared" si="16"/>
        <v>45717</v>
      </c>
      <c r="L46" s="1407">
        <f t="shared" si="16"/>
        <v>45689</v>
      </c>
      <c r="M46" s="1407">
        <f t="shared" si="16"/>
        <v>45658</v>
      </c>
      <c r="N46" s="1407">
        <f t="shared" si="16"/>
        <v>45627</v>
      </c>
      <c r="O46" s="1407">
        <f t="shared" si="16"/>
        <v>45597</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7" t="s">
        <v>1379</v>
      </c>
      <c r="D4" s="3408"/>
      <c r="E4" s="3409" t="s">
        <v>1380</v>
      </c>
      <c r="F4" s="3410"/>
      <c r="G4" s="3407" t="s">
        <v>1381</v>
      </c>
      <c r="H4" s="3408"/>
      <c r="I4" s="3407" t="s">
        <v>1382</v>
      </c>
      <c r="J4" s="3408"/>
      <c r="K4" s="1171" t="s">
        <v>1383</v>
      </c>
      <c r="L4" s="1172"/>
      <c r="M4" s="1122"/>
      <c r="N4" s="1122"/>
      <c r="O4" s="1122"/>
      <c r="P4" s="3414" t="s">
        <v>1384</v>
      </c>
      <c r="Q4" s="3415"/>
      <c r="R4" s="3418" t="s">
        <v>1380</v>
      </c>
      <c r="S4" s="3419"/>
      <c r="T4" s="3418" t="s">
        <v>1381</v>
      </c>
      <c r="U4" s="3419"/>
      <c r="V4" s="3384" t="s">
        <v>1382</v>
      </c>
      <c r="W4" s="3384"/>
      <c r="X4" s="1214"/>
      <c r="Y4" s="3418" t="s">
        <v>1384</v>
      </c>
      <c r="Z4" s="3419"/>
      <c r="AA4" s="3413" t="s">
        <v>1380</v>
      </c>
      <c r="AB4" s="3366" t="s">
        <v>1381</v>
      </c>
      <c r="AC4" s="3413" t="s">
        <v>1382</v>
      </c>
    </row>
    <row r="5" spans="1:29" ht="15">
      <c r="A5" s="1029"/>
      <c r="B5" s="1030"/>
      <c r="C5" s="3423" t="s">
        <v>1385</v>
      </c>
      <c r="D5" s="3412"/>
      <c r="E5" s="3424" t="s">
        <v>1386</v>
      </c>
      <c r="F5" s="3425"/>
      <c r="G5" s="3423" t="s">
        <v>1387</v>
      </c>
      <c r="H5" s="3412"/>
      <c r="I5" s="3423" t="s">
        <v>1388</v>
      </c>
      <c r="J5" s="3412"/>
      <c r="K5" s="1171"/>
      <c r="L5" s="1172"/>
      <c r="M5" s="1122"/>
      <c r="N5" s="1122"/>
      <c r="O5" s="1122"/>
      <c r="P5" s="3416"/>
      <c r="Q5" s="3374"/>
      <c r="R5" s="3379"/>
      <c r="S5" s="3380"/>
      <c r="T5" s="3379"/>
      <c r="U5" s="3380"/>
      <c r="V5" s="3384"/>
      <c r="W5" s="3384"/>
      <c r="X5" s="1214"/>
      <c r="Y5" s="3379"/>
      <c r="Z5" s="3380"/>
      <c r="AA5" s="3366"/>
      <c r="AB5" s="3366"/>
      <c r="AC5" s="3366"/>
    </row>
    <row r="6" spans="1:29" ht="15">
      <c r="A6" s="1031"/>
      <c r="B6" s="1032"/>
      <c r="C6" s="3402" t="s">
        <v>1389</v>
      </c>
      <c r="D6" s="3403"/>
      <c r="E6" s="3404" t="s">
        <v>1389</v>
      </c>
      <c r="F6" s="3405"/>
      <c r="G6" s="3402" t="s">
        <v>1389</v>
      </c>
      <c r="H6" s="3403"/>
      <c r="I6" s="3402" t="s">
        <v>1389</v>
      </c>
      <c r="J6" s="3403"/>
      <c r="K6" s="1171" t="s">
        <v>1390</v>
      </c>
      <c r="L6" s="1172"/>
      <c r="M6" s="1122"/>
      <c r="N6" s="1122"/>
      <c r="O6" s="1122"/>
      <c r="P6" s="3417"/>
      <c r="Q6" s="3376"/>
      <c r="R6" s="3379"/>
      <c r="S6" s="3380"/>
      <c r="T6" s="3381"/>
      <c r="U6" s="3382"/>
      <c r="V6" s="3384"/>
      <c r="W6" s="3384"/>
      <c r="X6" s="1214"/>
      <c r="Y6" s="3381"/>
      <c r="Z6" s="3382"/>
      <c r="AA6" s="3367"/>
      <c r="AB6" s="3367"/>
      <c r="AC6" s="3367"/>
    </row>
    <row r="7" spans="1:29" s="1008" customFormat="1" ht="15">
      <c r="A7" s="1033" t="s">
        <v>1391</v>
      </c>
      <c r="B7" s="1034"/>
      <c r="C7" s="1035">
        <f>'数据-取费表'!B2</f>
        <v>45975</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90" t="s">
        <v>1392</v>
      </c>
      <c r="Q7" s="3406"/>
      <c r="R7" s="1215" t="s">
        <v>1393</v>
      </c>
      <c r="S7" s="1216">
        <f t="shared" ref="S7:S15" si="0">F7</f>
        <v>0</v>
      </c>
      <c r="T7" s="1215" t="s">
        <v>1393</v>
      </c>
      <c r="U7" s="1216">
        <f t="shared" ref="U7:U15" si="1">H7</f>
        <v>0</v>
      </c>
      <c r="V7" s="1215" t="s">
        <v>1393</v>
      </c>
      <c r="W7" s="1216">
        <f t="shared" ref="W7:W15" si="2">J7</f>
        <v>0</v>
      </c>
      <c r="X7" s="1217"/>
      <c r="Y7" s="3390" t="s">
        <v>1392</v>
      </c>
      <c r="Z7" s="3391"/>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90" t="s">
        <v>1397</v>
      </c>
      <c r="Q8" s="3391"/>
      <c r="R8" s="1215" t="s">
        <v>1393</v>
      </c>
      <c r="S8" s="1216">
        <f t="shared" si="0"/>
        <v>0</v>
      </c>
      <c r="T8" s="1215" t="s">
        <v>1393</v>
      </c>
      <c r="U8" s="1216">
        <f t="shared" si="1"/>
        <v>0</v>
      </c>
      <c r="V8" s="1215" t="s">
        <v>1393</v>
      </c>
      <c r="W8" s="1216">
        <f t="shared" si="2"/>
        <v>0</v>
      </c>
      <c r="X8" s="1217"/>
      <c r="Y8" s="3390" t="s">
        <v>1397</v>
      </c>
      <c r="Z8" s="3391"/>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86" t="s">
        <v>1400</v>
      </c>
      <c r="Q9" s="794" t="str">
        <f t="shared" ref="Q9:Q15" si="6">B9</f>
        <v>用途</v>
      </c>
      <c r="R9" s="1215" t="s">
        <v>1393</v>
      </c>
      <c r="S9" s="1216">
        <f t="shared" si="0"/>
        <v>100</v>
      </c>
      <c r="T9" s="1215" t="s">
        <v>1393</v>
      </c>
      <c r="U9" s="1216">
        <f t="shared" si="1"/>
        <v>100</v>
      </c>
      <c r="V9" s="1215" t="s">
        <v>1393</v>
      </c>
      <c r="W9" s="1216">
        <f t="shared" si="2"/>
        <v>100</v>
      </c>
      <c r="X9" s="1217"/>
      <c r="Y9" s="3272"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109</v>
      </c>
      <c r="G10" s="1334"/>
      <c r="H10" s="1048">
        <f>ROUND(100/'数据-取费表'!G16,0)</f>
        <v>109</v>
      </c>
      <c r="I10" s="1334"/>
      <c r="J10" s="1048">
        <f>ROUND(100/'数据-取费表'!G16,0)</f>
        <v>109</v>
      </c>
      <c r="K10" s="1177"/>
      <c r="L10" s="1178"/>
      <c r="M10" s="1179"/>
      <c r="N10" s="1179"/>
      <c r="O10" s="1180"/>
      <c r="P10" s="3386"/>
      <c r="Q10" s="794" t="str">
        <f t="shared" si="6"/>
        <v>土地使用年限（年）</v>
      </c>
      <c r="R10" s="1215" t="s">
        <v>1393</v>
      </c>
      <c r="S10" s="1216">
        <f t="shared" si="0"/>
        <v>109</v>
      </c>
      <c r="T10" s="1215" t="s">
        <v>1393</v>
      </c>
      <c r="U10" s="1216">
        <f t="shared" si="1"/>
        <v>109</v>
      </c>
      <c r="V10" s="1215" t="s">
        <v>1393</v>
      </c>
      <c r="W10" s="1216">
        <f t="shared" si="2"/>
        <v>109</v>
      </c>
      <c r="X10" s="1217"/>
      <c r="Y10" s="3272"/>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86"/>
      <c r="Q11" s="794" t="str">
        <f t="shared" si="6"/>
        <v>容积率</v>
      </c>
      <c r="R11" s="1215" t="s">
        <v>1393</v>
      </c>
      <c r="S11" s="1216" t="e">
        <f t="shared" si="0"/>
        <v>#N/A</v>
      </c>
      <c r="T11" s="1215" t="s">
        <v>1393</v>
      </c>
      <c r="U11" s="1216" t="e">
        <f t="shared" si="1"/>
        <v>#N/A</v>
      </c>
      <c r="V11" s="1215" t="s">
        <v>1393</v>
      </c>
      <c r="W11" s="1216" t="e">
        <f t="shared" si="2"/>
        <v>#N/A</v>
      </c>
      <c r="X11" s="1217"/>
      <c r="Y11" s="3272"/>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86"/>
      <c r="Q12" s="794" t="str">
        <f t="shared" si="6"/>
        <v>配建</v>
      </c>
      <c r="R12" s="1215" t="s">
        <v>1393</v>
      </c>
      <c r="S12" s="1216">
        <f t="shared" si="0"/>
        <v>100</v>
      </c>
      <c r="T12" s="1215" t="s">
        <v>1393</v>
      </c>
      <c r="U12" s="1216">
        <f t="shared" si="1"/>
        <v>100</v>
      </c>
      <c r="V12" s="1215" t="s">
        <v>1393</v>
      </c>
      <c r="W12" s="1216">
        <f t="shared" si="2"/>
        <v>100</v>
      </c>
      <c r="X12" s="1217"/>
      <c r="Y12" s="3272"/>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86"/>
      <c r="Q13" s="794">
        <f t="shared" si="6"/>
        <v>111</v>
      </c>
      <c r="R13" s="1215" t="s">
        <v>1393</v>
      </c>
      <c r="S13" s="1216">
        <f t="shared" si="0"/>
        <v>100</v>
      </c>
      <c r="T13" s="1215" t="s">
        <v>1393</v>
      </c>
      <c r="U13" s="1216">
        <f t="shared" si="1"/>
        <v>100</v>
      </c>
      <c r="V13" s="1215" t="s">
        <v>1393</v>
      </c>
      <c r="W13" s="1216">
        <f t="shared" si="2"/>
        <v>100</v>
      </c>
      <c r="X13" s="1217"/>
      <c r="Y13" s="3272"/>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86"/>
      <c r="Q14" s="794">
        <f t="shared" si="6"/>
        <v>111</v>
      </c>
      <c r="R14" s="1215" t="s">
        <v>1393</v>
      </c>
      <c r="S14" s="1216">
        <f t="shared" si="0"/>
        <v>100</v>
      </c>
      <c r="T14" s="1215" t="s">
        <v>1393</v>
      </c>
      <c r="U14" s="1216">
        <f t="shared" si="1"/>
        <v>100</v>
      </c>
      <c r="V14" s="1215" t="s">
        <v>1393</v>
      </c>
      <c r="W14" s="1216">
        <f t="shared" si="2"/>
        <v>100</v>
      </c>
      <c r="X14" s="1217"/>
      <c r="Y14" s="3272"/>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98" t="s">
        <v>1406</v>
      </c>
      <c r="Q15" s="625" t="str">
        <f t="shared" si="6"/>
        <v>居住社区成熟度</v>
      </c>
      <c r="R15" s="1219" t="s">
        <v>1393</v>
      </c>
      <c r="S15" s="1220">
        <f t="shared" si="0"/>
        <v>100</v>
      </c>
      <c r="T15" s="1219" t="s">
        <v>1393</v>
      </c>
      <c r="U15" s="1220">
        <f t="shared" si="1"/>
        <v>100</v>
      </c>
      <c r="V15" s="1219" t="s">
        <v>1393</v>
      </c>
      <c r="W15" s="1220">
        <f t="shared" si="2"/>
        <v>100</v>
      </c>
      <c r="X15" s="1214"/>
      <c r="Y15" s="3398"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99"/>
      <c r="Q16" s="625"/>
      <c r="R16" s="1219"/>
      <c r="S16" s="1220"/>
      <c r="T16" s="1219"/>
      <c r="U16" s="1220"/>
      <c r="V16" s="1219"/>
      <c r="W16" s="1220"/>
      <c r="X16" s="1214"/>
      <c r="Y16" s="3399"/>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99"/>
      <c r="Q17" s="625" t="str">
        <f>B17</f>
        <v>商业繁华度</v>
      </c>
      <c r="R17" s="1219" t="s">
        <v>1393</v>
      </c>
      <c r="S17" s="1220">
        <f>F17</f>
        <v>100</v>
      </c>
      <c r="T17" s="1219" t="s">
        <v>1393</v>
      </c>
      <c r="U17" s="1220">
        <f>H17</f>
        <v>100</v>
      </c>
      <c r="V17" s="1219" t="s">
        <v>1393</v>
      </c>
      <c r="W17" s="1220">
        <f>J17</f>
        <v>100</v>
      </c>
      <c r="X17" s="1214"/>
      <c r="Y17" s="3399"/>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99"/>
      <c r="Q18" s="625"/>
      <c r="R18" s="1219"/>
      <c r="S18" s="1220"/>
      <c r="T18" s="1219"/>
      <c r="U18" s="1220"/>
      <c r="V18" s="1219"/>
      <c r="W18" s="1220"/>
      <c r="X18" s="1214"/>
      <c r="Y18" s="3399"/>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99"/>
      <c r="Q19" s="625" t="str">
        <f>B19</f>
        <v>办公集聚程度</v>
      </c>
      <c r="R19" s="1219" t="s">
        <v>1393</v>
      </c>
      <c r="S19" s="1220">
        <f>F19</f>
        <v>100</v>
      </c>
      <c r="T19" s="1219" t="s">
        <v>1393</v>
      </c>
      <c r="U19" s="1220">
        <f>H19</f>
        <v>100</v>
      </c>
      <c r="V19" s="1219" t="s">
        <v>1393</v>
      </c>
      <c r="W19" s="1220">
        <f>J19</f>
        <v>100</v>
      </c>
      <c r="X19" s="1214"/>
      <c r="Y19" s="3399"/>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99"/>
      <c r="Q20" s="625"/>
      <c r="R20" s="1219"/>
      <c r="S20" s="1220"/>
      <c r="T20" s="1219"/>
      <c r="U20" s="1220"/>
      <c r="V20" s="1219"/>
      <c r="W20" s="1220"/>
      <c r="X20" s="1214"/>
      <c r="Y20" s="3399"/>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99"/>
      <c r="Q21" s="625" t="str">
        <f>B21</f>
        <v>交通便捷度</v>
      </c>
      <c r="R21" s="1219" t="s">
        <v>1393</v>
      </c>
      <c r="S21" s="1220">
        <f>F21</f>
        <v>100</v>
      </c>
      <c r="T21" s="1219" t="s">
        <v>1393</v>
      </c>
      <c r="U21" s="1220">
        <f>H21</f>
        <v>100</v>
      </c>
      <c r="V21" s="1219" t="s">
        <v>1393</v>
      </c>
      <c r="W21" s="1220">
        <f>J21</f>
        <v>100</v>
      </c>
      <c r="X21" s="1214"/>
      <c r="Y21" s="3399"/>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99"/>
      <c r="Q22" s="625"/>
      <c r="R22" s="1219"/>
      <c r="S22" s="1220"/>
      <c r="T22" s="1219"/>
      <c r="U22" s="1220"/>
      <c r="V22" s="1219"/>
      <c r="W22" s="1220"/>
      <c r="X22" s="1214"/>
      <c r="Y22" s="3399"/>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99"/>
      <c r="Q23" s="625" t="str">
        <f t="shared" ref="Q23:Q38" si="8">B23</f>
        <v>区域土地利用方向</v>
      </c>
      <c r="R23" s="1219" t="s">
        <v>1393</v>
      </c>
      <c r="S23" s="1220">
        <f>F23</f>
        <v>100</v>
      </c>
      <c r="T23" s="1219" t="s">
        <v>1393</v>
      </c>
      <c r="U23" s="1220">
        <f>H23</f>
        <v>100</v>
      </c>
      <c r="V23" s="1219" t="s">
        <v>1393</v>
      </c>
      <c r="W23" s="1220">
        <f>J23</f>
        <v>100</v>
      </c>
      <c r="X23" s="1214"/>
      <c r="Y23" s="3399"/>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99"/>
      <c r="Q24" s="625"/>
      <c r="R24" s="1219"/>
      <c r="S24" s="1220"/>
      <c r="T24" s="1219"/>
      <c r="U24" s="1220"/>
      <c r="V24" s="1219"/>
      <c r="W24" s="1220"/>
      <c r="X24" s="1214"/>
      <c r="Y24" s="3399"/>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99"/>
      <c r="Q25" s="625" t="str">
        <f t="shared" si="8"/>
        <v>自然及人文环境状况</v>
      </c>
      <c r="R25" s="1219" t="s">
        <v>1393</v>
      </c>
      <c r="S25" s="1220">
        <f>F25</f>
        <v>100</v>
      </c>
      <c r="T25" s="1219" t="s">
        <v>1393</v>
      </c>
      <c r="U25" s="1220">
        <f>H25</f>
        <v>100</v>
      </c>
      <c r="V25" s="1219" t="s">
        <v>1393</v>
      </c>
      <c r="W25" s="1220">
        <f>J25</f>
        <v>100</v>
      </c>
      <c r="X25" s="1214"/>
      <c r="Y25" s="3399"/>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99"/>
      <c r="Q26" s="625"/>
      <c r="R26" s="1219"/>
      <c r="S26" s="1220"/>
      <c r="T26" s="1219"/>
      <c r="U26" s="1220"/>
      <c r="V26" s="1219"/>
      <c r="W26" s="1220"/>
      <c r="X26" s="1214"/>
      <c r="Y26" s="3399"/>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99"/>
      <c r="Q27" s="794" t="str">
        <f t="shared" si="8"/>
        <v>公共配套设施</v>
      </c>
      <c r="R27" s="1215" t="s">
        <v>1393</v>
      </c>
      <c r="S27" s="1216">
        <f>F27</f>
        <v>100</v>
      </c>
      <c r="T27" s="1215" t="s">
        <v>1393</v>
      </c>
      <c r="U27" s="1216">
        <f>H27</f>
        <v>100</v>
      </c>
      <c r="V27" s="1215" t="s">
        <v>1393</v>
      </c>
      <c r="W27" s="1216">
        <f>J27</f>
        <v>100</v>
      </c>
      <c r="X27" s="1217"/>
      <c r="Y27" s="3399"/>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99"/>
      <c r="Q28" s="794"/>
      <c r="R28" s="1215"/>
      <c r="S28" s="1216"/>
      <c r="T28" s="1215"/>
      <c r="U28" s="1216"/>
      <c r="V28" s="1215"/>
      <c r="W28" s="1216"/>
      <c r="X28" s="1217"/>
      <c r="Y28" s="3399"/>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99"/>
      <c r="Q29" s="794" t="str">
        <f t="shared" ref="Q29" si="9">B29</f>
        <v>基础设施水平</v>
      </c>
      <c r="R29" s="1215" t="s">
        <v>1393</v>
      </c>
      <c r="S29" s="1216">
        <f>F29</f>
        <v>100</v>
      </c>
      <c r="T29" s="1215" t="s">
        <v>1393</v>
      </c>
      <c r="U29" s="1216">
        <f>H29</f>
        <v>100</v>
      </c>
      <c r="V29" s="1215" t="s">
        <v>1393</v>
      </c>
      <c r="W29" s="1216">
        <f>J29</f>
        <v>100</v>
      </c>
      <c r="X29" s="1217"/>
      <c r="Y29" s="3399"/>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99"/>
      <c r="Q30" s="794"/>
      <c r="R30" s="1215"/>
      <c r="S30" s="1216"/>
      <c r="T30" s="1215"/>
      <c r="U30" s="1216"/>
      <c r="V30" s="1215"/>
      <c r="W30" s="1216"/>
      <c r="X30" s="1217"/>
      <c r="Y30" s="3399"/>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99"/>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99"/>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99"/>
      <c r="Q32" s="625" t="str">
        <f t="shared" si="8"/>
        <v>毗邻道路的类型与等级</v>
      </c>
      <c r="R32" s="1219" t="s">
        <v>1393</v>
      </c>
      <c r="S32" s="1220">
        <f t="shared" si="10"/>
        <v>100</v>
      </c>
      <c r="T32" s="1219" t="s">
        <v>1393</v>
      </c>
      <c r="U32" s="1220">
        <f t="shared" si="11"/>
        <v>100</v>
      </c>
      <c r="V32" s="1219" t="s">
        <v>1393</v>
      </c>
      <c r="W32" s="1220">
        <f t="shared" si="12"/>
        <v>100</v>
      </c>
      <c r="X32" s="1214"/>
      <c r="Y32" s="3399"/>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99"/>
      <c r="Q33" s="625"/>
      <c r="R33" s="1219"/>
      <c r="S33" s="1220"/>
      <c r="T33" s="1219"/>
      <c r="U33" s="1220"/>
      <c r="V33" s="1219"/>
      <c r="W33" s="1220"/>
      <c r="X33" s="1214"/>
      <c r="Y33" s="3399"/>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99"/>
      <c r="Q34" s="625" t="str">
        <f t="shared" si="8"/>
        <v>土地级别</v>
      </c>
      <c r="R34" s="1219" t="s">
        <v>1393</v>
      </c>
      <c r="S34" s="1220">
        <f t="shared" si="10"/>
        <v>100</v>
      </c>
      <c r="T34" s="1219" t="s">
        <v>1393</v>
      </c>
      <c r="U34" s="1220">
        <f t="shared" si="11"/>
        <v>100</v>
      </c>
      <c r="V34" s="1219" t="s">
        <v>1393</v>
      </c>
      <c r="W34" s="1220">
        <f t="shared" si="12"/>
        <v>100</v>
      </c>
      <c r="X34" s="1214"/>
      <c r="Y34" s="3399"/>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99"/>
      <c r="Q35" s="625">
        <f t="shared" si="8"/>
        <v>111</v>
      </c>
      <c r="R35" s="1219" t="s">
        <v>1393</v>
      </c>
      <c r="S35" s="1220">
        <f t="shared" si="10"/>
        <v>100</v>
      </c>
      <c r="T35" s="1219" t="s">
        <v>1393</v>
      </c>
      <c r="U35" s="1220">
        <f t="shared" si="11"/>
        <v>100</v>
      </c>
      <c r="V35" s="1219" t="s">
        <v>1393</v>
      </c>
      <c r="W35" s="1220">
        <f t="shared" si="12"/>
        <v>100</v>
      </c>
      <c r="X35" s="1214"/>
      <c r="Y35" s="3399"/>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7" t="s">
        <v>1421</v>
      </c>
      <c r="Q36" s="625">
        <f t="shared" si="8"/>
        <v>111</v>
      </c>
      <c r="R36" s="1219" t="s">
        <v>1393</v>
      </c>
      <c r="S36" s="1220">
        <f t="shared" si="10"/>
        <v>100</v>
      </c>
      <c r="T36" s="1219" t="s">
        <v>1393</v>
      </c>
      <c r="U36" s="1220">
        <f t="shared" si="11"/>
        <v>100</v>
      </c>
      <c r="V36" s="1219" t="s">
        <v>1393</v>
      </c>
      <c r="W36" s="1220">
        <f t="shared" si="12"/>
        <v>100</v>
      </c>
      <c r="X36" s="1214"/>
      <c r="Y36" s="3400"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400"/>
      <c r="Q37" s="625">
        <f t="shared" si="8"/>
        <v>111</v>
      </c>
      <c r="R37" s="1221" t="s">
        <v>1393</v>
      </c>
      <c r="S37" s="1222">
        <f t="shared" si="10"/>
        <v>100</v>
      </c>
      <c r="T37" s="1221" t="s">
        <v>1393</v>
      </c>
      <c r="U37" s="1222">
        <f t="shared" si="11"/>
        <v>100</v>
      </c>
      <c r="V37" s="1221" t="s">
        <v>1393</v>
      </c>
      <c r="W37" s="1222">
        <f t="shared" si="12"/>
        <v>100</v>
      </c>
      <c r="X37" s="1223"/>
      <c r="Y37" s="3400"/>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400"/>
      <c r="Q38" s="625" t="str">
        <f t="shared" si="8"/>
        <v>宗地面积</v>
      </c>
      <c r="R38" s="1219" t="s">
        <v>1393</v>
      </c>
      <c r="S38" s="1220" t="e">
        <f t="shared" si="10"/>
        <v>#N/A</v>
      </c>
      <c r="T38" s="1219" t="s">
        <v>1393</v>
      </c>
      <c r="U38" s="1220" t="e">
        <f t="shared" si="11"/>
        <v>#N/A</v>
      </c>
      <c r="V38" s="1219" t="s">
        <v>1393</v>
      </c>
      <c r="W38" s="1220" t="e">
        <f t="shared" si="12"/>
        <v>#N/A</v>
      </c>
      <c r="X38" s="1214"/>
      <c r="Y38" s="3400"/>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400"/>
      <c r="Q39" s="625" t="str">
        <f t="shared" ref="Q39:Q45" si="14">B39</f>
        <v>宗地形状</v>
      </c>
      <c r="R39" s="1219" t="s">
        <v>1393</v>
      </c>
      <c r="S39" s="1220">
        <f t="shared" si="10"/>
        <v>100</v>
      </c>
      <c r="T39" s="1219" t="s">
        <v>1393</v>
      </c>
      <c r="U39" s="1220">
        <f t="shared" si="11"/>
        <v>100</v>
      </c>
      <c r="V39" s="1219" t="s">
        <v>1393</v>
      </c>
      <c r="W39" s="1220">
        <f t="shared" si="12"/>
        <v>100</v>
      </c>
      <c r="X39" s="1214"/>
      <c r="Y39" s="3400"/>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400"/>
      <c r="Q40" s="625" t="str">
        <f t="shared" si="14"/>
        <v>临街宽度及深度</v>
      </c>
      <c r="R40" s="1219" t="s">
        <v>1393</v>
      </c>
      <c r="S40" s="1220">
        <f t="shared" si="10"/>
        <v>100</v>
      </c>
      <c r="T40" s="1219" t="s">
        <v>1393</v>
      </c>
      <c r="U40" s="1220">
        <f t="shared" si="11"/>
        <v>100</v>
      </c>
      <c r="V40" s="1219" t="s">
        <v>1393</v>
      </c>
      <c r="W40" s="1220">
        <f t="shared" si="12"/>
        <v>100</v>
      </c>
      <c r="X40" s="1214"/>
      <c r="Y40" s="3400"/>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400"/>
      <c r="Q41" s="625" t="str">
        <f t="shared" si="14"/>
        <v>宗地开发程度</v>
      </c>
      <c r="R41" s="1215" t="s">
        <v>1393</v>
      </c>
      <c r="S41" s="1216">
        <f t="shared" si="10"/>
        <v>100</v>
      </c>
      <c r="T41" s="1215" t="s">
        <v>1393</v>
      </c>
      <c r="U41" s="1216">
        <f t="shared" si="11"/>
        <v>100</v>
      </c>
      <c r="V41" s="1215" t="s">
        <v>1393</v>
      </c>
      <c r="W41" s="1216">
        <f t="shared" si="12"/>
        <v>100</v>
      </c>
      <c r="X41" s="1217"/>
      <c r="Y41" s="3400"/>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400" t="s">
        <v>1421</v>
      </c>
      <c r="Q42" s="625" t="str">
        <f t="shared" si="14"/>
        <v>工程地质条件</v>
      </c>
      <c r="R42" s="1219" t="s">
        <v>1393</v>
      </c>
      <c r="S42" s="1220">
        <f t="shared" si="10"/>
        <v>100</v>
      </c>
      <c r="T42" s="1219" t="s">
        <v>1393</v>
      </c>
      <c r="U42" s="1220">
        <f t="shared" si="11"/>
        <v>100</v>
      </c>
      <c r="V42" s="1219" t="s">
        <v>1393</v>
      </c>
      <c r="W42" s="1220">
        <f t="shared" si="12"/>
        <v>100</v>
      </c>
      <c r="X42" s="1214"/>
      <c r="Y42" s="3400"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400"/>
      <c r="Q43" s="625">
        <f t="shared" si="14"/>
        <v>111</v>
      </c>
      <c r="R43" s="1219" t="s">
        <v>1393</v>
      </c>
      <c r="S43" s="1220">
        <f t="shared" si="10"/>
        <v>100</v>
      </c>
      <c r="T43" s="1219" t="s">
        <v>1393</v>
      </c>
      <c r="U43" s="1220">
        <f t="shared" si="11"/>
        <v>100</v>
      </c>
      <c r="V43" s="1219" t="s">
        <v>1393</v>
      </c>
      <c r="W43" s="1220">
        <f t="shared" si="12"/>
        <v>100</v>
      </c>
      <c r="X43" s="1214"/>
      <c r="Y43" s="3400"/>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400"/>
      <c r="Q44" s="625">
        <f t="shared" si="14"/>
        <v>111</v>
      </c>
      <c r="R44" s="1219" t="s">
        <v>1393</v>
      </c>
      <c r="S44" s="1220">
        <f t="shared" si="10"/>
        <v>100</v>
      </c>
      <c r="T44" s="1219" t="s">
        <v>1393</v>
      </c>
      <c r="U44" s="1220">
        <f t="shared" si="11"/>
        <v>100</v>
      </c>
      <c r="V44" s="1219" t="s">
        <v>1393</v>
      </c>
      <c r="W44" s="1220">
        <f t="shared" si="12"/>
        <v>100</v>
      </c>
      <c r="X44" s="1214"/>
      <c r="Y44" s="3400"/>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400"/>
      <c r="Q45" s="625">
        <f t="shared" si="14"/>
        <v>111</v>
      </c>
      <c r="R45" s="1221" t="s">
        <v>1393</v>
      </c>
      <c r="S45" s="1222">
        <f t="shared" si="10"/>
        <v>100</v>
      </c>
      <c r="T45" s="1221" t="s">
        <v>1393</v>
      </c>
      <c r="U45" s="1222">
        <f t="shared" si="11"/>
        <v>100</v>
      </c>
      <c r="V45" s="1221" t="s">
        <v>1393</v>
      </c>
      <c r="W45" s="1222">
        <f t="shared" si="12"/>
        <v>100</v>
      </c>
      <c r="X45" s="1223"/>
      <c r="Y45" s="3400"/>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86" t="str">
        <f>A46</f>
        <v>成交单价</v>
      </c>
      <c r="Q46" s="3386"/>
      <c r="R46" s="3384">
        <f>E46</f>
        <v>0</v>
      </c>
      <c r="S46" s="3384"/>
      <c r="T46" s="3384">
        <f>G46</f>
        <v>0</v>
      </c>
      <c r="U46" s="3384"/>
      <c r="V46" s="3384">
        <f>I46</f>
        <v>0</v>
      </c>
      <c r="W46" s="3384"/>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86" t="str">
        <f>A47</f>
        <v>比较价值（元/平方米）</v>
      </c>
      <c r="Q47" s="3386"/>
      <c r="R47" s="3450" t="e">
        <f>ROUND(PRODUCT(R46,AA7:AA45),0)</f>
        <v>#DIV/0!</v>
      </c>
      <c r="S47" s="3450"/>
      <c r="T47" s="3450" t="e">
        <f>ROUND(PRODUCT(T46,AB7:AB45),0)</f>
        <v>#DIV/0!</v>
      </c>
      <c r="U47" s="3450"/>
      <c r="V47" s="3450" t="e">
        <f>ROUND(PRODUCT(V46,AC7:AC45),0)</f>
        <v>#DIV/0!</v>
      </c>
      <c r="W47" s="3450"/>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20" t="str">
        <f>A48</f>
        <v>估价对象XX用房的比较价值（楼面单价，元/平方米）</v>
      </c>
      <c r="Q48" s="3421"/>
      <c r="R48" s="3451" t="e">
        <f>ROUND(IF(D47="简单平均",AVERAGE(R47:W47),R47*F47+T47*H47+V47*J47),0)</f>
        <v>#DIV/0!</v>
      </c>
      <c r="S48" s="3451"/>
      <c r="T48" s="3451"/>
      <c r="U48" s="3451"/>
      <c r="V48" s="3451"/>
      <c r="W48" s="3451"/>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407" t="s">
        <v>1675</v>
      </c>
      <c r="H55" s="3449"/>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158.43</v>
      </c>
      <c r="F56" s="1345" t="e">
        <f t="shared" ref="F56:F64" si="15">ROUND(B56*E56/10000,0)</f>
        <v>#DIV/0!</v>
      </c>
      <c r="G56" s="3385"/>
      <c r="H56" s="3386"/>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158.43</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2025-11-1</v>
      </c>
      <c r="D67" s="1160">
        <f>EDATE(C67,-3)</f>
        <v>45870</v>
      </c>
      <c r="E67" s="1160">
        <f>EDATE(D67,-3)</f>
        <v>45778</v>
      </c>
      <c r="F67" s="1160">
        <f t="shared" ref="F67:O67" si="18">EDATE(E67,-3)</f>
        <v>45689</v>
      </c>
      <c r="G67" s="1160">
        <f t="shared" si="18"/>
        <v>45597</v>
      </c>
      <c r="H67" s="1160">
        <f t="shared" si="18"/>
        <v>45505</v>
      </c>
      <c r="I67" s="1160">
        <f t="shared" si="18"/>
        <v>45413</v>
      </c>
      <c r="J67" s="1160">
        <f t="shared" si="18"/>
        <v>45323</v>
      </c>
      <c r="K67" s="1160">
        <f t="shared" si="18"/>
        <v>45231</v>
      </c>
      <c r="L67" s="1160">
        <f t="shared" si="18"/>
        <v>45139</v>
      </c>
      <c r="M67" s="1160">
        <f t="shared" si="18"/>
        <v>45047</v>
      </c>
      <c r="N67" s="1160">
        <f t="shared" si="18"/>
        <v>44958</v>
      </c>
      <c r="O67" s="1160">
        <f t="shared" si="18"/>
        <v>44866</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7" t="s">
        <v>1379</v>
      </c>
      <c r="D4" s="3408"/>
      <c r="E4" s="3409" t="s">
        <v>1380</v>
      </c>
      <c r="F4" s="3410"/>
      <c r="G4" s="3407" t="s">
        <v>1381</v>
      </c>
      <c r="H4" s="3408"/>
      <c r="I4" s="3407" t="s">
        <v>1382</v>
      </c>
      <c r="J4" s="3408"/>
      <c r="K4" s="1171" t="s">
        <v>1383</v>
      </c>
      <c r="L4" s="1172"/>
      <c r="M4" s="1122"/>
      <c r="N4" s="1122"/>
      <c r="O4" s="1122"/>
      <c r="P4" s="3414" t="s">
        <v>1384</v>
      </c>
      <c r="Q4" s="3415"/>
      <c r="R4" s="3418" t="s">
        <v>1380</v>
      </c>
      <c r="S4" s="3419"/>
      <c r="T4" s="3418" t="s">
        <v>1381</v>
      </c>
      <c r="U4" s="3419"/>
      <c r="V4" s="3384" t="s">
        <v>1382</v>
      </c>
      <c r="W4" s="3384"/>
      <c r="X4" s="1214"/>
      <c r="Y4" s="3418" t="s">
        <v>1384</v>
      </c>
      <c r="Z4" s="3419"/>
      <c r="AA4" s="3413" t="s">
        <v>1380</v>
      </c>
      <c r="AB4" s="3366" t="s">
        <v>1381</v>
      </c>
      <c r="AC4" s="3413" t="s">
        <v>1382</v>
      </c>
    </row>
    <row r="5" spans="1:29" ht="15">
      <c r="A5" s="1029"/>
      <c r="B5" s="1030"/>
      <c r="C5" s="3423" t="s">
        <v>1385</v>
      </c>
      <c r="D5" s="3412"/>
      <c r="E5" s="3424" t="s">
        <v>1386</v>
      </c>
      <c r="F5" s="3425"/>
      <c r="G5" s="3423" t="s">
        <v>1387</v>
      </c>
      <c r="H5" s="3412"/>
      <c r="I5" s="3423" t="s">
        <v>1388</v>
      </c>
      <c r="J5" s="3412"/>
      <c r="K5" s="1171"/>
      <c r="L5" s="1172"/>
      <c r="M5" s="1122"/>
      <c r="N5" s="1122"/>
      <c r="O5" s="1122"/>
      <c r="P5" s="3416"/>
      <c r="Q5" s="3374"/>
      <c r="R5" s="3379"/>
      <c r="S5" s="3380"/>
      <c r="T5" s="3379"/>
      <c r="U5" s="3380"/>
      <c r="V5" s="3384"/>
      <c r="W5" s="3384"/>
      <c r="X5" s="1214"/>
      <c r="Y5" s="3379"/>
      <c r="Z5" s="3380"/>
      <c r="AA5" s="3366"/>
      <c r="AB5" s="3366"/>
      <c r="AC5" s="3366"/>
    </row>
    <row r="6" spans="1:29" ht="15">
      <c r="A6" s="1031"/>
      <c r="B6" s="1032"/>
      <c r="C6" s="3452" t="s">
        <v>1699</v>
      </c>
      <c r="D6" s="3453"/>
      <c r="E6" s="3454" t="s">
        <v>1699</v>
      </c>
      <c r="F6" s="3455"/>
      <c r="G6" s="3452" t="s">
        <v>1699</v>
      </c>
      <c r="H6" s="3453"/>
      <c r="I6" s="3452" t="s">
        <v>1699</v>
      </c>
      <c r="J6" s="3453"/>
      <c r="K6" s="1171" t="s">
        <v>1390</v>
      </c>
      <c r="L6" s="1172"/>
      <c r="M6" s="1122"/>
      <c r="N6" s="1122"/>
      <c r="O6" s="1122"/>
      <c r="P6" s="3417"/>
      <c r="Q6" s="3376"/>
      <c r="R6" s="3379"/>
      <c r="S6" s="3380"/>
      <c r="T6" s="3381"/>
      <c r="U6" s="3382"/>
      <c r="V6" s="3384"/>
      <c r="W6" s="3384"/>
      <c r="X6" s="1214"/>
      <c r="Y6" s="3381"/>
      <c r="Z6" s="3382"/>
      <c r="AA6" s="3367"/>
      <c r="AB6" s="3367"/>
      <c r="AC6" s="3367"/>
    </row>
    <row r="7" spans="1:29" s="1008" customFormat="1" ht="15">
      <c r="A7" s="1033" t="s">
        <v>1391</v>
      </c>
      <c r="B7" s="1034"/>
      <c r="C7" s="1035">
        <f>'数据-取费表'!B2</f>
        <v>45975</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90" t="s">
        <v>1392</v>
      </c>
      <c r="Q7" s="3406"/>
      <c r="R7" s="1215" t="s">
        <v>1393</v>
      </c>
      <c r="S7" s="1216">
        <f t="shared" ref="S7:S15" si="0">F7</f>
        <v>0</v>
      </c>
      <c r="T7" s="1215" t="s">
        <v>1393</v>
      </c>
      <c r="U7" s="1216">
        <f t="shared" ref="U7:U15" si="1">H7</f>
        <v>0</v>
      </c>
      <c r="V7" s="1215" t="s">
        <v>1393</v>
      </c>
      <c r="W7" s="1216">
        <f t="shared" ref="W7:W15" si="2">J7</f>
        <v>0</v>
      </c>
      <c r="X7" s="1217"/>
      <c r="Y7" s="3390" t="s">
        <v>1392</v>
      </c>
      <c r="Z7" s="3391"/>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90" t="s">
        <v>1397</v>
      </c>
      <c r="Q8" s="3391"/>
      <c r="R8" s="1215" t="s">
        <v>1393</v>
      </c>
      <c r="S8" s="1216">
        <f t="shared" si="0"/>
        <v>0</v>
      </c>
      <c r="T8" s="1215" t="s">
        <v>1393</v>
      </c>
      <c r="U8" s="1216">
        <f t="shared" si="1"/>
        <v>0</v>
      </c>
      <c r="V8" s="1215" t="s">
        <v>1393</v>
      </c>
      <c r="W8" s="1216">
        <f t="shared" si="2"/>
        <v>0</v>
      </c>
      <c r="X8" s="1217"/>
      <c r="Y8" s="3390" t="s">
        <v>1397</v>
      </c>
      <c r="Z8" s="3391"/>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86" t="s">
        <v>1400</v>
      </c>
      <c r="Q9" s="794" t="str">
        <f t="shared" ref="Q9:Q15" si="6">B9</f>
        <v>用途</v>
      </c>
      <c r="R9" s="1215" t="s">
        <v>1393</v>
      </c>
      <c r="S9" s="1216">
        <f t="shared" si="0"/>
        <v>100</v>
      </c>
      <c r="T9" s="1215" t="s">
        <v>1393</v>
      </c>
      <c r="U9" s="1216">
        <f t="shared" si="1"/>
        <v>100</v>
      </c>
      <c r="V9" s="1215" t="s">
        <v>1393</v>
      </c>
      <c r="W9" s="1216">
        <f t="shared" si="2"/>
        <v>100</v>
      </c>
      <c r="X9" s="1217"/>
      <c r="Y9" s="3272"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109</v>
      </c>
      <c r="G10" s="1047"/>
      <c r="H10" s="1048">
        <f>ROUND(100/'数据-取费表'!G16,0)</f>
        <v>109</v>
      </c>
      <c r="I10" s="1047"/>
      <c r="J10" s="1048">
        <f>ROUND(100/'数据-取费表'!G16,0)</f>
        <v>109</v>
      </c>
      <c r="K10" s="1177"/>
      <c r="L10" s="1178"/>
      <c r="M10" s="1179"/>
      <c r="N10" s="1179"/>
      <c r="O10" s="1180"/>
      <c r="P10" s="3386"/>
      <c r="Q10" s="794" t="str">
        <f t="shared" si="6"/>
        <v>土地使用年限（年）</v>
      </c>
      <c r="R10" s="1215" t="s">
        <v>1393</v>
      </c>
      <c r="S10" s="1216">
        <f t="shared" si="0"/>
        <v>109</v>
      </c>
      <c r="T10" s="1215" t="s">
        <v>1393</v>
      </c>
      <c r="U10" s="1216">
        <f t="shared" si="1"/>
        <v>109</v>
      </c>
      <c r="V10" s="1215" t="s">
        <v>1393</v>
      </c>
      <c r="W10" s="1216">
        <f t="shared" si="2"/>
        <v>109</v>
      </c>
      <c r="X10" s="1217"/>
      <c r="Y10" s="3272"/>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86"/>
      <c r="Q11" s="794" t="str">
        <f t="shared" si="6"/>
        <v>容积率</v>
      </c>
      <c r="R11" s="1215" t="s">
        <v>1393</v>
      </c>
      <c r="S11" s="1216" t="e">
        <f t="shared" si="0"/>
        <v>#N/A</v>
      </c>
      <c r="T11" s="1215" t="s">
        <v>1393</v>
      </c>
      <c r="U11" s="1216" t="e">
        <f t="shared" si="1"/>
        <v>#N/A</v>
      </c>
      <c r="V11" s="1215" t="s">
        <v>1393</v>
      </c>
      <c r="W11" s="1216" t="e">
        <f t="shared" si="2"/>
        <v>#N/A</v>
      </c>
      <c r="X11" s="1217"/>
      <c r="Y11" s="3272"/>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86"/>
      <c r="Q12" s="794">
        <f t="shared" si="6"/>
        <v>111</v>
      </c>
      <c r="R12" s="1215" t="s">
        <v>1393</v>
      </c>
      <c r="S12" s="1216">
        <f t="shared" si="0"/>
        <v>100</v>
      </c>
      <c r="T12" s="1215" t="s">
        <v>1393</v>
      </c>
      <c r="U12" s="1216">
        <f t="shared" si="1"/>
        <v>100</v>
      </c>
      <c r="V12" s="1215" t="s">
        <v>1393</v>
      </c>
      <c r="W12" s="1216">
        <f t="shared" si="2"/>
        <v>100</v>
      </c>
      <c r="X12" s="1217"/>
      <c r="Y12" s="3272"/>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86"/>
      <c r="Q13" s="794">
        <f t="shared" si="6"/>
        <v>111</v>
      </c>
      <c r="R13" s="1215" t="s">
        <v>1393</v>
      </c>
      <c r="S13" s="1216">
        <f t="shared" si="0"/>
        <v>100</v>
      </c>
      <c r="T13" s="1215" t="s">
        <v>1393</v>
      </c>
      <c r="U13" s="1216">
        <f t="shared" si="1"/>
        <v>100</v>
      </c>
      <c r="V13" s="1215" t="s">
        <v>1393</v>
      </c>
      <c r="W13" s="1216">
        <f t="shared" si="2"/>
        <v>100</v>
      </c>
      <c r="X13" s="1217"/>
      <c r="Y13" s="3272"/>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86"/>
      <c r="Q14" s="794">
        <f t="shared" si="6"/>
        <v>111</v>
      </c>
      <c r="R14" s="1215" t="s">
        <v>1393</v>
      </c>
      <c r="S14" s="1216">
        <f t="shared" si="0"/>
        <v>100</v>
      </c>
      <c r="T14" s="1215" t="s">
        <v>1393</v>
      </c>
      <c r="U14" s="1216">
        <f t="shared" si="1"/>
        <v>100</v>
      </c>
      <c r="V14" s="1215" t="s">
        <v>1393</v>
      </c>
      <c r="W14" s="1216">
        <f t="shared" si="2"/>
        <v>100</v>
      </c>
      <c r="X14" s="1217"/>
      <c r="Y14" s="3272"/>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98" t="s">
        <v>1406</v>
      </c>
      <c r="Q15" s="625" t="str">
        <f t="shared" si="6"/>
        <v>产业集聚程度</v>
      </c>
      <c r="R15" s="1219" t="s">
        <v>1393</v>
      </c>
      <c r="S15" s="1220">
        <f t="shared" si="0"/>
        <v>100</v>
      </c>
      <c r="T15" s="1219" t="s">
        <v>1393</v>
      </c>
      <c r="U15" s="1220">
        <f t="shared" si="1"/>
        <v>100</v>
      </c>
      <c r="V15" s="1219" t="s">
        <v>1393</v>
      </c>
      <c r="W15" s="1220">
        <f t="shared" si="2"/>
        <v>100</v>
      </c>
      <c r="X15" s="1214"/>
      <c r="Y15" s="3398"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99"/>
      <c r="Q16" s="625"/>
      <c r="R16" s="1219"/>
      <c r="S16" s="1220"/>
      <c r="T16" s="1219"/>
      <c r="U16" s="1220"/>
      <c r="V16" s="1219"/>
      <c r="W16" s="1220"/>
      <c r="X16" s="1214"/>
      <c r="Y16" s="3399"/>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99"/>
      <c r="Q17" s="625" t="str">
        <f>B17</f>
        <v>交通便捷度</v>
      </c>
      <c r="R17" s="1219" t="s">
        <v>1393</v>
      </c>
      <c r="S17" s="1220">
        <f>F17</f>
        <v>100</v>
      </c>
      <c r="T17" s="1219" t="s">
        <v>1393</v>
      </c>
      <c r="U17" s="1220">
        <f>H17</f>
        <v>100</v>
      </c>
      <c r="V17" s="1219" t="s">
        <v>1393</v>
      </c>
      <c r="W17" s="1220">
        <f>J17</f>
        <v>100</v>
      </c>
      <c r="X17" s="1214"/>
      <c r="Y17" s="3399"/>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99"/>
      <c r="Q18" s="625"/>
      <c r="R18" s="1219"/>
      <c r="S18" s="1220"/>
      <c r="T18" s="1219"/>
      <c r="U18" s="1220"/>
      <c r="V18" s="1219"/>
      <c r="W18" s="1220"/>
      <c r="X18" s="1214"/>
      <c r="Y18" s="3399"/>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99"/>
      <c r="Q19" s="625" t="str">
        <f t="shared" ref="Q19:Q34" si="8">B19</f>
        <v>区域土地利用方向</v>
      </c>
      <c r="R19" s="1219" t="s">
        <v>1393</v>
      </c>
      <c r="S19" s="1220">
        <f>F19</f>
        <v>100</v>
      </c>
      <c r="T19" s="1219" t="s">
        <v>1393</v>
      </c>
      <c r="U19" s="1220">
        <f>H19</f>
        <v>100</v>
      </c>
      <c r="V19" s="1219" t="s">
        <v>1393</v>
      </c>
      <c r="W19" s="1220">
        <f>J19</f>
        <v>100</v>
      </c>
      <c r="X19" s="1214"/>
      <c r="Y19" s="3399"/>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99"/>
      <c r="Q20" s="625"/>
      <c r="R20" s="1219"/>
      <c r="S20" s="1220"/>
      <c r="T20" s="1219"/>
      <c r="U20" s="1220"/>
      <c r="V20" s="1219"/>
      <c r="W20" s="1220"/>
      <c r="X20" s="1214"/>
      <c r="Y20" s="3399"/>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99"/>
      <c r="Q21" s="625" t="str">
        <f t="shared" si="8"/>
        <v>环境状况</v>
      </c>
      <c r="R21" s="1219" t="s">
        <v>1393</v>
      </c>
      <c r="S21" s="1220">
        <f>F21</f>
        <v>100</v>
      </c>
      <c r="T21" s="1219" t="s">
        <v>1393</v>
      </c>
      <c r="U21" s="1220">
        <f>H21</f>
        <v>100</v>
      </c>
      <c r="V21" s="1219" t="s">
        <v>1393</v>
      </c>
      <c r="W21" s="1220">
        <f>J21</f>
        <v>100</v>
      </c>
      <c r="X21" s="1214"/>
      <c r="Y21" s="3399"/>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99"/>
      <c r="Q22" s="625"/>
      <c r="R22" s="1219"/>
      <c r="S22" s="1220"/>
      <c r="T22" s="1219"/>
      <c r="U22" s="1220"/>
      <c r="V22" s="1219"/>
      <c r="W22" s="1220"/>
      <c r="X22" s="1214"/>
      <c r="Y22" s="3399"/>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99"/>
      <c r="Q23" s="794" t="str">
        <f t="shared" si="8"/>
        <v>公共配套设施</v>
      </c>
      <c r="R23" s="1215" t="s">
        <v>1393</v>
      </c>
      <c r="S23" s="1216">
        <f>F23</f>
        <v>100</v>
      </c>
      <c r="T23" s="1215" t="s">
        <v>1393</v>
      </c>
      <c r="U23" s="1216">
        <f>H23</f>
        <v>100</v>
      </c>
      <c r="V23" s="1215" t="s">
        <v>1393</v>
      </c>
      <c r="W23" s="1216">
        <f>J23</f>
        <v>100</v>
      </c>
      <c r="X23" s="1217"/>
      <c r="Y23" s="3399"/>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99"/>
      <c r="Q24" s="794"/>
      <c r="R24" s="1215"/>
      <c r="S24" s="1216"/>
      <c r="T24" s="1215"/>
      <c r="U24" s="1216"/>
      <c r="V24" s="1215"/>
      <c r="W24" s="1216"/>
      <c r="X24" s="1217"/>
      <c r="Y24" s="3399"/>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99"/>
      <c r="Q25" s="794" t="str">
        <f t="shared" ref="Q25" si="9">B25</f>
        <v>基础设施水平</v>
      </c>
      <c r="R25" s="1215" t="s">
        <v>1393</v>
      </c>
      <c r="S25" s="1216">
        <f>F25</f>
        <v>100</v>
      </c>
      <c r="T25" s="1215" t="s">
        <v>1393</v>
      </c>
      <c r="U25" s="1216">
        <f>H25</f>
        <v>100</v>
      </c>
      <c r="V25" s="1215" t="s">
        <v>1393</v>
      </c>
      <c r="W25" s="1216">
        <f>J25</f>
        <v>100</v>
      </c>
      <c r="X25" s="1217"/>
      <c r="Y25" s="3399"/>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99"/>
      <c r="Q26" s="794"/>
      <c r="R26" s="1215"/>
      <c r="S26" s="1216"/>
      <c r="T26" s="1215"/>
      <c r="U26" s="1216"/>
      <c r="V26" s="1215"/>
      <c r="W26" s="1216"/>
      <c r="X26" s="1217"/>
      <c r="Y26" s="3399"/>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99"/>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99"/>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99"/>
      <c r="Q28" s="625" t="str">
        <f t="shared" si="8"/>
        <v>毗邻道路的类型与等级</v>
      </c>
      <c r="R28" s="1219" t="s">
        <v>1393</v>
      </c>
      <c r="S28" s="1220">
        <f t="shared" si="10"/>
        <v>100</v>
      </c>
      <c r="T28" s="1219" t="s">
        <v>1393</v>
      </c>
      <c r="U28" s="1220">
        <f t="shared" si="11"/>
        <v>100</v>
      </c>
      <c r="V28" s="1219" t="s">
        <v>1393</v>
      </c>
      <c r="W28" s="1220">
        <f t="shared" si="12"/>
        <v>100</v>
      </c>
      <c r="X28" s="1214"/>
      <c r="Y28" s="3399"/>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99"/>
      <c r="Q29" s="625"/>
      <c r="R29" s="1219"/>
      <c r="S29" s="1220"/>
      <c r="T29" s="1219"/>
      <c r="U29" s="1220"/>
      <c r="V29" s="1219"/>
      <c r="W29" s="1220"/>
      <c r="X29" s="1214"/>
      <c r="Y29" s="3399"/>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99"/>
      <c r="Q30" s="625" t="str">
        <f t="shared" si="8"/>
        <v>土地级别</v>
      </c>
      <c r="R30" s="1219" t="s">
        <v>1393</v>
      </c>
      <c r="S30" s="1220">
        <f t="shared" si="10"/>
        <v>100</v>
      </c>
      <c r="T30" s="1219" t="s">
        <v>1393</v>
      </c>
      <c r="U30" s="1220">
        <f t="shared" si="11"/>
        <v>100</v>
      </c>
      <c r="V30" s="1219" t="s">
        <v>1393</v>
      </c>
      <c r="W30" s="1220">
        <f t="shared" si="12"/>
        <v>100</v>
      </c>
      <c r="X30" s="1214"/>
      <c r="Y30" s="3399"/>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99"/>
      <c r="Q31" s="625">
        <f t="shared" si="8"/>
        <v>111</v>
      </c>
      <c r="R31" s="1219" t="s">
        <v>1393</v>
      </c>
      <c r="S31" s="1220">
        <f t="shared" si="10"/>
        <v>100</v>
      </c>
      <c r="T31" s="1219" t="s">
        <v>1393</v>
      </c>
      <c r="U31" s="1220">
        <f t="shared" si="11"/>
        <v>100</v>
      </c>
      <c r="V31" s="1219" t="s">
        <v>1393</v>
      </c>
      <c r="W31" s="1220">
        <f t="shared" si="12"/>
        <v>100</v>
      </c>
      <c r="X31" s="1214"/>
      <c r="Y31" s="3399"/>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7" t="s">
        <v>1421</v>
      </c>
      <c r="Q32" s="625">
        <f t="shared" si="8"/>
        <v>111</v>
      </c>
      <c r="R32" s="1219" t="s">
        <v>1393</v>
      </c>
      <c r="S32" s="1220">
        <f t="shared" si="10"/>
        <v>100</v>
      </c>
      <c r="T32" s="1219" t="s">
        <v>1393</v>
      </c>
      <c r="U32" s="1220">
        <f t="shared" si="11"/>
        <v>100</v>
      </c>
      <c r="V32" s="1219" t="s">
        <v>1393</v>
      </c>
      <c r="W32" s="1220">
        <f t="shared" si="12"/>
        <v>100</v>
      </c>
      <c r="X32" s="1214"/>
      <c r="Y32" s="3400"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400"/>
      <c r="Q33" s="625">
        <f t="shared" si="8"/>
        <v>111</v>
      </c>
      <c r="R33" s="1221" t="s">
        <v>1393</v>
      </c>
      <c r="S33" s="1222">
        <f t="shared" si="10"/>
        <v>100</v>
      </c>
      <c r="T33" s="1221" t="s">
        <v>1393</v>
      </c>
      <c r="U33" s="1222">
        <f t="shared" si="11"/>
        <v>100</v>
      </c>
      <c r="V33" s="1221" t="s">
        <v>1393</v>
      </c>
      <c r="W33" s="1222">
        <f t="shared" si="12"/>
        <v>100</v>
      </c>
      <c r="X33" s="1223"/>
      <c r="Y33" s="3400"/>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400"/>
      <c r="Q34" s="625" t="str">
        <f t="shared" si="8"/>
        <v>宗地面积</v>
      </c>
      <c r="R34" s="1219" t="s">
        <v>1393</v>
      </c>
      <c r="S34" s="1220" t="e">
        <f t="shared" si="10"/>
        <v>#N/A</v>
      </c>
      <c r="T34" s="1219" t="s">
        <v>1393</v>
      </c>
      <c r="U34" s="1220" t="e">
        <f t="shared" si="11"/>
        <v>#N/A</v>
      </c>
      <c r="V34" s="1219" t="s">
        <v>1393</v>
      </c>
      <c r="W34" s="1220" t="e">
        <f t="shared" si="12"/>
        <v>#N/A</v>
      </c>
      <c r="X34" s="1214"/>
      <c r="Y34" s="3400"/>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400"/>
      <c r="Q35" s="625" t="str">
        <f t="shared" ref="Q35:Q40" si="14">B35</f>
        <v>宗地形状</v>
      </c>
      <c r="R35" s="1219" t="s">
        <v>1393</v>
      </c>
      <c r="S35" s="1220">
        <f t="shared" si="10"/>
        <v>100</v>
      </c>
      <c r="T35" s="1219" t="s">
        <v>1393</v>
      </c>
      <c r="U35" s="1220">
        <f t="shared" si="11"/>
        <v>100</v>
      </c>
      <c r="V35" s="1219" t="s">
        <v>1393</v>
      </c>
      <c r="W35" s="1220">
        <f t="shared" si="12"/>
        <v>100</v>
      </c>
      <c r="X35" s="1214"/>
      <c r="Y35" s="3400"/>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400"/>
      <c r="Q36" s="625" t="str">
        <f t="shared" si="14"/>
        <v>宗地开发程度</v>
      </c>
      <c r="R36" s="1215" t="s">
        <v>1393</v>
      </c>
      <c r="S36" s="1216">
        <f t="shared" si="10"/>
        <v>100</v>
      </c>
      <c r="T36" s="1215" t="s">
        <v>1393</v>
      </c>
      <c r="U36" s="1216">
        <f t="shared" si="11"/>
        <v>100</v>
      </c>
      <c r="V36" s="1215" t="s">
        <v>1393</v>
      </c>
      <c r="W36" s="1216">
        <f t="shared" si="12"/>
        <v>100</v>
      </c>
      <c r="X36" s="1217"/>
      <c r="Y36" s="3400"/>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400" t="s">
        <v>1421</v>
      </c>
      <c r="Q37" s="625" t="str">
        <f t="shared" si="14"/>
        <v>工程地质条件</v>
      </c>
      <c r="R37" s="1219" t="s">
        <v>1393</v>
      </c>
      <c r="S37" s="1220">
        <f t="shared" si="10"/>
        <v>100</v>
      </c>
      <c r="T37" s="1219" t="s">
        <v>1393</v>
      </c>
      <c r="U37" s="1220">
        <f t="shared" si="11"/>
        <v>100</v>
      </c>
      <c r="V37" s="1219" t="s">
        <v>1393</v>
      </c>
      <c r="W37" s="1220">
        <f t="shared" si="12"/>
        <v>100</v>
      </c>
      <c r="X37" s="1214"/>
      <c r="Y37" s="3400"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400"/>
      <c r="Q38" s="625">
        <f t="shared" si="14"/>
        <v>111</v>
      </c>
      <c r="R38" s="1219" t="s">
        <v>1393</v>
      </c>
      <c r="S38" s="1220">
        <f t="shared" si="10"/>
        <v>100</v>
      </c>
      <c r="T38" s="1219" t="s">
        <v>1393</v>
      </c>
      <c r="U38" s="1220">
        <f t="shared" si="11"/>
        <v>100</v>
      </c>
      <c r="V38" s="1219" t="s">
        <v>1393</v>
      </c>
      <c r="W38" s="1220">
        <f t="shared" si="12"/>
        <v>100</v>
      </c>
      <c r="X38" s="1214"/>
      <c r="Y38" s="3400"/>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400"/>
      <c r="Q39" s="625">
        <f t="shared" si="14"/>
        <v>111</v>
      </c>
      <c r="R39" s="1219" t="s">
        <v>1393</v>
      </c>
      <c r="S39" s="1220">
        <f t="shared" si="10"/>
        <v>100</v>
      </c>
      <c r="T39" s="1219" t="s">
        <v>1393</v>
      </c>
      <c r="U39" s="1220">
        <f t="shared" si="11"/>
        <v>100</v>
      </c>
      <c r="V39" s="1219" t="s">
        <v>1393</v>
      </c>
      <c r="W39" s="1220">
        <f t="shared" si="12"/>
        <v>100</v>
      </c>
      <c r="X39" s="1214"/>
      <c r="Y39" s="3400"/>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400"/>
      <c r="Q40" s="625">
        <f t="shared" si="14"/>
        <v>111</v>
      </c>
      <c r="R40" s="1221" t="s">
        <v>1393</v>
      </c>
      <c r="S40" s="1222">
        <f t="shared" si="10"/>
        <v>100</v>
      </c>
      <c r="T40" s="1221" t="s">
        <v>1393</v>
      </c>
      <c r="U40" s="1222">
        <f t="shared" si="11"/>
        <v>100</v>
      </c>
      <c r="V40" s="1221" t="s">
        <v>1393</v>
      </c>
      <c r="W40" s="1222">
        <f t="shared" si="12"/>
        <v>100</v>
      </c>
      <c r="X40" s="1223"/>
      <c r="Y40" s="3400"/>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86" t="str">
        <f>A41</f>
        <v>成交单价</v>
      </c>
      <c r="Q41" s="3386"/>
      <c r="R41" s="3384">
        <f>E41</f>
        <v>0</v>
      </c>
      <c r="S41" s="3384"/>
      <c r="T41" s="3384">
        <f>G41</f>
        <v>0</v>
      </c>
      <c r="U41" s="3384"/>
      <c r="V41" s="3384">
        <f>I41</f>
        <v>0</v>
      </c>
      <c r="W41" s="3384"/>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86" t="str">
        <f>A42</f>
        <v>比较价值（元/平方米）</v>
      </c>
      <c r="Q42" s="3386"/>
      <c r="R42" s="3450" t="e">
        <f>ROUND(PRODUCT(R41,AA7:AA40),0)</f>
        <v>#DIV/0!</v>
      </c>
      <c r="S42" s="3450"/>
      <c r="T42" s="3450" t="e">
        <f>ROUND(PRODUCT(T41,AB7:AB40),0)</f>
        <v>#DIV/0!</v>
      </c>
      <c r="U42" s="3450"/>
      <c r="V42" s="3450" t="e">
        <f>ROUND(PRODUCT(V41,AC7:AC40),0)</f>
        <v>#DIV/0!</v>
      </c>
      <c r="W42" s="3450"/>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20" t="str">
        <f>A43</f>
        <v>估价对象XX用房的比较价值（楼面单价，元/平方米）</v>
      </c>
      <c r="Q43" s="3421"/>
      <c r="R43" s="3451" t="e">
        <f>ROUND(IF(D42="简单平均",AVERAGE(R42:W42),R42*F42+T42*H42+V42*J42),0)</f>
        <v>#DIV/0!</v>
      </c>
      <c r="S43" s="3451"/>
      <c r="T43" s="3451"/>
      <c r="U43" s="3451"/>
      <c r="V43" s="3451"/>
      <c r="W43" s="3451"/>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407" t="s">
        <v>1675</v>
      </c>
      <c r="H50" s="3449"/>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158.43</v>
      </c>
      <c r="F51" s="1141" t="e">
        <f t="shared" ref="F51:F60" si="15">ROUND(B51*E51/10000,0)</f>
        <v>#DIV/0!</v>
      </c>
      <c r="G51" s="3385"/>
      <c r="H51" s="3386"/>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2025-11-1</v>
      </c>
      <c r="D63" s="1160">
        <f>EDATE(C63,-3)</f>
        <v>45870</v>
      </c>
      <c r="E63" s="1160">
        <f>EDATE(D63,-3)</f>
        <v>45778</v>
      </c>
      <c r="F63" s="1160">
        <f t="shared" ref="F63:O63" si="18">EDATE(E63,-3)</f>
        <v>45689</v>
      </c>
      <c r="G63" s="1160">
        <f t="shared" si="18"/>
        <v>45597</v>
      </c>
      <c r="H63" s="1160">
        <f t="shared" si="18"/>
        <v>45505</v>
      </c>
      <c r="I63" s="1160">
        <f t="shared" si="18"/>
        <v>45413</v>
      </c>
      <c r="J63" s="1160">
        <f t="shared" si="18"/>
        <v>45323</v>
      </c>
      <c r="K63" s="1160">
        <f t="shared" si="18"/>
        <v>45231</v>
      </c>
      <c r="L63" s="1160">
        <f t="shared" si="18"/>
        <v>45139</v>
      </c>
      <c r="M63" s="1160">
        <f t="shared" si="18"/>
        <v>45047</v>
      </c>
      <c r="N63" s="1160">
        <f t="shared" si="18"/>
        <v>44958</v>
      </c>
      <c r="O63" s="1160">
        <f t="shared" si="18"/>
        <v>44866</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6" t="s">
        <v>1705</v>
      </c>
      <c r="D1" s="3457"/>
      <c r="E1" s="3457"/>
      <c r="F1" s="3457"/>
      <c r="G1" s="3457"/>
      <c r="H1" s="3457"/>
      <c r="I1" s="3457"/>
      <c r="J1" s="3457"/>
      <c r="K1" s="3457"/>
      <c r="L1" s="3457"/>
      <c r="M1" s="3457"/>
      <c r="N1" s="3457"/>
      <c r="O1" s="3457"/>
      <c r="P1" s="3457"/>
      <c r="Q1" s="3457"/>
      <c r="R1" s="3457"/>
      <c r="S1" s="3458"/>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604</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19062</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316.86</v>
      </c>
      <c r="C22" s="3459" t="s">
        <v>124</v>
      </c>
      <c r="D22" s="3460"/>
      <c r="E22" s="3460"/>
      <c r="F22" s="3460"/>
      <c r="G22" s="3460"/>
      <c r="H22" s="3460"/>
      <c r="I22" s="3460"/>
      <c r="J22" s="3460"/>
      <c r="K22" s="3460"/>
      <c r="L22" s="3460"/>
      <c r="M22" s="3460"/>
      <c r="N22" s="3460"/>
      <c r="O22" s="3460"/>
      <c r="P22" s="3460"/>
      <c r="Q22" s="3461"/>
      <c r="R22" s="950">
        <f ca="1">ROUND(S22*10000/B22,0)</f>
        <v>19062</v>
      </c>
      <c r="S22" s="950">
        <f ca="1">SUM(S24:S10000)</f>
        <v>604</v>
      </c>
      <c r="T22" s="898">
        <f ca="1">T24+T25</f>
        <v>6046322</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v>906</v>
      </c>
      <c r="B24" s="954">
        <f>'数据-基础表'!I13</f>
        <v>158.43</v>
      </c>
      <c r="C24" s="955">
        <v>1</v>
      </c>
      <c r="D24" s="956"/>
      <c r="E24" s="955">
        <v>1</v>
      </c>
      <c r="F24" s="956"/>
      <c r="G24" s="955">
        <v>1</v>
      </c>
      <c r="H24" s="956"/>
      <c r="I24" s="955">
        <v>1</v>
      </c>
      <c r="J24" s="956"/>
      <c r="K24" s="955">
        <v>1</v>
      </c>
      <c r="L24" s="956"/>
      <c r="M24" s="955">
        <v>1</v>
      </c>
      <c r="N24" s="956"/>
      <c r="O24" s="955">
        <v>1</v>
      </c>
      <c r="P24" s="956"/>
      <c r="Q24" s="955">
        <v>1</v>
      </c>
      <c r="R24" s="954">
        <f ca="1">结果表!C32</f>
        <v>19082</v>
      </c>
      <c r="S24" s="1005">
        <f t="shared" ref="S24:S54" ca="1" si="11">ROUND(R24*B24/10000,0)</f>
        <v>302</v>
      </c>
      <c r="T24" s="1006">
        <f ca="1">ROUND(R24*B24,0)</f>
        <v>3023161</v>
      </c>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v>907</v>
      </c>
      <c r="B25" s="958">
        <v>158.43</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19082</v>
      </c>
      <c r="S25" s="949">
        <f t="shared" ca="1" si="11"/>
        <v>302</v>
      </c>
      <c r="T25" s="1006">
        <f ca="1">ROUND(R25*B25,0)</f>
        <v>3023161</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158.43</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158.43</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158.43</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62"/>
      <c r="B4" s="3463"/>
      <c r="C4" s="3463"/>
      <c r="D4" s="3464"/>
      <c r="E4" s="3464"/>
      <c r="F4" s="3464"/>
      <c r="G4" s="3464"/>
      <c r="H4" s="3464"/>
      <c r="I4" s="3464"/>
      <c r="J4" s="3465"/>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158.43</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6" t="s">
        <v>1761</v>
      </c>
      <c r="X8" s="3467"/>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80"/>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80"/>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72" t="s">
        <v>1810</v>
      </c>
      <c r="B20" s="590" t="s">
        <v>1811</v>
      </c>
      <c r="C20" s="591">
        <f>ROUND(IF(F21="与级别开发程度一致",0,(G21-E21)/C21),0)</f>
        <v>-36</v>
      </c>
      <c r="D20" s="592" t="s">
        <v>1812</v>
      </c>
      <c r="E20" s="593"/>
      <c r="F20" s="3468" t="s">
        <v>1813</v>
      </c>
      <c r="G20" s="3469"/>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3"/>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45975</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f>'数据-汇总表'!F19</f>
        <v>158.43</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4"/>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5"/>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5"/>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70" t="s">
        <v>1907</v>
      </c>
      <c r="B103" s="3470"/>
      <c r="C103" s="3470"/>
      <c r="D103" s="3470"/>
      <c r="E103" s="3470"/>
      <c r="F103" s="3470"/>
      <c r="G103" s="3470"/>
      <c r="H103" s="3470"/>
      <c r="I103" s="3470"/>
      <c r="J103" s="3470"/>
      <c r="K103" s="851"/>
      <c r="L103" s="851"/>
      <c r="M103" s="851"/>
      <c r="N103" s="851"/>
    </row>
    <row r="104" spans="1:14">
      <c r="A104" s="3476" t="s">
        <v>1908</v>
      </c>
      <c r="B104" s="3476" t="s">
        <v>1909</v>
      </c>
      <c r="C104" s="853" t="s">
        <v>1910</v>
      </c>
      <c r="D104" s="854"/>
      <c r="E104" s="854"/>
      <c r="F104" s="854"/>
      <c r="G104" s="854"/>
      <c r="H104" s="854"/>
      <c r="I104" s="854"/>
      <c r="J104" s="873"/>
      <c r="K104" s="874"/>
      <c r="L104" s="874"/>
      <c r="M104" s="874"/>
      <c r="N104" s="874"/>
    </row>
    <row r="105" spans="1:14">
      <c r="A105" s="3476"/>
      <c r="B105" s="3476"/>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7"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8"/>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8"/>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8"/>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8"/>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8"/>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9"/>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71" t="s">
        <v>1912</v>
      </c>
      <c r="B113" s="3471"/>
      <c r="C113" s="3471"/>
      <c r="D113" s="3471"/>
      <c r="E113" s="3471"/>
      <c r="F113" s="3471"/>
      <c r="G113" s="3471"/>
      <c r="H113" s="3471"/>
      <c r="I113" s="3471"/>
      <c r="J113" s="3471"/>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85" t="s">
        <v>229</v>
      </c>
      <c r="B20" s="3491" t="s">
        <v>1934</v>
      </c>
      <c r="C20" s="462" t="s">
        <v>244</v>
      </c>
      <c r="D20" s="462"/>
      <c r="E20" s="463">
        <v>1</v>
      </c>
      <c r="F20" s="464" t="s">
        <v>1935</v>
      </c>
      <c r="G20" s="464"/>
    </row>
    <row r="21" spans="1:13" ht="19.5" customHeight="1">
      <c r="A21" s="3486"/>
      <c r="B21" s="3481"/>
      <c r="C21" s="465" t="s">
        <v>259</v>
      </c>
      <c r="D21" s="465"/>
      <c r="E21" s="466">
        <v>1</v>
      </c>
      <c r="F21" s="464" t="s">
        <v>1936</v>
      </c>
      <c r="G21" s="464"/>
    </row>
    <row r="22" spans="1:13" ht="19.5" customHeight="1">
      <c r="A22" s="3486"/>
      <c r="B22" s="3481"/>
      <c r="C22" s="465" t="s">
        <v>270</v>
      </c>
      <c r="D22" s="465"/>
      <c r="E22" s="466">
        <v>0.9</v>
      </c>
      <c r="F22" s="464" t="s">
        <v>1937</v>
      </c>
      <c r="G22" s="464"/>
    </row>
    <row r="23" spans="1:13" ht="19.5" customHeight="1">
      <c r="A23" s="3486"/>
      <c r="B23" s="3481"/>
      <c r="C23" s="465" t="s">
        <v>281</v>
      </c>
      <c r="D23" s="465"/>
      <c r="E23" s="466">
        <v>0.9</v>
      </c>
      <c r="F23" s="464" t="s">
        <v>1938</v>
      </c>
      <c r="G23" s="464"/>
    </row>
    <row r="24" spans="1:13" ht="19.5" customHeight="1">
      <c r="A24" s="3486"/>
      <c r="B24" s="3481"/>
      <c r="C24" s="465" t="s">
        <v>290</v>
      </c>
      <c r="D24" s="465"/>
      <c r="E24" s="466">
        <v>0.8</v>
      </c>
      <c r="F24" s="464" t="s">
        <v>1939</v>
      </c>
      <c r="G24" s="464"/>
    </row>
    <row r="25" spans="1:13" ht="19.5" customHeight="1">
      <c r="A25" s="3486"/>
      <c r="B25" s="3481"/>
      <c r="C25" s="465" t="s">
        <v>298</v>
      </c>
      <c r="D25" s="465"/>
      <c r="E25" s="466">
        <v>0.8</v>
      </c>
      <c r="F25" s="464"/>
      <c r="G25" s="464"/>
    </row>
    <row r="26" spans="1:13" ht="19.5" customHeight="1">
      <c r="A26" s="3486"/>
      <c r="B26" s="3481"/>
      <c r="C26" s="465" t="s">
        <v>306</v>
      </c>
      <c r="D26" s="465"/>
      <c r="E26" s="466">
        <v>0.43</v>
      </c>
      <c r="F26" s="464"/>
      <c r="G26" s="464"/>
    </row>
    <row r="27" spans="1:13" ht="19.5" customHeight="1">
      <c r="A27" s="3487"/>
      <c r="B27" s="3492"/>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8" t="s">
        <v>231</v>
      </c>
      <c r="B29" s="3493" t="s">
        <v>231</v>
      </c>
      <c r="C29" s="474" t="s">
        <v>246</v>
      </c>
      <c r="D29" s="475"/>
      <c r="E29" s="463">
        <v>1</v>
      </c>
      <c r="F29" s="464" t="s">
        <v>1942</v>
      </c>
      <c r="G29" s="464"/>
    </row>
    <row r="30" spans="1:13" ht="19.5" customHeight="1">
      <c r="A30" s="3489"/>
      <c r="B30" s="3484"/>
      <c r="C30" s="476" t="s">
        <v>260</v>
      </c>
      <c r="D30" s="477"/>
      <c r="E30" s="466">
        <v>1</v>
      </c>
      <c r="F30" s="464" t="s">
        <v>1943</v>
      </c>
      <c r="G30" s="464"/>
    </row>
    <row r="31" spans="1:13" ht="19.5" customHeight="1">
      <c r="A31" s="3489"/>
      <c r="B31" s="3484"/>
      <c r="C31" s="476" t="s">
        <v>271</v>
      </c>
      <c r="D31" s="477"/>
      <c r="E31" s="466">
        <v>0.8</v>
      </c>
      <c r="F31" s="464" t="s">
        <v>1944</v>
      </c>
      <c r="G31" s="464"/>
    </row>
    <row r="32" spans="1:13" ht="19.5" customHeight="1">
      <c r="A32" s="3489"/>
      <c r="B32" s="3484"/>
      <c r="C32" s="476" t="s">
        <v>282</v>
      </c>
      <c r="D32" s="477"/>
      <c r="E32" s="466">
        <v>0.8</v>
      </c>
      <c r="F32" s="464" t="s">
        <v>1945</v>
      </c>
      <c r="G32" s="464"/>
    </row>
    <row r="33" spans="1:7" ht="19.5" customHeight="1">
      <c r="A33" s="3489"/>
      <c r="B33" s="3484"/>
      <c r="C33" s="476" t="s">
        <v>291</v>
      </c>
      <c r="D33" s="477"/>
      <c r="E33" s="466">
        <v>0.8</v>
      </c>
      <c r="F33" s="464" t="s">
        <v>1946</v>
      </c>
      <c r="G33" s="464"/>
    </row>
    <row r="34" spans="1:7" ht="19.5" customHeight="1">
      <c r="A34" s="3489"/>
      <c r="B34" s="3484"/>
      <c r="C34" s="476" t="s">
        <v>299</v>
      </c>
      <c r="D34" s="477"/>
      <c r="E34" s="466">
        <v>0.7</v>
      </c>
      <c r="F34" s="464" t="s">
        <v>1947</v>
      </c>
      <c r="G34" s="464"/>
    </row>
    <row r="35" spans="1:7" ht="19.5" customHeight="1">
      <c r="A35" s="3489"/>
      <c r="B35" s="3484"/>
      <c r="C35" s="476" t="s">
        <v>307</v>
      </c>
      <c r="D35" s="477"/>
      <c r="E35" s="466">
        <v>0.8</v>
      </c>
      <c r="F35" s="464" t="s">
        <v>1948</v>
      </c>
      <c r="G35" s="464"/>
    </row>
    <row r="36" spans="1:7" ht="19.5" customHeight="1">
      <c r="A36" s="3489"/>
      <c r="B36" s="3484"/>
      <c r="C36" s="476" t="s">
        <v>314</v>
      </c>
      <c r="D36" s="477"/>
      <c r="E36" s="466">
        <v>0.6</v>
      </c>
      <c r="F36" s="464" t="s">
        <v>1949</v>
      </c>
      <c r="G36" s="464"/>
    </row>
    <row r="37" spans="1:7" ht="19.5" customHeight="1">
      <c r="A37" s="3489"/>
      <c r="B37" s="3484"/>
      <c r="C37" s="476" t="s">
        <v>320</v>
      </c>
      <c r="D37" s="477"/>
      <c r="E37" s="466">
        <v>0.2</v>
      </c>
      <c r="F37" s="464" t="s">
        <v>1950</v>
      </c>
      <c r="G37" s="464"/>
    </row>
    <row r="38" spans="1:7" ht="19.5" customHeight="1">
      <c r="A38" s="3489"/>
      <c r="B38" s="3484"/>
      <c r="C38" s="476" t="s">
        <v>326</v>
      </c>
      <c r="D38" s="477"/>
      <c r="E38" s="466">
        <v>0.2</v>
      </c>
      <c r="F38" s="464" t="s">
        <v>1951</v>
      </c>
      <c r="G38" s="464"/>
    </row>
    <row r="39" spans="1:7" ht="19.5" customHeight="1">
      <c r="A39" s="3489"/>
      <c r="B39" s="3482" t="s">
        <v>1952</v>
      </c>
      <c r="C39" s="476" t="s">
        <v>332</v>
      </c>
      <c r="D39" s="477"/>
      <c r="E39" s="466">
        <v>0.6</v>
      </c>
      <c r="F39" s="464" t="s">
        <v>1953</v>
      </c>
      <c r="G39" s="464"/>
    </row>
    <row r="40" spans="1:7" ht="19.5" customHeight="1">
      <c r="A40" s="3489"/>
      <c r="B40" s="3484"/>
      <c r="C40" s="476" t="s">
        <v>338</v>
      </c>
      <c r="D40" s="477"/>
      <c r="E40" s="466">
        <v>0.6</v>
      </c>
      <c r="F40" s="464" t="s">
        <v>1954</v>
      </c>
      <c r="G40" s="464"/>
    </row>
    <row r="41" spans="1:7" ht="19.5" customHeight="1">
      <c r="A41" s="3490"/>
      <c r="B41" s="3494"/>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85" t="s">
        <v>233</v>
      </c>
      <c r="B43" s="3493" t="s">
        <v>1957</v>
      </c>
      <c r="C43" s="474" t="s">
        <v>248</v>
      </c>
      <c r="D43" s="475"/>
      <c r="E43" s="463">
        <v>1</v>
      </c>
      <c r="F43" s="464" t="s">
        <v>1958</v>
      </c>
      <c r="G43" s="464"/>
    </row>
    <row r="44" spans="1:7" ht="19.5" customHeight="1">
      <c r="A44" s="3486"/>
      <c r="B44" s="3484"/>
      <c r="C44" s="476" t="s">
        <v>261</v>
      </c>
      <c r="D44" s="477"/>
      <c r="E44" s="466">
        <v>1</v>
      </c>
      <c r="F44" s="464" t="s">
        <v>1959</v>
      </c>
      <c r="G44" s="464"/>
    </row>
    <row r="45" spans="1:7" ht="19.5" customHeight="1">
      <c r="A45" s="3486"/>
      <c r="B45" s="3483"/>
      <c r="C45" s="476" t="s">
        <v>272</v>
      </c>
      <c r="D45" s="477"/>
      <c r="E45" s="466">
        <v>1.5</v>
      </c>
      <c r="F45" s="464" t="s">
        <v>1960</v>
      </c>
      <c r="G45" s="464"/>
    </row>
    <row r="46" spans="1:7" ht="19.5" customHeight="1">
      <c r="A46" s="3486"/>
      <c r="B46" s="465" t="s">
        <v>231</v>
      </c>
      <c r="C46" s="476" t="s">
        <v>283</v>
      </c>
      <c r="D46" s="477"/>
      <c r="E46" s="466">
        <v>2</v>
      </c>
      <c r="F46" s="464" t="s">
        <v>1961</v>
      </c>
      <c r="G46" s="464"/>
    </row>
    <row r="47" spans="1:7" ht="19.5" customHeight="1">
      <c r="A47" s="3486"/>
      <c r="B47" s="3482" t="s">
        <v>1962</v>
      </c>
      <c r="C47" s="476" t="s">
        <v>292</v>
      </c>
      <c r="D47" s="477"/>
      <c r="E47" s="466">
        <v>1</v>
      </c>
      <c r="F47" s="464" t="s">
        <v>1963</v>
      </c>
      <c r="G47" s="464"/>
    </row>
    <row r="48" spans="1:7" ht="19.5" customHeight="1">
      <c r="A48" s="3486"/>
      <c r="B48" s="3484"/>
      <c r="C48" s="476" t="s">
        <v>300</v>
      </c>
      <c r="D48" s="477"/>
      <c r="E48" s="466">
        <v>1</v>
      </c>
      <c r="F48" s="464" t="s">
        <v>1964</v>
      </c>
      <c r="G48" s="464"/>
    </row>
    <row r="49" spans="1:7" ht="19.5" customHeight="1">
      <c r="A49" s="3486"/>
      <c r="B49" s="3484"/>
      <c r="C49" s="476" t="s">
        <v>308</v>
      </c>
      <c r="D49" s="477"/>
      <c r="E49" s="466">
        <v>1</v>
      </c>
      <c r="F49" s="464" t="s">
        <v>1965</v>
      </c>
      <c r="G49" s="464"/>
    </row>
    <row r="50" spans="1:7" ht="19.5" customHeight="1">
      <c r="A50" s="3486"/>
      <c r="B50" s="3484"/>
      <c r="C50" s="476" t="s">
        <v>315</v>
      </c>
      <c r="D50" s="477"/>
      <c r="E50" s="466">
        <v>1</v>
      </c>
      <c r="F50" s="464" t="s">
        <v>1966</v>
      </c>
      <c r="G50" s="464"/>
    </row>
    <row r="51" spans="1:7" ht="19.5" customHeight="1">
      <c r="A51" s="3486"/>
      <c r="B51" s="3484"/>
      <c r="C51" s="476" t="s">
        <v>321</v>
      </c>
      <c r="D51" s="477"/>
      <c r="E51" s="466">
        <v>1</v>
      </c>
      <c r="F51" s="464" t="s">
        <v>1967</v>
      </c>
      <c r="G51" s="464"/>
    </row>
    <row r="52" spans="1:7" ht="19.5" customHeight="1">
      <c r="A52" s="3486"/>
      <c r="B52" s="3484"/>
      <c r="C52" s="476" t="s">
        <v>327</v>
      </c>
      <c r="D52" s="477"/>
      <c r="E52" s="466">
        <v>1</v>
      </c>
      <c r="F52" s="464" t="s">
        <v>1968</v>
      </c>
      <c r="G52" s="464"/>
    </row>
    <row r="53" spans="1:7" ht="19.5" customHeight="1">
      <c r="A53" s="3487"/>
      <c r="B53" s="3494"/>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82" t="s">
        <v>1980</v>
      </c>
      <c r="C75" s="454" t="s">
        <v>1981</v>
      </c>
      <c r="D75" s="454" t="s">
        <v>1982</v>
      </c>
      <c r="E75" s="465">
        <v>0.2</v>
      </c>
      <c r="F75" s="465">
        <v>25</v>
      </c>
    </row>
    <row r="76" spans="1:7" ht="24">
      <c r="A76" s="465">
        <v>2</v>
      </c>
      <c r="B76" s="3484"/>
      <c r="C76" s="454" t="s">
        <v>1983</v>
      </c>
      <c r="D76" s="454" t="s">
        <v>1984</v>
      </c>
      <c r="E76" s="465">
        <v>0.2</v>
      </c>
      <c r="F76" s="465">
        <v>25</v>
      </c>
    </row>
    <row r="77" spans="1:7" ht="24">
      <c r="A77" s="465">
        <v>3</v>
      </c>
      <c r="B77" s="3484"/>
      <c r="C77" s="454" t="s">
        <v>1985</v>
      </c>
      <c r="D77" s="454" t="s">
        <v>1986</v>
      </c>
      <c r="E77" s="465">
        <v>0.2</v>
      </c>
      <c r="F77" s="465">
        <v>25</v>
      </c>
    </row>
    <row r="78" spans="1:7" ht="13.5">
      <c r="A78" s="465">
        <v>4</v>
      </c>
      <c r="B78" s="3484"/>
      <c r="C78" s="454" t="s">
        <v>1987</v>
      </c>
      <c r="D78" s="454" t="s">
        <v>1988</v>
      </c>
      <c r="E78" s="465">
        <v>0.15</v>
      </c>
      <c r="F78" s="465">
        <v>20</v>
      </c>
    </row>
    <row r="79" spans="1:7" ht="24">
      <c r="A79" s="465">
        <v>5</v>
      </c>
      <c r="B79" s="3484"/>
      <c r="C79" s="454" t="s">
        <v>1989</v>
      </c>
      <c r="D79" s="454" t="s">
        <v>1990</v>
      </c>
      <c r="E79" s="465">
        <v>0.15</v>
      </c>
      <c r="F79" s="465">
        <v>20</v>
      </c>
    </row>
    <row r="80" spans="1:7" ht="24">
      <c r="A80" s="465">
        <v>6</v>
      </c>
      <c r="B80" s="3484"/>
      <c r="C80" s="454" t="s">
        <v>1991</v>
      </c>
      <c r="D80" s="454" t="s">
        <v>1992</v>
      </c>
      <c r="E80" s="465">
        <v>0.15</v>
      </c>
      <c r="F80" s="465">
        <v>20</v>
      </c>
    </row>
    <row r="81" spans="1:6" ht="24">
      <c r="A81" s="465">
        <v>7</v>
      </c>
      <c r="B81" s="3484"/>
      <c r="C81" s="454" t="s">
        <v>1993</v>
      </c>
      <c r="D81" s="454" t="s">
        <v>1994</v>
      </c>
      <c r="E81" s="465">
        <v>0.15</v>
      </c>
      <c r="F81" s="465">
        <v>20</v>
      </c>
    </row>
    <row r="82" spans="1:6" ht="24">
      <c r="A82" s="465">
        <v>8</v>
      </c>
      <c r="B82" s="3484"/>
      <c r="C82" s="454" t="s">
        <v>1995</v>
      </c>
      <c r="D82" s="454" t="s">
        <v>1996</v>
      </c>
      <c r="E82" s="465">
        <v>0.1</v>
      </c>
      <c r="F82" s="465">
        <v>15</v>
      </c>
    </row>
    <row r="83" spans="1:6" ht="24">
      <c r="A83" s="465">
        <v>9</v>
      </c>
      <c r="B83" s="3484"/>
      <c r="C83" s="454" t="s">
        <v>1997</v>
      </c>
      <c r="D83" s="454" t="s">
        <v>1998</v>
      </c>
      <c r="E83" s="465">
        <v>0.1</v>
      </c>
      <c r="F83" s="465">
        <v>15</v>
      </c>
    </row>
    <row r="84" spans="1:6" ht="24">
      <c r="A84" s="465">
        <v>10</v>
      </c>
      <c r="B84" s="3484"/>
      <c r="C84" s="454" t="s">
        <v>1999</v>
      </c>
      <c r="D84" s="454" t="s">
        <v>2000</v>
      </c>
      <c r="E84" s="465">
        <v>0.1</v>
      </c>
      <c r="F84" s="465">
        <v>15</v>
      </c>
    </row>
    <row r="85" spans="1:6" ht="24">
      <c r="A85" s="465">
        <v>11</v>
      </c>
      <c r="B85" s="3484"/>
      <c r="C85" s="454" t="s">
        <v>2001</v>
      </c>
      <c r="D85" s="454" t="s">
        <v>2002</v>
      </c>
      <c r="E85" s="465">
        <v>0.1</v>
      </c>
      <c r="F85" s="465">
        <v>15</v>
      </c>
    </row>
    <row r="86" spans="1:6" ht="24">
      <c r="A86" s="465">
        <v>12</v>
      </c>
      <c r="B86" s="3484"/>
      <c r="C86" s="454" t="s">
        <v>2003</v>
      </c>
      <c r="D86" s="454" t="s">
        <v>2004</v>
      </c>
      <c r="E86" s="465">
        <v>0.1</v>
      </c>
      <c r="F86" s="465">
        <v>15</v>
      </c>
    </row>
    <row r="87" spans="1:6" ht="13.5">
      <c r="A87" s="465">
        <v>13</v>
      </c>
      <c r="B87" s="3484"/>
      <c r="C87" s="454" t="s">
        <v>2005</v>
      </c>
      <c r="D87" s="454" t="s">
        <v>2006</v>
      </c>
      <c r="E87" s="465">
        <v>0.1</v>
      </c>
      <c r="F87" s="465">
        <v>15</v>
      </c>
    </row>
    <row r="88" spans="1:6" ht="13.5">
      <c r="A88" s="465">
        <v>14</v>
      </c>
      <c r="B88" s="3484"/>
      <c r="C88" s="454" t="s">
        <v>2007</v>
      </c>
      <c r="D88" s="454" t="s">
        <v>2008</v>
      </c>
      <c r="E88" s="465">
        <v>0.1</v>
      </c>
      <c r="F88" s="465">
        <v>15</v>
      </c>
    </row>
    <row r="89" spans="1:6" ht="13.5">
      <c r="A89" s="465">
        <v>15</v>
      </c>
      <c r="B89" s="3484"/>
      <c r="C89" s="454" t="s">
        <v>2009</v>
      </c>
      <c r="D89" s="454" t="s">
        <v>2010</v>
      </c>
      <c r="E89" s="465">
        <v>0.1</v>
      </c>
      <c r="F89" s="465">
        <v>15</v>
      </c>
    </row>
    <row r="90" spans="1:6" ht="24">
      <c r="A90" s="465">
        <v>16</v>
      </c>
      <c r="B90" s="3484"/>
      <c r="C90" s="454" t="s">
        <v>2011</v>
      </c>
      <c r="D90" s="454" t="s">
        <v>2012</v>
      </c>
      <c r="E90" s="465">
        <v>0.1</v>
      </c>
      <c r="F90" s="465">
        <v>15</v>
      </c>
    </row>
    <row r="91" spans="1:6" ht="24">
      <c r="A91" s="465">
        <v>17</v>
      </c>
      <c r="B91" s="3483"/>
      <c r="C91" s="454" t="s">
        <v>2013</v>
      </c>
      <c r="D91" s="454" t="s">
        <v>2014</v>
      </c>
      <c r="E91" s="465">
        <v>0.1</v>
      </c>
      <c r="F91" s="465">
        <v>15</v>
      </c>
    </row>
    <row r="92" spans="1:6" ht="13.5">
      <c r="A92" s="465">
        <v>18</v>
      </c>
      <c r="B92" s="3482" t="s">
        <v>2015</v>
      </c>
      <c r="C92" s="454" t="s">
        <v>2016</v>
      </c>
      <c r="D92" s="454" t="s">
        <v>2017</v>
      </c>
      <c r="E92" s="465">
        <v>0.2</v>
      </c>
      <c r="F92" s="465">
        <v>25</v>
      </c>
    </row>
    <row r="93" spans="1:6" ht="24">
      <c r="A93" s="465">
        <v>19</v>
      </c>
      <c r="B93" s="3484"/>
      <c r="C93" s="454" t="s">
        <v>2018</v>
      </c>
      <c r="D93" s="454" t="s">
        <v>2019</v>
      </c>
      <c r="E93" s="465">
        <v>0.2</v>
      </c>
      <c r="F93" s="465">
        <v>25</v>
      </c>
    </row>
    <row r="94" spans="1:6" ht="13.5">
      <c r="A94" s="465">
        <v>20</v>
      </c>
      <c r="B94" s="3484"/>
      <c r="C94" s="454" t="s">
        <v>2020</v>
      </c>
      <c r="D94" s="454" t="s">
        <v>2021</v>
      </c>
      <c r="E94" s="465">
        <v>0.15</v>
      </c>
      <c r="F94" s="465">
        <v>20</v>
      </c>
    </row>
    <row r="95" spans="1:6" ht="13.5">
      <c r="A95" s="465">
        <v>21</v>
      </c>
      <c r="B95" s="3484"/>
      <c r="C95" s="454" t="s">
        <v>2022</v>
      </c>
      <c r="D95" s="454" t="s">
        <v>2023</v>
      </c>
      <c r="E95" s="465">
        <v>0.15</v>
      </c>
      <c r="F95" s="465">
        <v>20</v>
      </c>
    </row>
    <row r="96" spans="1:6" ht="13.5">
      <c r="A96" s="465">
        <v>22</v>
      </c>
      <c r="B96" s="3484"/>
      <c r="C96" s="454" t="s">
        <v>2024</v>
      </c>
      <c r="D96" s="454" t="s">
        <v>2025</v>
      </c>
      <c r="E96" s="465">
        <v>0.15</v>
      </c>
      <c r="F96" s="465">
        <v>20</v>
      </c>
    </row>
    <row r="97" spans="1:6" ht="36">
      <c r="A97" s="465">
        <v>23</v>
      </c>
      <c r="B97" s="3484"/>
      <c r="C97" s="454" t="s">
        <v>2026</v>
      </c>
      <c r="D97" s="454" t="s">
        <v>2027</v>
      </c>
      <c r="E97" s="465">
        <v>0.15</v>
      </c>
      <c r="F97" s="465">
        <v>20</v>
      </c>
    </row>
    <row r="98" spans="1:6" ht="13.5">
      <c r="A98" s="465">
        <v>24</v>
      </c>
      <c r="B98" s="3484"/>
      <c r="C98" s="454" t="s">
        <v>2028</v>
      </c>
      <c r="D98" s="454" t="s">
        <v>2029</v>
      </c>
      <c r="E98" s="465">
        <v>0.1</v>
      </c>
      <c r="F98" s="465">
        <v>15</v>
      </c>
    </row>
    <row r="99" spans="1:6" ht="13.5">
      <c r="A99" s="465">
        <v>25</v>
      </c>
      <c r="B99" s="3484"/>
      <c r="C99" s="454" t="s">
        <v>2030</v>
      </c>
      <c r="D99" s="454" t="s">
        <v>2031</v>
      </c>
      <c r="E99" s="465">
        <v>0.1</v>
      </c>
      <c r="F99" s="465">
        <v>15</v>
      </c>
    </row>
    <row r="100" spans="1:6" ht="24">
      <c r="A100" s="465">
        <v>26</v>
      </c>
      <c r="B100" s="3484"/>
      <c r="C100" s="454" t="s">
        <v>2032</v>
      </c>
      <c r="D100" s="454" t="s">
        <v>2033</v>
      </c>
      <c r="E100" s="465">
        <v>0.1</v>
      </c>
      <c r="F100" s="465">
        <v>15</v>
      </c>
    </row>
    <row r="101" spans="1:6" ht="24">
      <c r="A101" s="465">
        <v>27</v>
      </c>
      <c r="B101" s="3484"/>
      <c r="C101" s="454" t="s">
        <v>2034</v>
      </c>
      <c r="D101" s="454" t="s">
        <v>2035</v>
      </c>
      <c r="E101" s="465">
        <v>0.1</v>
      </c>
      <c r="F101" s="465">
        <v>15</v>
      </c>
    </row>
    <row r="102" spans="1:6" ht="13.5">
      <c r="A102" s="465">
        <v>28</v>
      </c>
      <c r="B102" s="3484"/>
      <c r="C102" s="454" t="s">
        <v>2036</v>
      </c>
      <c r="D102" s="454" t="s">
        <v>2037</v>
      </c>
      <c r="E102" s="465">
        <v>0.1</v>
      </c>
      <c r="F102" s="465">
        <v>15</v>
      </c>
    </row>
    <row r="103" spans="1:6" ht="13.5">
      <c r="A103" s="465">
        <v>29</v>
      </c>
      <c r="B103" s="3484"/>
      <c r="C103" s="454" t="s">
        <v>2038</v>
      </c>
      <c r="D103" s="454" t="s">
        <v>2039</v>
      </c>
      <c r="E103" s="465">
        <v>0.1</v>
      </c>
      <c r="F103" s="465">
        <v>15</v>
      </c>
    </row>
    <row r="104" spans="1:6" ht="13.5">
      <c r="A104" s="465">
        <v>30</v>
      </c>
      <c r="B104" s="3484"/>
      <c r="C104" s="454" t="s">
        <v>2040</v>
      </c>
      <c r="D104" s="454" t="s">
        <v>2041</v>
      </c>
      <c r="E104" s="465">
        <v>0.1</v>
      </c>
      <c r="F104" s="465">
        <v>15</v>
      </c>
    </row>
    <row r="105" spans="1:6" ht="24">
      <c r="A105" s="465">
        <v>31</v>
      </c>
      <c r="B105" s="3484"/>
      <c r="C105" s="454" t="s">
        <v>2042</v>
      </c>
      <c r="D105" s="454" t="s">
        <v>2043</v>
      </c>
      <c r="E105" s="465">
        <v>0.1</v>
      </c>
      <c r="F105" s="465">
        <v>15</v>
      </c>
    </row>
    <row r="106" spans="1:6" ht="24">
      <c r="A106" s="465">
        <v>32</v>
      </c>
      <c r="B106" s="3484"/>
      <c r="C106" s="454" t="s">
        <v>2044</v>
      </c>
      <c r="D106" s="454" t="s">
        <v>2045</v>
      </c>
      <c r="E106" s="465">
        <v>0.1</v>
      </c>
      <c r="F106" s="465">
        <v>15</v>
      </c>
    </row>
    <row r="107" spans="1:6" ht="24">
      <c r="A107" s="465">
        <v>33</v>
      </c>
      <c r="B107" s="3484"/>
      <c r="C107" s="454" t="s">
        <v>2046</v>
      </c>
      <c r="D107" s="454" t="s">
        <v>2047</v>
      </c>
      <c r="E107" s="465">
        <v>0.1</v>
      </c>
      <c r="F107" s="465">
        <v>15</v>
      </c>
    </row>
    <row r="108" spans="1:6" ht="24">
      <c r="A108" s="465">
        <v>34</v>
      </c>
      <c r="B108" s="3483"/>
      <c r="C108" s="454" t="s">
        <v>2048</v>
      </c>
      <c r="D108" s="454" t="s">
        <v>2049</v>
      </c>
      <c r="E108" s="465">
        <v>0.1</v>
      </c>
      <c r="F108" s="465">
        <v>15</v>
      </c>
    </row>
    <row r="109" spans="1:6" ht="24">
      <c r="A109" s="465">
        <v>35</v>
      </c>
      <c r="B109" s="3482" t="s">
        <v>2050</v>
      </c>
      <c r="C109" s="465" t="s">
        <v>2051</v>
      </c>
      <c r="D109" s="454" t="s">
        <v>2052</v>
      </c>
      <c r="E109" s="465">
        <v>0.15</v>
      </c>
      <c r="F109" s="465">
        <v>20</v>
      </c>
    </row>
    <row r="110" spans="1:6" ht="13.5">
      <c r="A110" s="465">
        <v>36</v>
      </c>
      <c r="B110" s="3484"/>
      <c r="C110" s="465" t="s">
        <v>2053</v>
      </c>
      <c r="D110" s="454" t="s">
        <v>2054</v>
      </c>
      <c r="E110" s="465">
        <v>0.15</v>
      </c>
      <c r="F110" s="465">
        <v>20</v>
      </c>
    </row>
    <row r="111" spans="1:6" ht="13.5">
      <c r="A111" s="465">
        <v>37</v>
      </c>
      <c r="B111" s="3484"/>
      <c r="C111" s="465" t="s">
        <v>2055</v>
      </c>
      <c r="D111" s="454" t="s">
        <v>2056</v>
      </c>
      <c r="E111" s="465">
        <v>0.15</v>
      </c>
      <c r="F111" s="465">
        <v>20</v>
      </c>
    </row>
    <row r="112" spans="1:6" ht="13.5">
      <c r="A112" s="465">
        <v>38</v>
      </c>
      <c r="B112" s="3484"/>
      <c r="C112" s="465" t="s">
        <v>2057</v>
      </c>
      <c r="D112" s="454" t="s">
        <v>2058</v>
      </c>
      <c r="E112" s="465">
        <v>0.1</v>
      </c>
      <c r="F112" s="465">
        <v>15</v>
      </c>
    </row>
    <row r="113" spans="1:6" ht="24">
      <c r="A113" s="465">
        <v>39</v>
      </c>
      <c r="B113" s="3484"/>
      <c r="C113" s="465" t="s">
        <v>2059</v>
      </c>
      <c r="D113" s="454" t="s">
        <v>2060</v>
      </c>
      <c r="E113" s="465">
        <v>0.1</v>
      </c>
      <c r="F113" s="465">
        <v>15</v>
      </c>
    </row>
    <row r="114" spans="1:6" ht="24">
      <c r="A114" s="465">
        <v>40</v>
      </c>
      <c r="B114" s="3483"/>
      <c r="C114" s="465" t="s">
        <v>2061</v>
      </c>
      <c r="D114" s="454" t="s">
        <v>2062</v>
      </c>
      <c r="E114" s="465">
        <v>0.1</v>
      </c>
      <c r="F114" s="465">
        <v>15</v>
      </c>
    </row>
    <row r="115" spans="1:6" ht="13.5">
      <c r="A115" s="465">
        <v>41</v>
      </c>
      <c r="B115" s="3481" t="s">
        <v>2063</v>
      </c>
      <c r="C115" s="465" t="s">
        <v>2064</v>
      </c>
      <c r="D115" s="454" t="s">
        <v>2065</v>
      </c>
      <c r="E115" s="465">
        <v>0.1</v>
      </c>
      <c r="F115" s="465">
        <v>15</v>
      </c>
    </row>
    <row r="116" spans="1:6" ht="13.5">
      <c r="A116" s="465">
        <v>42</v>
      </c>
      <c r="B116" s="3481"/>
      <c r="C116" s="465" t="s">
        <v>2066</v>
      </c>
      <c r="D116" s="454" t="s">
        <v>2067</v>
      </c>
      <c r="E116" s="465">
        <v>0.1</v>
      </c>
      <c r="F116" s="465">
        <v>15</v>
      </c>
    </row>
    <row r="117" spans="1:6" ht="24">
      <c r="A117" s="465">
        <v>43</v>
      </c>
      <c r="B117" s="3481"/>
      <c r="C117" s="465" t="s">
        <v>2068</v>
      </c>
      <c r="D117" s="454" t="s">
        <v>2069</v>
      </c>
      <c r="E117" s="465">
        <v>0.1</v>
      </c>
      <c r="F117" s="465">
        <v>15</v>
      </c>
    </row>
    <row r="118" spans="1:6" ht="13.5">
      <c r="A118" s="465">
        <v>44</v>
      </c>
      <c r="B118" s="3482" t="s">
        <v>2070</v>
      </c>
      <c r="C118" s="465" t="s">
        <v>2071</v>
      </c>
      <c r="D118" s="454" t="s">
        <v>2072</v>
      </c>
      <c r="E118" s="465">
        <v>0.1</v>
      </c>
      <c r="F118" s="465">
        <v>15</v>
      </c>
    </row>
    <row r="119" spans="1:6" ht="24">
      <c r="A119" s="465">
        <v>45</v>
      </c>
      <c r="B119" s="3483"/>
      <c r="C119" s="454" t="s">
        <v>2073</v>
      </c>
      <c r="D119" s="454" t="s">
        <v>2074</v>
      </c>
      <c r="E119" s="465">
        <v>0.1</v>
      </c>
      <c r="F119" s="465">
        <v>15</v>
      </c>
    </row>
    <row r="120" spans="1:6" ht="24">
      <c r="A120" s="465">
        <v>46</v>
      </c>
      <c r="B120" s="3482" t="s">
        <v>2075</v>
      </c>
      <c r="C120" s="465" t="s">
        <v>2076</v>
      </c>
      <c r="D120" s="454" t="s">
        <v>2077</v>
      </c>
      <c r="E120" s="465">
        <v>0.1</v>
      </c>
      <c r="F120" s="465">
        <v>15</v>
      </c>
    </row>
    <row r="121" spans="1:6" ht="24">
      <c r="A121" s="465">
        <v>47</v>
      </c>
      <c r="B121" s="3483"/>
      <c r="C121" s="465" t="s">
        <v>2078</v>
      </c>
      <c r="D121" s="454" t="s">
        <v>2079</v>
      </c>
      <c r="E121" s="465">
        <v>0.1</v>
      </c>
      <c r="F121" s="465">
        <v>15</v>
      </c>
    </row>
    <row r="122" spans="1:6" ht="13.5">
      <c r="A122" s="465">
        <v>48</v>
      </c>
      <c r="B122" s="3482" t="s">
        <v>2080</v>
      </c>
      <c r="C122" s="465" t="s">
        <v>2081</v>
      </c>
      <c r="D122" s="454" t="s">
        <v>2082</v>
      </c>
      <c r="E122" s="465">
        <v>0.1</v>
      </c>
      <c r="F122" s="465">
        <v>15</v>
      </c>
    </row>
    <row r="123" spans="1:6" ht="13.5">
      <c r="A123" s="465">
        <v>49</v>
      </c>
      <c r="B123" s="3483"/>
      <c r="C123" s="465" t="s">
        <v>2083</v>
      </c>
      <c r="D123" s="454" t="s">
        <v>2084</v>
      </c>
      <c r="E123" s="465">
        <v>0.1</v>
      </c>
      <c r="F123" s="465">
        <v>15</v>
      </c>
    </row>
    <row r="124" spans="1:6" ht="24">
      <c r="A124" s="465">
        <v>50</v>
      </c>
      <c r="B124" s="3481" t="s">
        <v>2085</v>
      </c>
      <c r="C124" s="465" t="s">
        <v>2086</v>
      </c>
      <c r="D124" s="454" t="s">
        <v>2087</v>
      </c>
      <c r="E124" s="465">
        <v>0.1</v>
      </c>
      <c r="F124" s="465">
        <v>15</v>
      </c>
    </row>
    <row r="125" spans="1:6" ht="24">
      <c r="A125" s="465">
        <v>51</v>
      </c>
      <c r="B125" s="3481"/>
      <c r="C125" s="465" t="s">
        <v>2088</v>
      </c>
      <c r="D125" s="454" t="s">
        <v>2089</v>
      </c>
      <c r="E125" s="465">
        <v>0.1</v>
      </c>
      <c r="F125" s="465">
        <v>15</v>
      </c>
    </row>
    <row r="126" spans="1:6" ht="24">
      <c r="A126" s="465">
        <v>52</v>
      </c>
      <c r="B126" s="3481" t="s">
        <v>2090</v>
      </c>
      <c r="C126" s="465" t="s">
        <v>2091</v>
      </c>
      <c r="D126" s="454" t="s">
        <v>2092</v>
      </c>
      <c r="E126" s="465">
        <v>0.1</v>
      </c>
      <c r="F126" s="465">
        <v>15</v>
      </c>
    </row>
    <row r="127" spans="1:6" ht="24">
      <c r="A127" s="465">
        <v>53</v>
      </c>
      <c r="B127" s="3481"/>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1" t="s">
        <v>2098</v>
      </c>
      <c r="C129" s="465" t="s">
        <v>2099</v>
      </c>
      <c r="D129" s="454" t="s">
        <v>2100</v>
      </c>
      <c r="E129" s="465">
        <v>0.1</v>
      </c>
      <c r="F129" s="465">
        <v>15</v>
      </c>
    </row>
    <row r="130" spans="1:6" ht="13.5">
      <c r="A130" s="465">
        <v>56</v>
      </c>
      <c r="B130" s="3481"/>
      <c r="C130" s="465" t="s">
        <v>2101</v>
      </c>
      <c r="D130" s="454" t="s">
        <v>2102</v>
      </c>
      <c r="E130" s="465">
        <v>0.1</v>
      </c>
      <c r="F130" s="465">
        <v>15</v>
      </c>
    </row>
    <row r="131" spans="1:6" ht="24">
      <c r="A131" s="465">
        <v>57</v>
      </c>
      <c r="B131" s="3481"/>
      <c r="C131" s="465" t="s">
        <v>2103</v>
      </c>
      <c r="D131" s="454" t="s">
        <v>2104</v>
      </c>
      <c r="E131" s="465">
        <v>0.1</v>
      </c>
      <c r="F131" s="465">
        <v>15</v>
      </c>
    </row>
    <row r="132" spans="1:6" ht="24">
      <c r="A132" s="465">
        <v>58</v>
      </c>
      <c r="B132" s="3481" t="s">
        <v>2105</v>
      </c>
      <c r="C132" s="465" t="s">
        <v>2106</v>
      </c>
      <c r="D132" s="454" t="s">
        <v>2107</v>
      </c>
      <c r="E132" s="465">
        <v>0.1</v>
      </c>
      <c r="F132" s="465">
        <v>15</v>
      </c>
    </row>
    <row r="133" spans="1:6" ht="13.5">
      <c r="A133" s="465">
        <v>59</v>
      </c>
      <c r="B133" s="3481"/>
      <c r="C133" s="465" t="s">
        <v>2108</v>
      </c>
      <c r="D133" s="454" t="s">
        <v>2109</v>
      </c>
      <c r="E133" s="465">
        <v>0.1</v>
      </c>
      <c r="F133" s="465">
        <v>15</v>
      </c>
    </row>
    <row r="134" spans="1:6" ht="13.5">
      <c r="A134" s="465">
        <v>60</v>
      </c>
      <c r="B134" s="3482" t="s">
        <v>2110</v>
      </c>
      <c r="C134" s="465" t="s">
        <v>2111</v>
      </c>
      <c r="D134" s="454" t="s">
        <v>2112</v>
      </c>
      <c r="E134" s="465">
        <v>0.1</v>
      </c>
      <c r="F134" s="465">
        <v>15</v>
      </c>
    </row>
    <row r="135" spans="1:6" ht="13.5">
      <c r="A135" s="465">
        <v>61</v>
      </c>
      <c r="B135" s="3483"/>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1" t="s">
        <v>2118</v>
      </c>
      <c r="C137" s="465" t="s">
        <v>2119</v>
      </c>
      <c r="D137" s="454" t="s">
        <v>2120</v>
      </c>
      <c r="E137" s="465">
        <v>0.1</v>
      </c>
      <c r="F137" s="465">
        <v>15</v>
      </c>
    </row>
    <row r="138" spans="1:6" ht="13.5">
      <c r="A138" s="465">
        <v>64</v>
      </c>
      <c r="B138" s="3481"/>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27949</v>
      </c>
      <c r="C2" s="345" t="s">
        <v>1470</v>
      </c>
      <c r="D2" s="342"/>
      <c r="E2" s="342"/>
      <c r="F2" s="342"/>
      <c r="G2" s="342"/>
    </row>
    <row r="3" spans="1:7" s="331" customFormat="1" ht="18" customHeight="1">
      <c r="A3" s="346" t="s">
        <v>2140</v>
      </c>
      <c r="B3" s="347">
        <f ca="1">ROUND(B2*10000/'数据-汇总表'!E3,0)</f>
        <v>1764123</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3</v>
      </c>
      <c r="D10" s="369">
        <f>'数据-汇总表'!E6</f>
        <v>158.43</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3</v>
      </c>
      <c r="D19" s="354">
        <f>'数据-汇总表'!E3</f>
        <v>158.43</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5.5000000000000007E-2</v>
      </c>
      <c r="D30" s="380" t="s">
        <v>2182</v>
      </c>
      <c r="E30" s="389"/>
      <c r="F30" s="383">
        <f>'数据-取费表'!B41</f>
        <v>5.5000000000000007E-2</v>
      </c>
      <c r="G30" s="381" t="s">
        <v>2183</v>
      </c>
    </row>
    <row r="31" spans="1:7" ht="16.5" customHeight="1">
      <c r="A31" s="398">
        <v>1</v>
      </c>
      <c r="B31" s="352" t="s">
        <v>2184</v>
      </c>
      <c r="C31" s="353">
        <f ca="1">ROUND((C5+C19+C20+C22+C27)/(1-C21-D22-D27-C30/(1+'数据-取费表'!B42)),0)</f>
        <v>27862</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79</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71</v>
      </c>
      <c r="D34" s="359"/>
      <c r="E34" s="362"/>
      <c r="F34" s="405">
        <f>IF('数据-取费表'!B24=0,1,'数据-取费表'!N16)</f>
        <v>1</v>
      </c>
      <c r="G34" s="361" t="s">
        <v>2189</v>
      </c>
    </row>
    <row r="35" spans="1:7" ht="13.5" customHeight="1">
      <c r="A35" s="384" t="s">
        <v>1040</v>
      </c>
      <c r="B35" s="357" t="s">
        <v>2190</v>
      </c>
      <c r="C35" s="362">
        <f>ROUND(C34*F35,0)</f>
        <v>4</v>
      </c>
      <c r="D35" s="362"/>
      <c r="E35" s="362"/>
      <c r="F35" s="406">
        <f>'数据-取费表'!B33</f>
        <v>0.06</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3</v>
      </c>
      <c r="D37" s="359">
        <f>'数据-汇总表'!E3</f>
        <v>158.43</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2</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v>
      </c>
      <c r="D42" s="386"/>
      <c r="E42" s="386"/>
      <c r="F42" s="387"/>
      <c r="G42" s="3357" t="s">
        <v>2199</v>
      </c>
    </row>
    <row r="43" spans="1:7" ht="13.5" customHeight="1">
      <c r="A43" s="384" t="s">
        <v>1040</v>
      </c>
      <c r="B43" s="357" t="s">
        <v>2171</v>
      </c>
      <c r="C43" s="386">
        <f ca="1">ROUND(IF('数据-取费表'!B22&lt;=1,C39*F22*'数据-取费表'!B21/2,C39*(POWER((1+F22),'数据-取费表'!B21/2)-1)),0)</f>
        <v>0</v>
      </c>
      <c r="D43" s="386"/>
      <c r="E43" s="386"/>
      <c r="F43" s="387"/>
      <c r="G43" s="3358"/>
    </row>
    <row r="44" spans="1:7" ht="13.5" customHeight="1">
      <c r="A44" s="384" t="s">
        <v>1042</v>
      </c>
      <c r="B44" s="357" t="s">
        <v>2173</v>
      </c>
      <c r="C44" s="386">
        <f ca="1">ROUND(IF('数据-取费表'!B22&lt;=1,C40*F22*'数据-取费表'!B21/2,C40*(POWER((1+F22),'数据-取费表'!B21/2)-1)),4)</f>
        <v>5.9999999999999995E-4</v>
      </c>
      <c r="D44" s="386"/>
      <c r="E44" s="386"/>
      <c r="F44" s="387"/>
      <c r="G44" s="3359"/>
    </row>
    <row r="45" spans="1:7" s="333" customFormat="1" ht="13.5" customHeight="1">
      <c r="A45" s="374" t="s">
        <v>1801</v>
      </c>
      <c r="B45" s="392" t="s">
        <v>2176</v>
      </c>
      <c r="C45" s="393">
        <f>C46</f>
        <v>12</v>
      </c>
      <c r="D45" s="379">
        <f>C47</f>
        <v>3.0000000000000001E-3</v>
      </c>
      <c r="E45" s="380" t="s">
        <v>2197</v>
      </c>
      <c r="F45" s="394"/>
      <c r="G45" s="395" t="s">
        <v>2200</v>
      </c>
    </row>
    <row r="46" spans="1:7" s="333" customFormat="1" ht="13.5" customHeight="1">
      <c r="A46" s="384" t="s">
        <v>1038</v>
      </c>
      <c r="B46" s="396" t="s">
        <v>2201</v>
      </c>
      <c r="C46" s="397">
        <f>ROUND((C33+C39)*F27,0)</f>
        <v>12</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5.5000000000000007E-2</v>
      </c>
      <c r="D48" s="380" t="s">
        <v>2203</v>
      </c>
      <c r="E48" s="376"/>
      <c r="F48" s="383"/>
      <c r="G48" s="381" t="s">
        <v>2204</v>
      </c>
    </row>
    <row r="49" spans="1:7" ht="16.5" customHeight="1">
      <c r="A49" s="374" t="s">
        <v>2180</v>
      </c>
      <c r="B49" s="352" t="s">
        <v>2205</v>
      </c>
      <c r="C49" s="376">
        <f ca="1">ROUND((C33+C39+C41+C45)/(1-C40-D41-D45-C48/(1+'数据-取费表'!B42)),0)</f>
        <v>103</v>
      </c>
      <c r="D49" s="376"/>
      <c r="E49" s="376"/>
      <c r="F49" s="411"/>
      <c r="G49" s="381" t="s">
        <v>2206</v>
      </c>
    </row>
    <row r="50" spans="1:7" s="335" customFormat="1" ht="24">
      <c r="A50" s="374" t="s">
        <v>2207</v>
      </c>
      <c r="B50" s="352" t="s">
        <v>2208</v>
      </c>
      <c r="C50" s="376"/>
      <c r="D50" s="376"/>
      <c r="E50" s="376"/>
      <c r="F50" s="411">
        <f>IF('数据-取费表'!B24=0,'数据-取费表'!N16,1)</f>
        <v>0.84</v>
      </c>
      <c r="G50" s="395" t="s">
        <v>2209</v>
      </c>
    </row>
    <row r="51" spans="1:7" ht="16.5" customHeight="1">
      <c r="A51" s="374" t="s">
        <v>2210</v>
      </c>
      <c r="B51" s="352" t="s">
        <v>2211</v>
      </c>
      <c r="C51" s="376">
        <f ca="1">ROUND(C49*F50,0)</f>
        <v>87</v>
      </c>
      <c r="D51" s="376"/>
      <c r="E51" s="376"/>
      <c r="F51" s="411"/>
      <c r="G51" s="381" t="s">
        <v>2212</v>
      </c>
    </row>
    <row r="52" spans="1:7" s="332" customFormat="1" ht="15.75">
      <c r="A52" s="412" t="s">
        <v>2213</v>
      </c>
      <c r="B52" s="413"/>
      <c r="C52" s="414">
        <f ca="1">C31+C51</f>
        <v>27949</v>
      </c>
      <c r="D52" s="413"/>
      <c r="E52" s="413"/>
      <c r="F52" s="413"/>
      <c r="G52" s="415"/>
    </row>
    <row r="55" spans="1:7" ht="15">
      <c r="B55" s="416" t="s">
        <v>2214</v>
      </c>
      <c r="C55" s="417"/>
    </row>
    <row r="56" spans="1:7">
      <c r="B56" s="418" t="s">
        <v>2215</v>
      </c>
      <c r="C56" s="419">
        <f ca="1">ROUND(C51/C52,3)</f>
        <v>3.0000000000000001E-3</v>
      </c>
    </row>
    <row r="57" spans="1:7">
      <c r="B57" s="418" t="s">
        <v>2216</v>
      </c>
      <c r="C57" s="420">
        <f ca="1">1-C56</f>
        <v>0.997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75">
      <c r="A4" s="3118"/>
      <c r="B4" s="3185" t="s">
        <v>95</v>
      </c>
      <c r="C4" s="3185"/>
      <c r="D4" s="3185"/>
      <c r="E4" s="3118"/>
    </row>
    <row r="5" spans="1:5" ht="15.75">
      <c r="B5" s="3177" t="s">
        <v>96</v>
      </c>
      <c r="C5" s="3119" t="s">
        <v>97</v>
      </c>
      <c r="D5" s="3120">
        <f ca="1">结果表!H101</f>
        <v>302</v>
      </c>
    </row>
    <row r="6" spans="1:5" ht="15.75">
      <c r="B6" s="3177"/>
      <c r="C6" s="3119" t="s">
        <v>98</v>
      </c>
      <c r="D6" s="3120" t="str">
        <f ca="1">NUMBERSTRING(INT(D5*10000),2)&amp;"元整"</f>
        <v>叁佰零贰万元整</v>
      </c>
    </row>
    <row r="7" spans="1:5" ht="15.75">
      <c r="B7" s="3178"/>
      <c r="C7" s="3121" t="s">
        <v>99</v>
      </c>
      <c r="D7" s="3122">
        <f ca="1">结果表!H102</f>
        <v>19082</v>
      </c>
    </row>
    <row r="8" spans="1:5" ht="15.75">
      <c r="B8" s="3179" t="str">
        <f>结果表!E103</f>
        <v>2.估价师知悉的法定优先受偿款</v>
      </c>
      <c r="C8" s="3123" t="s">
        <v>100</v>
      </c>
      <c r="D8" s="3122">
        <f>结果表!H103</f>
        <v>0</v>
      </c>
    </row>
    <row r="9" spans="1:5" ht="15.75">
      <c r="B9" s="3181"/>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6" t="str">
        <f>结果表!E107</f>
        <v>3.房地产抵押价值</v>
      </c>
      <c r="C13" s="3127" t="s">
        <v>97</v>
      </c>
      <c r="D13" s="3128">
        <f ca="1">结果表!H107</f>
        <v>302</v>
      </c>
    </row>
    <row r="14" spans="1:5" ht="15.75">
      <c r="B14" s="3177"/>
      <c r="C14" s="3119" t="s">
        <v>98</v>
      </c>
      <c r="D14" s="3120" t="str">
        <f ca="1">NUMBERSTRING(INT(D13*10000),2)&amp;"元整"</f>
        <v>叁佰零贰万元整</v>
      </c>
    </row>
    <row r="15" spans="1:5" ht="15">
      <c r="B15" s="3178"/>
      <c r="C15" s="3121" t="s">
        <v>99</v>
      </c>
      <c r="D15" s="3129">
        <f ca="1">结果表!H108</f>
        <v>19082</v>
      </c>
    </row>
    <row r="16" spans="1:5" ht="15">
      <c r="B16" s="3179" t="str">
        <f>结果表!E109</f>
        <v>——</v>
      </c>
      <c r="C16" s="3127" t="s">
        <v>97</v>
      </c>
      <c r="D16" s="3130" t="str">
        <f>结果表!H109</f>
        <v>——</v>
      </c>
    </row>
    <row r="17" spans="1:5" ht="15.75">
      <c r="B17" s="3180"/>
      <c r="C17" s="3119" t="s">
        <v>98</v>
      </c>
      <c r="D17" s="3120" t="e">
        <f>NUMBERSTRING(INT(D16*10000),2)&amp;"元整"</f>
        <v>#VALUE!</v>
      </c>
    </row>
    <row r="18" spans="1:5" ht="15">
      <c r="B18" s="3181"/>
      <c r="C18" s="3121" t="s">
        <v>99</v>
      </c>
      <c r="D18" s="3129" t="str">
        <f>结果表!H110</f>
        <v>——</v>
      </c>
    </row>
    <row r="19" spans="1:5" ht="15.75">
      <c r="B19" s="3176" t="str">
        <f>结果表!E111</f>
        <v>——</v>
      </c>
      <c r="C19" s="3127" t="s">
        <v>97</v>
      </c>
      <c r="D19" s="3122" t="str">
        <f>结果表!H111</f>
        <v>——</v>
      </c>
    </row>
    <row r="20" spans="1:5" ht="15.75">
      <c r="B20" s="3177"/>
      <c r="C20" s="3119" t="s">
        <v>98</v>
      </c>
      <c r="D20" s="3120" t="e">
        <f>NUMBERSTRING(INT(D19*10000),2)&amp;"元整"</f>
        <v>#VALUE!</v>
      </c>
    </row>
    <row r="21" spans="1:5" ht="15">
      <c r="B21" s="3182"/>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5" t="s">
        <v>2217</v>
      </c>
      <c r="B1" s="3495"/>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6" t="s">
        <v>2600</v>
      </c>
      <c r="B1" s="3496"/>
      <c r="C1" s="3496"/>
      <c r="D1" s="3496"/>
      <c r="E1" s="3496"/>
      <c r="F1" s="3497"/>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45975</v>
      </c>
      <c r="B1" s="226" t="s">
        <v>2605</v>
      </c>
      <c r="C1" s="227"/>
      <c r="D1" s="227"/>
      <c r="E1" s="227"/>
      <c r="F1" s="227"/>
      <c r="G1" s="227"/>
      <c r="H1" s="227"/>
      <c r="I1" s="227"/>
      <c r="J1" s="245"/>
      <c r="K1" s="227" t="s">
        <v>2606</v>
      </c>
      <c r="L1" s="227"/>
      <c r="M1" s="227"/>
      <c r="N1" s="227"/>
      <c r="O1" s="227"/>
      <c r="P1" s="227"/>
      <c r="Q1" s="245"/>
      <c r="R1" s="3498" t="s">
        <v>2607</v>
      </c>
      <c r="S1" s="3499"/>
      <c r="T1" s="3499"/>
      <c r="U1" s="3499"/>
      <c r="V1" s="3499"/>
      <c r="W1" s="3499"/>
      <c r="X1" s="245"/>
      <c r="Y1" s="3498" t="s">
        <v>2608</v>
      </c>
      <c r="Z1" s="3499"/>
      <c r="AA1" s="3499"/>
      <c r="AB1" s="3499"/>
      <c r="AC1" s="3499"/>
      <c r="AD1" s="3499"/>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8" t="s">
        <v>2607</v>
      </c>
      <c r="S29" s="3499"/>
      <c r="T29" s="3499"/>
      <c r="U29" s="3499"/>
      <c r="V29" s="3499"/>
      <c r="W29" s="3499"/>
      <c r="X29" s="245"/>
      <c r="Y29" s="3498" t="s">
        <v>2608</v>
      </c>
      <c r="Z29" s="3499"/>
      <c r="AA29" s="3499"/>
      <c r="AB29" s="3499"/>
      <c r="AC29" s="3499"/>
      <c r="AD29" s="3499"/>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8" t="s">
        <v>2634</v>
      </c>
      <c r="C1" s="3508"/>
      <c r="D1" s="3508"/>
      <c r="E1" s="3508"/>
      <c r="F1" s="3508"/>
      <c r="G1" s="3499" t="s">
        <v>2635</v>
      </c>
      <c r="H1" s="3499"/>
      <c r="I1" s="3499"/>
      <c r="J1" s="3499"/>
      <c r="K1" s="3499"/>
      <c r="L1" s="3499"/>
      <c r="N1" s="3499" t="s">
        <v>2606</v>
      </c>
      <c r="O1" s="3499"/>
      <c r="P1" s="3499"/>
      <c r="Q1" s="3499"/>
      <c r="S1" s="3499" t="s">
        <v>2636</v>
      </c>
      <c r="T1" s="3499"/>
      <c r="U1" s="3499"/>
      <c r="V1" s="3499"/>
      <c r="X1" s="3498" t="s">
        <v>2607</v>
      </c>
      <c r="Y1" s="3499"/>
      <c r="Z1" s="3499"/>
      <c r="AA1" s="3499"/>
      <c r="AB1" s="3499"/>
      <c r="AD1" s="3498" t="s">
        <v>2608</v>
      </c>
      <c r="AE1" s="3499"/>
      <c r="AF1" s="3499"/>
      <c r="AG1" s="3499"/>
      <c r="AH1" s="3499"/>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01">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01"/>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01"/>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6"/>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7">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01"/>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501"/>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6"/>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7">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01"/>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501"/>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2"/>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500">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01"/>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501"/>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2"/>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500">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01"/>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501"/>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2"/>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3">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4"/>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4"/>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5"/>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500">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501"/>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501"/>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2"/>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500">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01">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501">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2">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500">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01">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501">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2">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500">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01">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501">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2">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500">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01">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501">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2">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500">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01">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501">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2">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500">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01">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501">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2">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500">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01">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501">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2">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500">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01">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501">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2">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500">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501">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501">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2">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500">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501">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501">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2">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9" t="s">
        <v>2725</v>
      </c>
      <c r="B1" s="3509"/>
      <c r="C1" s="3509"/>
      <c r="D1" s="3509"/>
      <c r="E1" s="3509"/>
      <c r="F1" s="3509"/>
      <c r="G1" s="3510"/>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11"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2"/>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45975</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O47"/>
  <sheetViews>
    <sheetView topLeftCell="A7" workbookViewId="0">
      <selection activeCell="O38" sqref="O38"/>
    </sheetView>
  </sheetViews>
  <sheetFormatPr defaultRowHeight="13.5"/>
  <cols>
    <col min="1" max="1" width="10.5" bestFit="1" customWidth="1"/>
  </cols>
  <sheetData>
    <row r="36" spans="1:15">
      <c r="A36" t="s">
        <v>2804</v>
      </c>
      <c r="B36" t="s">
        <v>2805</v>
      </c>
      <c r="C36" t="s">
        <v>2806</v>
      </c>
      <c r="D36" t="s">
        <v>2807</v>
      </c>
      <c r="E36" t="s">
        <v>2808</v>
      </c>
      <c r="F36" t="s">
        <v>2809</v>
      </c>
      <c r="G36" t="s">
        <v>2810</v>
      </c>
      <c r="H36" t="s">
        <v>2811</v>
      </c>
      <c r="I36" t="s">
        <v>2812</v>
      </c>
      <c r="J36" t="s">
        <v>2813</v>
      </c>
      <c r="K36" t="s">
        <v>2814</v>
      </c>
      <c r="L36" t="s">
        <v>2815</v>
      </c>
      <c r="M36" t="s">
        <v>2816</v>
      </c>
      <c r="N36" t="s">
        <v>2817</v>
      </c>
      <c r="O36" t="s">
        <v>2818</v>
      </c>
    </row>
    <row r="37" spans="1:15">
      <c r="A37" s="3173">
        <v>45787.333831018521</v>
      </c>
      <c r="B37" t="s">
        <v>2819</v>
      </c>
      <c r="C37" t="s">
        <v>2819</v>
      </c>
      <c r="D37" t="s">
        <v>2820</v>
      </c>
      <c r="E37">
        <v>1</v>
      </c>
      <c r="F37">
        <v>11</v>
      </c>
      <c r="G37">
        <v>10</v>
      </c>
      <c r="H37">
        <v>1011</v>
      </c>
      <c r="I37" t="s">
        <v>2821</v>
      </c>
      <c r="J37" t="s">
        <v>230</v>
      </c>
      <c r="K37" t="s">
        <v>2822</v>
      </c>
      <c r="L37">
        <v>1</v>
      </c>
      <c r="M37">
        <v>361.7</v>
      </c>
      <c r="N37">
        <v>751.25</v>
      </c>
      <c r="O37">
        <v>20770</v>
      </c>
    </row>
    <row r="38" spans="1:15">
      <c r="A38" s="3173">
        <v>45839.333831018521</v>
      </c>
      <c r="B38" t="s">
        <v>2819</v>
      </c>
      <c r="C38" t="s">
        <v>2819</v>
      </c>
      <c r="D38" t="s">
        <v>2820</v>
      </c>
      <c r="E38">
        <v>1</v>
      </c>
      <c r="F38">
        <v>11</v>
      </c>
      <c r="G38">
        <v>4</v>
      </c>
      <c r="H38">
        <v>407</v>
      </c>
      <c r="I38" t="s">
        <v>2821</v>
      </c>
      <c r="J38" t="s">
        <v>230</v>
      </c>
      <c r="K38" t="s">
        <v>2822</v>
      </c>
      <c r="L38">
        <v>1</v>
      </c>
      <c r="M38">
        <v>158.43</v>
      </c>
      <c r="N38">
        <v>329.06</v>
      </c>
      <c r="O38">
        <v>20770</v>
      </c>
    </row>
    <row r="39" spans="1:15">
      <c r="A39" s="3173">
        <v>45930.333831018521</v>
      </c>
      <c r="B39" t="s">
        <v>2819</v>
      </c>
      <c r="C39" t="s">
        <v>2819</v>
      </c>
      <c r="D39" t="s">
        <v>2823</v>
      </c>
      <c r="E39">
        <v>1</v>
      </c>
      <c r="F39">
        <v>11</v>
      </c>
      <c r="G39">
        <v>7</v>
      </c>
      <c r="H39">
        <v>701</v>
      </c>
      <c r="I39" t="s">
        <v>2824</v>
      </c>
      <c r="J39" t="s">
        <v>230</v>
      </c>
      <c r="K39" t="s">
        <v>2822</v>
      </c>
      <c r="L39">
        <v>1</v>
      </c>
      <c r="M39">
        <v>128.76</v>
      </c>
      <c r="N39">
        <v>248.21</v>
      </c>
      <c r="O39">
        <v>19277</v>
      </c>
    </row>
    <row r="40" spans="1:15">
      <c r="A40" s="3173">
        <v>45930.333831018521</v>
      </c>
      <c r="B40" t="s">
        <v>2819</v>
      </c>
      <c r="C40" t="s">
        <v>2819</v>
      </c>
      <c r="D40" t="s">
        <v>2823</v>
      </c>
      <c r="E40">
        <v>1</v>
      </c>
      <c r="F40">
        <v>11</v>
      </c>
      <c r="G40">
        <v>7</v>
      </c>
      <c r="H40">
        <v>703</v>
      </c>
      <c r="I40" t="s">
        <v>2824</v>
      </c>
      <c r="J40" t="s">
        <v>230</v>
      </c>
      <c r="K40" t="s">
        <v>2822</v>
      </c>
      <c r="L40">
        <v>1</v>
      </c>
      <c r="M40">
        <v>168.83</v>
      </c>
      <c r="N40">
        <v>325.45</v>
      </c>
      <c r="O40">
        <v>19277</v>
      </c>
    </row>
    <row r="41" spans="1:15">
      <c r="A41" s="3173">
        <v>45930.333831018521</v>
      </c>
      <c r="B41" t="s">
        <v>2819</v>
      </c>
      <c r="C41" t="s">
        <v>2819</v>
      </c>
      <c r="D41" t="s">
        <v>2820</v>
      </c>
      <c r="E41">
        <v>1</v>
      </c>
      <c r="F41">
        <v>11</v>
      </c>
      <c r="G41">
        <v>3</v>
      </c>
      <c r="H41">
        <v>312</v>
      </c>
      <c r="I41" t="s">
        <v>2821</v>
      </c>
      <c r="J41" t="s">
        <v>230</v>
      </c>
      <c r="K41" t="s">
        <v>2822</v>
      </c>
      <c r="L41">
        <v>1</v>
      </c>
      <c r="M41">
        <v>148.6</v>
      </c>
      <c r="N41">
        <v>286.45999999999998</v>
      </c>
      <c r="O41">
        <v>19277</v>
      </c>
    </row>
    <row r="42" spans="1:15">
      <c r="A42" s="3173">
        <v>45930.333831018521</v>
      </c>
      <c r="B42" t="s">
        <v>2819</v>
      </c>
      <c r="C42" t="s">
        <v>2819</v>
      </c>
      <c r="D42" t="s">
        <v>2820</v>
      </c>
      <c r="E42">
        <v>1</v>
      </c>
      <c r="F42">
        <v>11</v>
      </c>
      <c r="G42">
        <v>3</v>
      </c>
      <c r="H42">
        <v>301</v>
      </c>
      <c r="I42" t="s">
        <v>2821</v>
      </c>
      <c r="J42" t="s">
        <v>230</v>
      </c>
      <c r="K42" t="s">
        <v>2822</v>
      </c>
      <c r="L42">
        <v>1</v>
      </c>
      <c r="M42">
        <v>158.07</v>
      </c>
      <c r="N42">
        <v>304.70999999999998</v>
      </c>
      <c r="O42">
        <v>19277</v>
      </c>
    </row>
    <row r="43" spans="1:15">
      <c r="A43" s="3173"/>
    </row>
    <row r="44" spans="1:15">
      <c r="A44" s="3173"/>
    </row>
    <row r="45" spans="1:15">
      <c r="A45" s="3173"/>
    </row>
    <row r="46" spans="1:15">
      <c r="A46" s="3173"/>
    </row>
    <row r="47" spans="1:15">
      <c r="A47" s="3173"/>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93" t="str">
        <f>IF(项目基本情况!B9="房地产市场价值","估价结果一览表","结果表-2")</f>
        <v>结果表-2</v>
      </c>
      <c r="B1" s="3193"/>
      <c r="C1" s="3193"/>
      <c r="D1" s="3193"/>
      <c r="E1" s="3193"/>
      <c r="F1" s="3193"/>
      <c r="G1" s="3193"/>
      <c r="H1" s="3193"/>
      <c r="I1" s="3193"/>
    </row>
    <row r="2" spans="1:9" ht="30" customHeight="1">
      <c r="A2" s="3194" t="s">
        <v>107</v>
      </c>
      <c r="B2" s="3194" t="s">
        <v>108</v>
      </c>
      <c r="C2" s="3194" t="s">
        <v>109</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89"/>
      <c r="B3" s="3189"/>
      <c r="C3" s="3189"/>
      <c r="D3" s="3113" t="s">
        <v>110</v>
      </c>
      <c r="E3" s="3113" t="s">
        <v>111</v>
      </c>
      <c r="F3" s="3113" t="s">
        <v>110</v>
      </c>
      <c r="G3" s="3113" t="s">
        <v>111</v>
      </c>
      <c r="H3" s="3113" t="s">
        <v>110</v>
      </c>
      <c r="I3" s="3113" t="s">
        <v>111</v>
      </c>
    </row>
    <row r="4" spans="1:9" ht="15">
      <c r="A4" s="3114" t="str">
        <f>项目基本情况!S2</f>
        <v>北京市房地产</v>
      </c>
      <c r="B4" s="3113">
        <f>项目基本情况!C17</f>
        <v>158.43</v>
      </c>
      <c r="C4" s="3113">
        <f>项目基本情况!C18</f>
        <v>0</v>
      </c>
      <c r="D4" s="3113" t="e">
        <f ca="1">结果表!D118</f>
        <v>#REF!</v>
      </c>
      <c r="E4" s="3113" t="e">
        <f ca="1">结果表!E118</f>
        <v>#REF!</v>
      </c>
      <c r="F4" s="3113" t="e">
        <f ca="1">结果表!F118</f>
        <v>#REF!</v>
      </c>
      <c r="G4" s="3113" t="e">
        <f ca="1">结果表!G118</f>
        <v>#REF!</v>
      </c>
      <c r="H4" s="3113">
        <f ca="1">结果表!H118</f>
        <v>302</v>
      </c>
      <c r="I4" s="3113">
        <f ca="1">结果表!I118</f>
        <v>19082</v>
      </c>
    </row>
    <row r="5" spans="1:9" ht="30" customHeight="1">
      <c r="A5" s="3189" t="s">
        <v>112</v>
      </c>
      <c r="B5" s="3189"/>
      <c r="C5" s="3189"/>
      <c r="D5" s="3189" t="e">
        <f ca="1">结果表!D119</f>
        <v>#REF!</v>
      </c>
      <c r="E5" s="3189"/>
      <c r="F5" s="3189" t="e">
        <f ca="1">结果表!F119</f>
        <v>#REF!</v>
      </c>
      <c r="G5" s="3189"/>
      <c r="H5" s="3189" t="str">
        <f ca="1">结果表!H119</f>
        <v>叁佰零贰万元整</v>
      </c>
      <c r="I5" s="3189"/>
    </row>
    <row r="6" spans="1:9" ht="15.75">
      <c r="A6" s="3186" t="str">
        <f>结果表!A120</f>
        <v>估价师知悉的法定优先受偿款</v>
      </c>
      <c r="B6" s="3186"/>
      <c r="C6" s="3186"/>
      <c r="D6" s="3186">
        <f>结果表!D120</f>
        <v>0</v>
      </c>
      <c r="E6" s="3186"/>
      <c r="F6" s="3186"/>
      <c r="G6" s="3186"/>
      <c r="H6" s="3186"/>
      <c r="I6" s="3186"/>
    </row>
    <row r="7" spans="1:9" ht="15">
      <c r="A7" s="3189" t="s">
        <v>112</v>
      </c>
      <c r="B7" s="3189"/>
      <c r="C7" s="3189"/>
      <c r="D7" s="3190" t="str">
        <f>结果表!D121</f>
        <v>零元整</v>
      </c>
      <c r="E7" s="3191"/>
      <c r="F7" s="3191"/>
      <c r="G7" s="3191"/>
      <c r="H7" s="3191"/>
      <c r="I7" s="3192"/>
    </row>
    <row r="8" spans="1:9" ht="15.75">
      <c r="A8" s="3186" t="str">
        <f>结果表!A122</f>
        <v>房地产抵押价值</v>
      </c>
      <c r="B8" s="3186"/>
      <c r="C8" s="3186"/>
      <c r="D8" s="3186">
        <f ca="1">结果表!D122</f>
        <v>302</v>
      </c>
      <c r="E8" s="3186"/>
      <c r="F8" s="3186"/>
      <c r="G8" s="3186"/>
      <c r="H8" s="3186"/>
      <c r="I8" s="3186"/>
    </row>
    <row r="9" spans="1:9" ht="15">
      <c r="A9" s="3189" t="s">
        <v>112</v>
      </c>
      <c r="B9" s="3189"/>
      <c r="C9" s="3189"/>
      <c r="D9" s="3189" t="str">
        <f ca="1">结果表!D123</f>
        <v>叁佰零贰万元整</v>
      </c>
      <c r="E9" s="3189"/>
      <c r="F9" s="3189"/>
      <c r="G9" s="3189"/>
      <c r="H9" s="3189"/>
      <c r="I9" s="3189"/>
    </row>
    <row r="10" spans="1:9" ht="15.75">
      <c r="A10" s="3186" t="str">
        <f>结果表!A124</f>
        <v/>
      </c>
      <c r="B10" s="3186"/>
      <c r="C10" s="3186"/>
      <c r="D10" s="3186" t="str">
        <f>结果表!D124</f>
        <v>——</v>
      </c>
      <c r="E10" s="3186"/>
      <c r="F10" s="3186"/>
      <c r="G10" s="3186"/>
      <c r="H10" s="3186"/>
      <c r="I10" s="3186"/>
    </row>
    <row r="11" spans="1:9" ht="15">
      <c r="A11" s="3189" t="s">
        <v>112</v>
      </c>
      <c r="B11" s="3189"/>
      <c r="C11" s="3189"/>
      <c r="D11" s="3189" t="e">
        <f>结果表!D125</f>
        <v>#VALUE!</v>
      </c>
      <c r="E11" s="3189"/>
      <c r="F11" s="3189"/>
      <c r="G11" s="3189"/>
      <c r="H11" s="3189"/>
      <c r="I11" s="3189"/>
    </row>
    <row r="12" spans="1:9" ht="15.75">
      <c r="A12" s="3186" t="str">
        <f>结果表!A126</f>
        <v/>
      </c>
      <c r="B12" s="3186"/>
      <c r="C12" s="3186"/>
      <c r="D12" s="3186" t="str">
        <f>结果表!D126</f>
        <v>——</v>
      </c>
      <c r="E12" s="3186"/>
      <c r="F12" s="3186"/>
      <c r="G12" s="3186"/>
      <c r="H12" s="3186"/>
      <c r="I12" s="3186"/>
    </row>
    <row r="13" spans="1:9" ht="15">
      <c r="A13" s="3187" t="s">
        <v>112</v>
      </c>
      <c r="B13" s="3187"/>
      <c r="C13" s="3187"/>
      <c r="D13" s="3187" t="e">
        <f>结果表!D127</f>
        <v>#VALUE!</v>
      </c>
      <c r="E13" s="3187"/>
      <c r="F13" s="3187"/>
      <c r="G13" s="3187"/>
      <c r="H13" s="3187"/>
      <c r="I13" s="3187"/>
    </row>
    <row r="14" spans="1:9">
      <c r="A14" s="3188" t="s">
        <v>113</v>
      </c>
      <c r="B14" s="3188"/>
      <c r="C14" s="3188"/>
      <c r="D14" s="3188"/>
      <c r="E14" s="3188"/>
      <c r="F14" s="3188"/>
      <c r="G14" s="3188"/>
      <c r="H14" s="3188"/>
      <c r="I14" s="3188"/>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201" t="s">
        <v>114</v>
      </c>
      <c r="B1" s="3201"/>
      <c r="C1" s="3201"/>
      <c r="D1" s="3201"/>
    </row>
    <row r="2" spans="1:4" ht="18">
      <c r="A2" s="3202" t="s">
        <v>115</v>
      </c>
      <c r="B2" s="3202"/>
      <c r="C2" s="3202"/>
      <c r="D2" s="3202"/>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202" t="s">
        <v>121</v>
      </c>
      <c r="B6" s="3202"/>
      <c r="C6" s="3202"/>
      <c r="D6" s="3202"/>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203" t="s">
        <v>126</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6" t="str">
        <f>IF(项目基本情况!B8="抵押","4.本次评估估价师所知悉的法定优先受偿款情况说明如下：","——")</f>
        <v>4.本次评估估价师所知悉的法定优先受偿款情况说明如下：</v>
      </c>
      <c r="B14" s="3199"/>
      <c r="C14" s="3199"/>
      <c r="D14" s="3199"/>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200" t="s">
        <v>127</v>
      </c>
      <c r="B16" s="3200"/>
      <c r="C16" s="3200"/>
      <c r="D16" s="3200"/>
    </row>
    <row r="17" spans="1:4" ht="144" customHeight="1">
      <c r="A17" s="3200" t="s">
        <v>128</v>
      </c>
      <c r="B17" s="3200"/>
      <c r="C17" s="3200"/>
      <c r="D17" s="3200"/>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129</v>
      </c>
      <c r="B22" s="3198"/>
      <c r="C22" s="3198"/>
      <c r="D22" s="3198"/>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6" t="s">
        <v>146</v>
      </c>
      <c r="B15" s="3211" t="s">
        <v>147</v>
      </c>
      <c r="C15" s="3205"/>
    </row>
    <row r="16" spans="1:7" ht="13.5">
      <c r="A16" s="3207"/>
      <c r="B16" s="3211" t="s">
        <v>148</v>
      </c>
      <c r="C16" s="3205"/>
    </row>
    <row r="17" spans="1:3" ht="13.5">
      <c r="A17" s="3207"/>
      <c r="B17" s="3210" t="s">
        <v>149</v>
      </c>
      <c r="C17" s="3092" t="s">
        <v>146</v>
      </c>
    </row>
    <row r="18" spans="1:3" ht="13.5">
      <c r="A18" s="3207"/>
      <c r="B18" s="3210"/>
      <c r="C18" s="3092" t="s">
        <v>150</v>
      </c>
    </row>
    <row r="19" spans="1:3" ht="13.5">
      <c r="A19" s="3207"/>
      <c r="B19" s="3210"/>
      <c r="C19" s="3092" t="s">
        <v>151</v>
      </c>
    </row>
    <row r="20" spans="1:3" ht="13.5">
      <c r="A20" s="3208"/>
      <c r="B20" s="3204" t="s">
        <v>152</v>
      </c>
      <c r="C20" s="3205"/>
    </row>
    <row r="21" spans="1:3" ht="13.5">
      <c r="A21" s="3093" t="s">
        <v>153</v>
      </c>
      <c r="B21" s="3094"/>
      <c r="C21" s="3095"/>
    </row>
    <row r="22" spans="1:3" ht="13.5">
      <c r="A22" s="3209" t="s">
        <v>154</v>
      </c>
      <c r="B22" s="3204" t="s">
        <v>155</v>
      </c>
      <c r="C22" s="3205"/>
    </row>
    <row r="23" spans="1:3" ht="13.5">
      <c r="A23" s="3209"/>
      <c r="B23" s="3204" t="s">
        <v>156</v>
      </c>
      <c r="C23" s="3205"/>
    </row>
    <row r="24" spans="1:3" ht="13.5">
      <c r="A24" s="3209"/>
      <c r="B24" s="3204" t="s">
        <v>157</v>
      </c>
      <c r="C24" s="3205"/>
    </row>
    <row r="25" spans="1:3" ht="13.5">
      <c r="A25" s="3209"/>
      <c r="B25" s="3210" t="s">
        <v>158</v>
      </c>
      <c r="C25" s="3092" t="s">
        <v>159</v>
      </c>
    </row>
    <row r="26" spans="1:3" ht="13.5">
      <c r="A26" s="3209"/>
      <c r="B26" s="3210"/>
      <c r="C26" s="3092" t="s">
        <v>160</v>
      </c>
    </row>
    <row r="27" spans="1:3" ht="13.5">
      <c r="A27" s="3209"/>
      <c r="B27" s="3210"/>
      <c r="C27" s="3092" t="s">
        <v>161</v>
      </c>
    </row>
    <row r="28" spans="1:3" ht="13.5">
      <c r="A28" s="3209"/>
      <c r="B28" s="3210"/>
      <c r="C28" s="3092" t="s">
        <v>162</v>
      </c>
    </row>
    <row r="29" spans="1:3" ht="13.5">
      <c r="A29" s="3209"/>
      <c r="B29" s="3210"/>
      <c r="C29" s="3092" t="s">
        <v>163</v>
      </c>
    </row>
    <row r="30" spans="1:3" ht="13.5">
      <c r="A30" s="3209"/>
      <c r="B30" s="3210"/>
      <c r="C30" s="3092" t="s">
        <v>164</v>
      </c>
    </row>
    <row r="31" spans="1:3" ht="13.5">
      <c r="A31" s="3209"/>
      <c r="B31" s="3210"/>
      <c r="C31" s="3092" t="s">
        <v>165</v>
      </c>
    </row>
    <row r="32" spans="1:3" ht="13.5">
      <c r="A32" s="3209"/>
      <c r="B32" s="3210"/>
      <c r="C32" s="3092" t="s">
        <v>166</v>
      </c>
    </row>
    <row r="33" spans="1:3" ht="13.5">
      <c r="A33" s="3209"/>
      <c r="B33" s="3210"/>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45979</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2" t="s">
        <v>197</v>
      </c>
      <c r="B17" s="3212"/>
      <c r="C17" s="3212"/>
      <c r="D17" s="3212"/>
      <c r="E17" s="3212"/>
      <c r="F17" s="3212"/>
      <c r="G17" s="3212"/>
      <c r="H17" s="3212"/>
    </row>
    <row r="18" spans="1:8" ht="24" customHeight="1">
      <c r="A18" s="3213" t="s">
        <v>198</v>
      </c>
      <c r="B18" s="3213"/>
      <c r="C18" s="3213"/>
      <c r="D18" s="3062"/>
      <c r="E18" s="3214" t="s">
        <v>199</v>
      </c>
      <c r="F18" s="3213"/>
      <c r="G18" s="3213"/>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2025-11-18T07:19:46Z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